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<sst xmlns="http://schemas.openxmlformats.org/spreadsheetml/2006/main" count="7059" uniqueCount="1318">
  <si>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</si>
  <si>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</si>
  <si>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</si>
  <si>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</si>
  <si>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</si>
  <si>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</si>
  <si>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</si>
  <si>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</si>
  <si>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</si>
  <si>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</si>
  <si>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</si>
  <si>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</si>
  <si>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</si>
  <si>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</si>
  <si>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</si>
  <si>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</si>
  <si>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</si>
  <si>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</si>
  <si>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</si>
  <si>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</si>
  <si>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</si>
  <si>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</si>
  <si>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</si>
  <si>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</si>
  <si>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</si>
  <si>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</si>
  <si>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</si>
  <si>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</si>
  <si>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</si>
  <si>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</si>
  <si>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</si>
  <si>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</si>
  <si>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</si>
  <si>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</si>
  <si>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</si>
  <si>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</si>
  <si>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</si>
  <si>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</si>
  <si>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</si>
  <si>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</si>
  <si>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</si>
  <si>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</si>
  <si>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</si>
  <si>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</si>
  <si>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</si>
  <si>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</si>
  <si>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</si>
  <si>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</si>
  <si>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</si>
  <si>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</si>
  <si>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</si>
  <si>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</si>
  <si>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</si>
  <si>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</si>
  <si>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</si>
  <si>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</si>
  <si>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</si>
  <si>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</si>
  <si>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</si>
  <si>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</si>
  <si>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</si>
  <si>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</si>
  <si>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</si>
  <si>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</si>
  <si>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</si>
  <si>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</si>
  <si>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</si>
  <si>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</si>
  <si>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</si>
  <si>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</si>
  <si>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</si>
  <si>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</si>
  <si>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</si>
  <si>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</si>
  <si>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</si>
  <si>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</si>
  <si>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</si>
  <si>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</si>
  <si>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</si>
  <si>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</si>
  <si>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</si>
  <si>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</si>
  <si>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</si>
  <si>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</si>
  <si>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</si>
  <si>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</si>
  <si>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</si>
  <si>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</si>
  <si>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</si>
  <si>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</si>
  <si>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</si>
  <si>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</si>
  <si>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</si>
  <si>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</si>
  <si>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</si>
  <si>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</si>
  <si>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</si>
  <si>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</si>
  <si>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</si>
  <si>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</si>
  <si>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</si>
  <si>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</si>
  <si>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</si>
  <si>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</si>
  <si>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</si>
  <si>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</si>
  <si>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</si>
  <si>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</si>
  <si>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</si>
  <si>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</si>
  <si>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</si>
  <si>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</si>
  <si>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</si>
  <si>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</si>
  <si>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</si>
  <si>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</si>
  <si>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</si>
  <si>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</si>
  <si>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</si>
  <si>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</si>
  <si>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</si>
  <si>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</si>
  <si>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</si>
  <si>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</si>
  <si>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</si>
  <si>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</si>
  <si>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</si>
  <si>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</si>
  <si>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</si>
  <si>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</si>
  <si>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</si>
  <si>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</si>
  <si>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</si>
  <si>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</si>
  <si>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</si>
  <si>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</si>
  <si>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</si>
  <si>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</si>
  <si>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</si>
  <si>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</si>
  <si>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</si>
  <si>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</si>
  <si>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</si>
  <si>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</si>
  <si>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</si>
  <si>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</si>
  <si>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</si>
  <si>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</si>
  <si>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</si>
  <si>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</si>
  <si>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</si>
  <si>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</si>
  <si>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</si>
  <si>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</si>
  <si>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</si>
  <si>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</si>
  <si>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</si>
  <si>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</si>
  <si>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</si>
  <si>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</si>
  <si>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</si>
  <si>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</si>
  <si>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</si>
  <si>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</si>
  <si>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</si>
  <si>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</si>
  <si>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</si>
  <si>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</si>
  <si>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</si>
  <si>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</si>
  <si>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</si>
  <si>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</si>
  <si>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</si>
  <si>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</si>
  <si>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</si>
  <si>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</si>
  <si>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</si>
  <si>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</si>
  <si>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</si>
  <si>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</si>
  <si>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</si>
  <si>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</si>
  <si>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</si>
  <si>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</si>
  <si>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</si>
  <si>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</si>
  <si>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</si>
  <si>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</si>
  <si>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</si>
  <si>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t>
  </si>
  <si>
    <t>Workbook Settings 18</t>
  </si>
  <si>
    <t>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t>
  </si>
  <si>
    <t>Workbook Settings 19</t>
  </si>
  <si>
    <t>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</si>
  <si>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</si>
  <si>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</si>
  <si>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</si>
  <si>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</si>
  <si>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</si>
  <si>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</si>
  <si>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</si>
  <si>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</si>
  <si>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</si>
  <si>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</si>
  <si>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</si>
  <si>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</si>
  <si>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</si>
  <si>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</si>
  <si>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</si>
  <si>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</si>
  <si>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</si>
  <si>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</si>
  <si>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</si>
  <si>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</si>
  <si>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</si>
  <si>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</si>
  <si>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</si>
  <si>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</si>
  <si>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</si>
  <si>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</si>
  <si>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</si>
  <si>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</si>
  <si>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</si>
  <si>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</si>
  <si>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</si>
  <si>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</si>
  <si>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</si>
  <si>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</si>
  <si>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</si>
  <si>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</si>
  <si>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</si>
  <si>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</si>
  <si>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</si>
  <si>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</si>
  <si>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</si>
  <si>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</si>
  <si>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</si>
  <si>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</si>
  <si>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</si>
  <si>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</si>
  <si>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</si>
  <si>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</si>
  <si>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</si>
  <si>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</si>
  <si>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</si>
  <si>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</si>
  <si>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</si>
  <si>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</si>
  <si>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</si>
  <si>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</si>
  <si>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</si>
  <si>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</si>
  <si>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</si>
  <si>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</si>
  <si>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</si>
  <si>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</si>
  <si>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</si>
  <si>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</si>
  <si>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</si>
  <si>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</si>
  <si>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</si>
  <si>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</si>
  <si>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</si>
  <si>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</si>
  <si>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</si>
  <si>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</si>
  <si>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</si>
  <si>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</si>
  <si>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</si>
  <si>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</si>
  <si>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</si>
  <si>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</si>
  <si>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</si>
  <si>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</si>
  <si>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</si>
  <si>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</si>
  <si>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</si>
  <si>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</si>
  <si>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</si>
  <si>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</si>
  <si>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</si>
  <si>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</si>
  <si>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</si>
  <si>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</si>
  <si>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</si>
  <si>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</si>
  <si>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</si>
  <si>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</si>
  <si>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</si>
  <si>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</si>
  <si>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</si>
  <si>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</si>
  <si>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</si>
  <si>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</si>
  <si>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</si>
  <si>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</si>
  <si>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</si>
  <si>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</si>
  <si>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</si>
  <si>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t>
  </si>
  <si>
    <t>Workbook Settings 73</t>
  </si>
  <si>
    <t>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
  </si>
  <si>
    <t>Workbook Settings 74</t>
  </si>
  <si>
    <t>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</si>
  <si>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</si>
  <si>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</si>
  <si>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</si>
  <si>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&lt;value&gt;FruchtermanReingold&lt;/value&gt;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t>
  </si>
  <si>
    <t>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t>
  </si>
  <si>
    <t>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t>
  </si>
  <si>
    <t>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t>
  </si>
  <si>
    <t>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t>
  </si>
  <si>
    <t>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t>
  </si>
  <si>
    <t>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t>
  </si>
  <si>
    <t>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t>
  </si>
  <si>
    <t>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t>
  </si>
  <si>
    <t>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t>
  </si>
  <si>
    <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t>
  </si>
  <si>
    <t xml:space="preserve">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t>
  </si>
  <si>
    <t>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t>
  </si>
  <si>
    <t>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t>
  </si>
  <si>
    <t>Autofill Workbook Results</t>
  </si>
  <si>
    <t>Graph History</t>
  </si>
  <si>
    <t>Relationship</t>
  </si>
  <si>
    <t>Edge Weight</t>
  </si>
  <si>
    <t>Edge Type</t>
  </si>
  <si>
    <t>Edit Comment</t>
  </si>
  <si>
    <t>Edit Size</t>
  </si>
  <si>
    <t>TauGuys</t>
  </si>
  <si>
    <t>Muboshgu</t>
  </si>
  <si>
    <t>146.90.33.27</t>
  </si>
  <si>
    <t>SineBot</t>
  </si>
  <si>
    <t>Bop34</t>
  </si>
  <si>
    <t>DarthBotto</t>
  </si>
  <si>
    <t>Gråbergs Gråa Sång</t>
  </si>
  <si>
    <t>Slatersteven</t>
  </si>
  <si>
    <t>99.120.250.187</t>
  </si>
  <si>
    <t>Werldwayd</t>
  </si>
  <si>
    <t>Burgmluc000</t>
  </si>
  <si>
    <t>EvergreenFir</t>
  </si>
  <si>
    <t>198.91.14.2</t>
  </si>
  <si>
    <t>Onetwothreeip</t>
  </si>
  <si>
    <t>5a5ha seven</t>
  </si>
  <si>
    <t>GordonGlottal</t>
  </si>
  <si>
    <t>69.63.170.68</t>
  </si>
  <si>
    <t>LordParsifal</t>
  </si>
  <si>
    <t>Neutrality</t>
  </si>
  <si>
    <t>2600:1700:E1E0:FC10:DA4:C4CB:58A4:61F6</t>
  </si>
  <si>
    <t>SPECIFICO</t>
  </si>
  <si>
    <t>Jonesey95</t>
  </si>
  <si>
    <t>PackMecEng</t>
  </si>
  <si>
    <t>JLo-Watson</t>
  </si>
  <si>
    <t>Bdushaw</t>
  </si>
  <si>
    <t>Leopard.snow</t>
  </si>
  <si>
    <t>Czello</t>
  </si>
  <si>
    <t>Lowercase sigmabot III</t>
  </si>
  <si>
    <t>Sdkb</t>
  </si>
  <si>
    <t>2600:1012:B107:C33D:0:4F:BBEB:C001</t>
  </si>
  <si>
    <t>Iamreallygoodatcheckers</t>
  </si>
  <si>
    <t>213.219.174.10</t>
  </si>
  <si>
    <t>Pipsally</t>
  </si>
  <si>
    <t>2600:1702:2340:9470:BD7A:302B:D2C5:5563</t>
  </si>
  <si>
    <t>Kolya Butternut</t>
  </si>
  <si>
    <t>力</t>
  </si>
  <si>
    <t>74.95.38.84</t>
  </si>
  <si>
    <t>GoodDay</t>
  </si>
  <si>
    <t>Jack Upland</t>
  </si>
  <si>
    <t>Tbiters</t>
  </si>
  <si>
    <t>Scoutguy138</t>
  </si>
  <si>
    <t>Hermit7</t>
  </si>
  <si>
    <t>MaximusEditor</t>
  </si>
  <si>
    <t>NSNW</t>
  </si>
  <si>
    <t>70.15.26.189</t>
  </si>
  <si>
    <t>74.193.109.22</t>
  </si>
  <si>
    <t>Walnutman83759</t>
  </si>
  <si>
    <t>JBW</t>
  </si>
  <si>
    <t>Interstellarity</t>
  </si>
  <si>
    <t>ValarianB</t>
  </si>
  <si>
    <t>Starship.paint</t>
  </si>
  <si>
    <t>Mgasparin</t>
  </si>
  <si>
    <t>Albert the monkey</t>
  </si>
  <si>
    <t>ONUnicorn</t>
  </si>
  <si>
    <t>Crboyer</t>
  </si>
  <si>
    <t>PearcyBoi</t>
  </si>
  <si>
    <t>Eehdbf</t>
  </si>
  <si>
    <t>MusikBot II</t>
  </si>
  <si>
    <t>Thanoscar21</t>
  </si>
  <si>
    <t>Soibangla</t>
  </si>
  <si>
    <t>194.223.61.176</t>
  </si>
  <si>
    <t>1234qwer1234qwer4</t>
  </si>
  <si>
    <t>Shadybabs</t>
  </si>
  <si>
    <t>BigCheese76</t>
  </si>
  <si>
    <t>Atsme</t>
  </si>
  <si>
    <t>2601:1C2:101:3480:1D0F:B662:4FA3:5613</t>
  </si>
  <si>
    <t>Calidum</t>
  </si>
  <si>
    <t>AnomieBOT</t>
  </si>
  <si>
    <t>Valereee</t>
  </si>
  <si>
    <t>MastCell</t>
  </si>
  <si>
    <t>MelanieN</t>
  </si>
  <si>
    <t>Willbb234</t>
  </si>
  <si>
    <t>MONGO</t>
  </si>
  <si>
    <t>Levivich</t>
  </si>
  <si>
    <t>Mikehawk10</t>
  </si>
  <si>
    <t>93.108.204.23</t>
  </si>
  <si>
    <t>Malerooster</t>
  </si>
  <si>
    <t>Berchanhimez</t>
  </si>
  <si>
    <t>Nick</t>
  </si>
  <si>
    <t>Praxidicae</t>
  </si>
  <si>
    <t>SomeBodyAnyBody05</t>
  </si>
  <si>
    <t>Paine Ellsworth</t>
  </si>
  <si>
    <t>Khajidha</t>
  </si>
  <si>
    <t>TTTTRZON</t>
  </si>
  <si>
    <t>Thedino778</t>
  </si>
  <si>
    <t>Space4Time3Continuum2x</t>
  </si>
  <si>
    <t>YeetitsSara</t>
  </si>
  <si>
    <t>WhoAteMyButter</t>
  </si>
  <si>
    <t>Symmachus Auxiliarus</t>
  </si>
  <si>
    <t>Valjean</t>
  </si>
  <si>
    <t>JJMC89</t>
  </si>
  <si>
    <t>2600:1702:2340:9470:9512:EF4F:1107:4D3D</t>
  </si>
  <si>
    <t>Legobot</t>
  </si>
  <si>
    <t>Larry Hockett</t>
  </si>
  <si>
    <t>173.212.61.150</t>
  </si>
  <si>
    <t>DanCherek</t>
  </si>
  <si>
    <t>46.114.38.126</t>
  </si>
  <si>
    <t>2601:1C2:101:3480:6C4E:310B:BAB0:DE2A</t>
  </si>
  <si>
    <t>Liz</t>
  </si>
  <si>
    <t>The Four Deuces</t>
  </si>
  <si>
    <t>Anon0098</t>
  </si>
  <si>
    <t>41.180.41.252</t>
  </si>
  <si>
    <t>76.14.131.199</t>
  </si>
  <si>
    <t>ScottishFinnishRadish</t>
  </si>
  <si>
    <t>Dimadick</t>
  </si>
  <si>
    <t>Spy-cicle</t>
  </si>
  <si>
    <t>Zaathras</t>
  </si>
  <si>
    <t>Basil the Bat Lord</t>
  </si>
  <si>
    <t>2409:4042:E9E:D93C:0:0:6A48:B50E</t>
  </si>
  <si>
    <t>AllegedlyHuman</t>
  </si>
  <si>
    <t>61.230.185.19</t>
  </si>
  <si>
    <t>PrimeHunter</t>
  </si>
  <si>
    <t>81.242.122.111</t>
  </si>
  <si>
    <t>WaffleMan45</t>
  </si>
  <si>
    <t>Jampolice</t>
  </si>
  <si>
    <t>Dswitz10734</t>
  </si>
  <si>
    <t>User-User</t>
  </si>
  <si>
    <t>Discussion</t>
  </si>
  <si>
    <t>/* Deep bias needs to be addressed immediately */</t>
  </si>
  <si>
    <t>/* "refused to concede defeat until January 7" */ Replying to Interstellarity (using [[w:en:User:Enterprisey/reply-link|reply-link]])</t>
  </si>
  <si>
    <t>/* trump */ new section</t>
  </si>
  <si>
    <t>Signing comment by [[Special:Contributions/146.90.33.27|146.90.33.27]] - "/* trump */ new section"</t>
  </si>
  <si>
    <t>/* Extended Protection edit request */ Replying to BigCheese76 (using [[w:en:User:Enterprisey/reply-link|reply-link]])</t>
  </si>
  <si>
    <t>/* Extended Protection edit request */ Closed edit request</t>
  </si>
  <si>
    <t>/* "refused to concede defeat until January 7" */</t>
  </si>
  <si>
    <t>Reverted edits by [[Special:Contribs/99.120.250.187|99.120.250.187]] ([[User talk:99.120.250.187|talk]]) to last version by Werldwayd</t>
  </si>
  <si>
    <t>/* The lead is perfect; leave it be */</t>
  </si>
  <si>
    <t>/* Extended-confirmed-protected edit request on 25 February 2021 */ new section</t>
  </si>
  <si>
    <t>/* Extended-confirmed-protected edit request on 25 February 2021 */ Removed edit request</t>
  </si>
  <si>
    <t>Undid revision 1008782569 by [[Special:Contributions/Lowercase sigmabot III|Lowercase sigmabot III]] ([[User talk:Lowercase sigmabot III|talk]]) North Korea section not closed yet</t>
  </si>
  <si>
    <t>/* “McConnells comments are undue weight” */ Replying to Gershonmk (using [[w:en:User:Enterprisey/reply-link|reply-link]])</t>
  </si>
  <si>
    <t>/* “McConnells comments are undue weight” */</t>
  </si>
  <si>
    <t>Undid revision 1009056959 by [[Special:Contributions/69.63.170.68|69.63.170.68]] ([[User talk:69.63.170.68|talk]])whaT?</t>
  </si>
  <si>
    <t>/* This article is far too long and a textbook example of recentism */ new section</t>
  </si>
  <si>
    <t>cmt</t>
  </si>
  <si>
    <t>/* “Distinctions” section needed for Donald Trump entry.  */ new section</t>
  </si>
  <si>
    <t>/* This article is far too long and a textbook example of recentism */</t>
  </si>
  <si>
    <t>/* “Distinctions” section needed for Donald Trump entry. */ Responded to edit request</t>
  </si>
  <si>
    <t>/* Suggestion for lead - Two paragraphs or one? */</t>
  </si>
  <si>
    <t>/* Extended-confirmed-protected edit request on 27 February 2021 */ new section</t>
  </si>
  <si>
    <t>Restored revision 1009285709 by [[Special:Contributions/Sdkb|Sdkb]] ([[User talk:Sdkb|talk]]): I'm not even sure what this means and sounds like [[WP:NOTAFORUM]] content</t>
  </si>
  <si>
    <t>Archiving 4 discussion(s) to [[Talk:Donald Trump/Archive 133]]) (bot</t>
  </si>
  <si>
    <t>/* The lead is perfect; leave it be */ We may be getting carried away here.</t>
  </si>
  <si>
    <t>/* Citations */ com</t>
  </si>
  <si>
    <t>/* Lead sentence proposal */ A, B, C, D, G, H.</t>
  </si>
  <si>
    <t>/* North Korea */</t>
  </si>
  <si>
    <t>/* Good articlew */ new section</t>
  </si>
  <si>
    <t>/* Good articlew */ typo</t>
  </si>
  <si>
    <t>/* Good article */</t>
  </si>
  <si>
    <t>/* Extended-confirmed-protected edit request on 28 February 2021 */ new section</t>
  </si>
  <si>
    <t>/* Extended-confirmed-protected edit request on 28 February 2021 */ sure</t>
  </si>
  <si>
    <t>/* Impeachment sentences in lead fail to provide essential context */</t>
  </si>
  <si>
    <t>/* Bemoaning Sessions's recusal */</t>
  </si>
  <si>
    <t>Archiving 1 discussion(s) to [[Talk:Donald Trump/Archive 134]]) (bot</t>
  </si>
  <si>
    <t>/* Impeachment sentences in lead fail to provide essential context */ support</t>
  </si>
  <si>
    <t>/* Lead sentence proposal */ Britannica writes "served as"</t>
  </si>
  <si>
    <t>/* Trump political party timeline */  cmt</t>
  </si>
  <si>
    <t>/* Health per Harold Bornstein */  cmt</t>
  </si>
  <si>
    <t>fmt my old comment</t>
  </si>
  <si>
    <t>/* This article is far too long and a textbook example of recentism */ not as too-long as before</t>
  </si>
  <si>
    <t>yeet</t>
  </si>
  <si>
    <t>Please, don't do that again</t>
  </si>
  <si>
    <t>/* Health per Harold Bornstein */</t>
  </si>
  <si>
    <t>/* Trump current party is patriot not republican */ new section</t>
  </si>
  <si>
    <t>Signing comment by [[User:Tbiters|Tbiters]] - "/* Trump current party is patriot not republican */ new section"</t>
  </si>
  <si>
    <t>/* Trump current party is patriot not republican */</t>
  </si>
  <si>
    <t>/* “Distinctions” section needed for Donald Trump entry. */</t>
  </si>
  <si>
    <t>Archiving 3 discussion(s) to [[Talk:Donald Trump/Archive 134]]) (bot</t>
  </si>
  <si>
    <t>/* Extended-confirmed-protected edit request on 4 March 2021 */ new section</t>
  </si>
  <si>
    <t>Restored revision 1010147325 by [[Special:Contributions/Lowercase sigmabot III|Lowercase sigmabot III]] ([[User talk:Lowercase sigmabot III|talk]]): WP:SOAPBOX</t>
  </si>
  <si>
    <t>Please be more careful</t>
  </si>
  <si>
    <t>ok done</t>
  </si>
  <si>
    <t>Reverted edits by [[Special:Contribs/Walnutman83759|Walnutman83759]] ([[User talk:Walnutman83759|talk]]) to last version by SPECIFICO</t>
  </si>
  <si>
    <t>Archiving 2 discussion(s) to [[Talk:Donald Trump/Archive 134]]) (bot</t>
  </si>
  <si>
    <t>/* Trump’s “false” claims of fraud */ new section</t>
  </si>
  <si>
    <t>/* Trump’s “false” claims of fraud */</t>
  </si>
  <si>
    <t>/* Trump’s “false” claims of fraud */ Replying to Muboshgu (using [[w:en:User:Enterprisey/reply-link|reply-link]])</t>
  </si>
  <si>
    <t>[[User:Technical 13/1CA|OneClickArchiver]] archived [[Special:Diff/1010610053|“Distinctions” section needed for Donald Trump entry.]] to [[Talk:Donald Trump/Archive 134#“Distinctions” section needed for Donald Trump entry.|Talk:Donald Trump/Archive 134]]</t>
  </si>
  <si>
    <t>Signing comment by [[User:Albert the monkey|Albert the monkey]] - "/* Trump current party is patriot not republican */"</t>
  </si>
  <si>
    <t>/* "refused to concede defeat until January 7" */ new section</t>
  </si>
  <si>
    <t>Restored revision 1010736746 by [[Special:Contributions/Lowercase sigmabot III|Lowercase sigmabot III]] ([[User talk:Lowercase sigmabot III|talk]])</t>
  </si>
  <si>
    <t>/* Extended-confirmed-protected edit request on 7 March 2021 */ new section</t>
  </si>
  <si>
    <t>[[WP:SOAPBOX]]</t>
  </si>
  <si>
    <t>/* Extended-confirmed-protected edit request on 7 March 2021 */ Nope</t>
  </si>
  <si>
    <t>removing {{pp-vandalism}} as page is not edit-protected ([[User:MusikBot II/FixPP/FAQ|more info]])</t>
  </si>
  <si>
    <t>[[User:Equazcion/OneClickArchiver|OneClickArchiver]] archived 1 discussion to [[Talk:Donald Trump/Archive 134]]</t>
  </si>
  <si>
    <t>Re</t>
  </si>
  <si>
    <t>/* Rank choice !vote tallies */ Replying to Kolya Butternut (using [[w:en:User:Enterprisey/reply-link|reply-link]])</t>
  </si>
  <si>
    <t>/* RfC at Republican Party */ new section</t>
  </si>
  <si>
    <t>/* Extended-confirmed-protected edit request on 10 March 2021 */ new section</t>
  </si>
  <si>
    <t>/* Extended-confirmed-protected edit request on 10 March 2021 */ Responded to edit request ([[WP:EPH|EPH]] | [[User:Awesome Aasim/editrequest|AER]])</t>
  </si>
  <si>
    <t>/* Edit request: undo most recent edit by Atsme which downplays/whitewashes the storming of the capitol. */ new section</t>
  </si>
  <si>
    <t>/* Edit request: undo most recent edit by Atsme which downplays/whitewashes the storming of the capitol. */</t>
  </si>
  <si>
    <t>/* Extended Protection edit request */ new section</t>
  </si>
  <si>
    <t>/* Extended Protection edit request */</t>
  </si>
  <si>
    <t>/* Edit request: undo most recent edit by Atsme which downplays/whitewashes the storming of the capitol. */ no downplaying - neutral language - big difference</t>
  </si>
  <si>
    <t>/* NPOV */</t>
  </si>
  <si>
    <t>Reverted edits by [[Special:Contribs/2601:1C2:101:3480:1D0F:B662:4FA3:5613|2601:1C2:101:3480:1D0F:B662:4FA3:5613]] ([[User talk:2601:1C2:101:3480:1D0F:B662:4FA3:5613|talk]]) to last version by Willbb234</t>
  </si>
  <si>
    <t>/* Edit request: undo most recent edit by Atsme which downplays/whitewashes the storming of the capitol. */ unconvinced</t>
  </si>
  <si>
    <t>/* Impeachment sentences in lead fail to provide essential context */ Replying to Anon0098 (using [[w:en:User:Enterprisey/reply-link|reply-link]])</t>
  </si>
  <si>
    <t>/* Rank choice !vote tallies */</t>
  </si>
  <si>
    <t>[[User:Technical 13/1CA|OneClickArchiver]] archived [[Special:Diff/1011520504|Extended-confirmed-protected edit request on 7 March 2021]] to [[Talk:Donald Trump/Archive 134#Extended-confirmed-protected edit request on 7 March 2021|Talk:Donald Trump/Archive 134]]</t>
  </si>
  <si>
    <t>[[User:AnomieBOT/docs/TemplateSubster|Substing templates]]: {{Unsigned}}. See [[User:AnomieBOT/docs/TemplateSubster]] for info.</t>
  </si>
  <si>
    <t>/* Edit request: undo most recent edit by Atsme which downplays/whitewashes the storming of the capitol. */ snarkiness</t>
  </si>
  <si>
    <t>/* Edit request: undo most recent edit by Atsme which downplays/whitewashes the storming of the capitol. */ tone-policing is maybe not the most constructive approach in this particular situation</t>
  </si>
  <si>
    <t>/* Edit request: undo most recent edit by Atsme which downplays/whitewashes the storming of the capitol. */ unsigned</t>
  </si>
  <si>
    <t>/* NPOV */ reply</t>
  </si>
  <si>
    <t>/* Edit request: undo most recent edit by Atsme which downplays/whitewashes the storming of the capitol. */ Reply</t>
  </si>
  <si>
    <t>fix pink I somehow broke</t>
  </si>
  <si>
    <t>/* Edit request: undo most recent edit by Atsme which downplays/whitewashes the storming of the capitol. */ word</t>
  </si>
  <si>
    <t>/* Pandemic response program terminated */ comment</t>
  </si>
  <si>
    <t>/* Pandemic response program terminated */</t>
  </si>
  <si>
    <t>/* Edit request: undo most recent edit by Atsme which downplays/whitewashes the storming of the capitol. */ hat inappropriate content for article talk page</t>
  </si>
  <si>
    <t>/* Lead sentence proposal */ closed discussion with consensus for choice A</t>
  </si>
  <si>
    <t>/* Extended-confirmed-protected edit request on 12 March 2021 */ new section</t>
  </si>
  <si>
    <t>/* Extended-confirmed-protected edit request on 12 March 2021 */</t>
  </si>
  <si>
    <t>/* Donald Trump child picture use on this page or the wiki */ rp</t>
  </si>
  <si>
    <t>/* Donald Trump child picture use on this page or the wiki */ r</t>
  </si>
  <si>
    <t>/* Donald Trump child picture use on this page or the wiki */ request</t>
  </si>
  <si>
    <t>/* Donald Trump child picture use on this page or the wiki */</t>
  </si>
  <si>
    <t>/* Donald Trump child picture use on this page or the wiki */ new section</t>
  </si>
  <si>
    <t>r</t>
  </si>
  <si>
    <t>Undid revision 1011762757 by [[Special:Contributions/SomeBodyAnyBody05|SomeBodyAnyBody05]] ([[User talk:SomeBodyAnyBody05|talk]]) this doesn't solve the issue of copyright and given the significant input from other editors, this isn't really your choice to remove</t>
  </si>
  <si>
    <t>Undid revision 1011763257 by [[Special:Contributions/Praxidicae|Praxidicae]] ([[User talk:Praxidicae|talk]]) This discussion was going nowhere and deriving from its original purpose  so i am removing it. It's obvious that this possibly a copyrighted image so and you guys don't support it so I am removing this discussion. I just changed my vote on commons to delete</t>
  </si>
  <si>
    <t>Reverted 1 edit by [[Special:Contributions/SomeBodyAnyBody05|SomeBodyAnyBody05]] ([[User talk:SomeBodyAnyBody05|talk]]): Do not remove other's talk page posts</t>
  </si>
  <si>
    <t>/* {{anchor|Extended-confirmed-protected edit request on 12 March 2021}} Loser.com */</t>
  </si>
  <si>
    <t>/* Extended-confirmed-protected edit request on 12 March 2021 */ respond</t>
  </si>
  <si>
    <t>/* top */ correct number of days to archive in notice</t>
  </si>
  <si>
    <t>/* ranking out of us presidents */ new section</t>
  </si>
  <si>
    <t>Signing comment by [[User:TTTTRZON|TTTTRZON]] - "/* ranking out of us presidents */ new section"</t>
  </si>
  <si>
    <t>/* NPOV */ new section</t>
  </si>
  <si>
    <t>/* Edit request: undo most recent edit by Atsme which downplays/whitewashes the storming of the capitol. */ thank Val, explain what appears to be snark</t>
  </si>
  <si>
    <t>/* Edit request: undo most recent edit by Atsme which downplays/whitewashes the storming of the capitol. */ {{ec}} the Hounding must stop</t>
  </si>
  <si>
    <t>/* Edit request: undo most recent edit by Atsme which downplays/whitewashes the storming of the capitol. */ threat</t>
  </si>
  <si>
    <t>/* Edit request: undo most recent edit by Atsme which downplays/whitewashes the storming of the capitol. */ ce - meant Capitol not WH</t>
  </si>
  <si>
    <t>/* Still bias */</t>
  </si>
  <si>
    <t>/* Trump political party timeline */</t>
  </si>
  <si>
    <t>/* Trump’s “false” claims of fraud */ Replying to Interstellarity (using [[w:en:User:Enterprisey/reply-link|reply-link]])</t>
  </si>
  <si>
    <t>Undid revision 1012304267 by [[Special:Contributions/Thedino778|Thedino778]] ([[User talk:Thedino778|talk]]) topic is closed</t>
  </si>
  <si>
    <t>/* Extended-confirmed-protected edit request on 15 March 2021 */ new section</t>
  </si>
  <si>
    <t>/* Extended-confirmed-protected edit request on 15 March 2021 */ [[WP:NOTAFORUM]]</t>
  </si>
  <si>
    <t>/* Still bias (2.0) */</t>
  </si>
  <si>
    <t>/* Still bias (2.0) */ clar comment</t>
  </si>
  <si>
    <t>Restored revision 1012344732 by [[Special:Contributions/Symmachus Auxiliarus|Symmachus Auxiliarus]] ([[User talk:Symmachus Auxiliarus|talk]]): Don't delete discussions.</t>
  </si>
  <si>
    <t>/* Still bias (2.0) */ own fault</t>
  </si>
  <si>
    <t>/* Donald Trump Article */</t>
  </si>
  <si>
    <t>[[WP:NOTAFORUM]]</t>
  </si>
  <si>
    <t>/* Still bias */ new section</t>
  </si>
  <si>
    <t>Signing comment by [[User:Thedino778|Thedino778]] - "/* Still bias */"</t>
  </si>
  <si>
    <t>/* Still bias */ Replying to Thedino778 (using [[w:en:User:Enterprisey/reply-link|reply-link]])</t>
  </si>
  <si>
    <t>Archiving 1 discussion(s) to [[Talk:Donald Trump/Archive 135]]) (bot</t>
  </si>
  <si>
    <t>/* Still bias (2.0)  */ new section</t>
  </si>
  <si>
    <t>/* x */ new section</t>
  </si>
  <si>
    <t>Reverted edits by [[Special:Contribs/Thedino778|Thedino778]] ([[User talk:Thedino778|talk]]) to last version by MelanieN</t>
  </si>
  <si>
    <t>/* Post Presidency  */ new section</t>
  </si>
  <si>
    <t>Undid revision 1012387818 by [[Special:Contributions/Legobot|Legobot]] ([[User talk:Legobot|talk]]) Unexpiring</t>
  </si>
  <si>
    <t>Removing expired RFC template.</t>
  </si>
  <si>
    <t>Less archiving required; 7 --&gt; 14 days</t>
  </si>
  <si>
    <t>Reverted edits by [[Special:Contribs/173.212.61.150|173.212.61.150]] ([[User talk:173.212.61.150|talk]]) to last version by Onetwothreeip</t>
  </si>
  <si>
    <t>Reverted edits by [[Special:Contributions/173.212.61.150|173.212.61.150]] ([[User talk:173.212.61.150|talk]]) ([[WP:HG|HG]]) (3.4.10)</t>
  </si>
  <si>
    <t>Signing comment by [[Special:Contributions/46.114.38.126|46.114.38.126]] - ""</t>
  </si>
  <si>
    <t>/* Loser.com */ Replying to Khajidha (using [[w:en:User:Enterprisey/reply-link|reply-link]])</t>
  </si>
  <si>
    <t>rvv</t>
  </si>
  <si>
    <t>/* Post Presidency */</t>
  </si>
  <si>
    <t>Article suggestion</t>
  </si>
  <si>
    <t>/* Article suggestion */</t>
  </si>
  <si>
    <t>/* Article suggestion */ Sources are out there, but staying power is a legitimate question.</t>
  </si>
  <si>
    <t>Unarchiving, this is yet to be closed.</t>
  </si>
  <si>
    <t>/* Pandemic response program terminated */ r to Bdushaw</t>
  </si>
  <si>
    <t>/* Trump political party timeline */ looks terrible</t>
  </si>
  <si>
    <t>/* Citations */ support reduction</t>
  </si>
  <si>
    <t>/* Pandemic response program terminated */ I don't follow SPECIFICO's reply at all</t>
  </si>
  <si>
    <t>/* Pandemic response program terminated */ ping some long-time editors here to help me understand</t>
  </si>
  <si>
    <t>/* Pandemic response program terminated */ expand on my reply</t>
  </si>
  <si>
    <t>/* Pandemic response program terminated */ Replying to Power~enwiki (using [[w:en:User:Enterprisey/reply-link|reply-link]])</t>
  </si>
  <si>
    <t>/* Donald Trump Article */ close thread</t>
  </si>
  <si>
    <t>[[User:Technical 13/1CA|OneClickArchiver]] archived [[Special:Diff/1012754396|Still bias (2.0)]] to [[Talk:Donald Trump/Archive 135#Still bias (2.0)|Talk:Donald Trump/Archive 135]]</t>
  </si>
  <si>
    <t>/* Extended-confirmed-protected edit request on 18 March 2021 */ new section</t>
  </si>
  <si>
    <t>/* Extended-confirmed-protected edit request on 18 March 2021 */</t>
  </si>
  <si>
    <t>/* Add U.S. on to birthplace in infobox */ new section</t>
  </si>
  <si>
    <t>[[User:Technical 13/1CA|OneClickArchiver]] archived [[Special:Diff/1011849533|Lead sentence proposal]] to [[Talk:Donald Trump/Archive 134#Lead sentence proposal|Talk:Donald Trump/Archive 134]]</t>
  </si>
  <si>
    <t>/* Extended-confirmed-protected edit request on 19 March 2021 */ new section</t>
  </si>
  <si>
    <t>/* Extended-confirmed-protected edit request on 19 March 2021 */</t>
  </si>
  <si>
    <t>[[User:Equazcion/OneClickArchiver|OneClickArchiver]] archived 1 discussion to [[Talk:Donald Trump/Archive 135]]</t>
  </si>
  <si>
    <t>[[User:Equazcion/OneClickArchiver|OneClickArchiver]] archived 1 discussion to [[Talk:Donald Trump/Archive 133]]</t>
  </si>
  <si>
    <t>/* Citations */</t>
  </si>
  <si>
    <t>/* Citations */ Replying to SPECIFICO (using [[w:en:User:Enterprisey/reply-link|reply-link]])</t>
  </si>
  <si>
    <t>/* Darned Annoying */</t>
  </si>
  <si>
    <t>/* Ethics experts? */</t>
  </si>
  <si>
    <t>/* Suggestion for lead - Two paragraphs or one? */ addition, modify section heading to better identify it</t>
  </si>
  <si>
    <t>/* Bemoaning Sessions's recusal */ new section</t>
  </si>
  <si>
    <t>/* Article suggestion */ Yes, there are significant numbers of sources that define his followers as a cult of personality.  Most are opinion pieces.</t>
  </si>
  <si>
    <t>/* "refused to concede defeat until January 7" */ Replying to ONUnicorn (using [[w:en:User:Enterprisey/reply-link|reply-link]])</t>
  </si>
  <si>
    <t>/* "refused to concede defeat until January 7" */ respond re:sources, and made a small joke.</t>
  </si>
  <si>
    <t>/* Article suggestion */ Added a couple, realized I forgot to sign before.</t>
  </si>
  <si>
    <t>/* Article suggestion */ r</t>
  </si>
  <si>
    <t>/* Trump political party timeline */ new section</t>
  </si>
  <si>
    <t>/* Trump political party timeline */ Re</t>
  </si>
  <si>
    <t>/* Trump political party timeline */ Reply</t>
  </si>
  <si>
    <t>Add FAQ about [[loser.com]]</t>
  </si>
  <si>
    <t>/* Revert */ new section</t>
  </si>
  <si>
    <t>/* NPOV */ fix</t>
  </si>
  <si>
    <t>/* Revert */ reply</t>
  </si>
  <si>
    <t>/* Revert */</t>
  </si>
  <si>
    <t>/* Referencing legislation names in lead */ new section</t>
  </si>
  <si>
    <t>Reverted 1 edit by [[Special:Contributions/2409:4042:E9E:D93C:0:0:6A48:B50E|2409:4042:E9E:D93C:0:0:6A48:B50E]] ([[User talk:2409:4042:E9E:D93C:0:0:6A48:B50E|talk]]) to last revision by Basil the Bat Lord</t>
  </si>
  <si>
    <t>/* Donald Trump Article */ r</t>
  </si>
  <si>
    <t>/* Donald Trump Article */ Replying to Thedino778 (using [[w:en:User:Enterprisey/reply-link|reply-link]])</t>
  </si>
  <si>
    <t>/* Impeachment sentences in lead fail to provide essential context */ re</t>
  </si>
  <si>
    <t>/* Impeachment sentences in lead fail to provide essential context */ new section</t>
  </si>
  <si>
    <t>/* Impeachment sentences in lead fail to provide essential context */ re, adjust</t>
  </si>
  <si>
    <t>/* Referencing legislation names in lead */ add</t>
  </si>
  <si>
    <t>/* Trump wall */ new section</t>
  </si>
  <si>
    <t>Reverted edits by [[Special:Contribs/61.230.185.19|61.230.185.19]] ([[User talk:61.230.185.19|talk]]) to last version by Jack Upland</t>
  </si>
  <si>
    <t>/* Extended-confirmed-protected edit request on 22 March 2021 */ new section</t>
  </si>
  <si>
    <t>Signing comment by [[Special:Contributions/81.242.122.111|81.242.122.111]] - "/* Extended-confirmed-protected edit request on 22 March 2021 */ new section"</t>
  </si>
  <si>
    <t>/* Bias */ new section</t>
  </si>
  <si>
    <t>Signing comment by [[User:WaffleMan45|WaffleMan45]] - "/* Bias */ new section"</t>
  </si>
  <si>
    <t>Reply</t>
  </si>
  <si>
    <t>/* Post Presidency */ Jesus what's wrong with me</t>
  </si>
  <si>
    <t>Restored revision 1013614562 by [[Special:Contributions/Slatersteven|Slatersteven]] ([[User talk:Slatersteven|talk]]): Unhelpful</t>
  </si>
  <si>
    <t>/* Covcid 19 */</t>
  </si>
  <si>
    <t>/* ranking out of us presidents */</t>
  </si>
  <si>
    <t>/* Covid 19 */ fixing format</t>
  </si>
  <si>
    <t>[[User:Technical 13/1CA|OneClickArchiver]] archived [[Special:Diff/1013730866|Extended-confirmed-protected edit request on 22 March 2021]] to [[Talk:Donald Trump/Archive 135#Extended-confirmed-protected edit request on 22 March 2021|Talk:Donald Trump/Archive 135]]</t>
  </si>
  <si>
    <t>[[User:Technical 13/1CA|OneClickArchiver]] archived [[Special:Diff/1011664956|Extended-confirmed-protected edit request on 10 March 2021]] to [[Talk:Donald Trump/Archive 134#Extended-confirmed-protected edit request on 10 March 2021|Talk:Donald Trump/Archive 134]]</t>
  </si>
  <si>
    <t>/* Ethics experts? */ new section</t>
  </si>
  <si>
    <t>[[User:Technical 13/1CA|OneClickArchiver]] archived [[Special:Diff/1012683809|Donald Trump Article]] to [[Talk:Donald Trump/Archive 135#Donald Trump Article|Talk:Donald Trump/Archive 135]]</t>
  </si>
  <si>
    <t>/* Covid 19 */</t>
  </si>
  <si>
    <t>/* Hitler */ new section</t>
  </si>
  <si>
    <t>Signing comment by [[User:Jampolice|Jampolice]] - "/* Hitler */ new section"</t>
  </si>
  <si>
    <t>/* Hitler */ BLP violating silliness</t>
  </si>
  <si>
    <t>/* NPOV edit to intro */ Replying to Dswitz10734 (using [[w:en:User:Enterprisey/reply-link|reply-link]])</t>
  </si>
  <si>
    <t>Archiving 1 discussion(s) to [[Talk:Donald Trump/Archive 133]]) (bot</t>
  </si>
  <si>
    <t>/* NPOV edit to intro */</t>
  </si>
  <si>
    <t>/* Referencing legislation names in lead */</t>
  </si>
  <si>
    <t>/* Trump wall */</t>
  </si>
  <si>
    <t>/* Covid 19 */ ditto</t>
  </si>
  <si>
    <t>Custom Menu Item Text</t>
  </si>
  <si>
    <t>Custom Menu Item Action</t>
  </si>
  <si>
    <t>Vertex Type</t>
  </si>
  <si>
    <t>Content</t>
  </si>
  <si>
    <t>Age</t>
  </si>
  <si>
    <t>Gini Coefficient</t>
  </si>
  <si>
    <t>Nr Revisions</t>
  </si>
  <si>
    <t>URL</t>
  </si>
  <si>
    <t>Open Wiki Page for This User</t>
  </si>
  <si>
    <t>http://en.wikipedia.org/wiki/User:Gråbergs Gråa Sång</t>
  </si>
  <si>
    <t>http://en.wikipedia.org/wiki/User:5a5ha seven</t>
  </si>
  <si>
    <t>http://en.wikipedia.org/wiki/User:Jack Upland</t>
  </si>
  <si>
    <t>http://en.wikipedia.org/wiki/User:Lowercase sigmabot III</t>
  </si>
  <si>
    <t>http://en.wikipedia.org/wiki/User:Kolya Butternut</t>
  </si>
  <si>
    <t>http://en.wikipedia.org/wiki/User:Albert the monkey</t>
  </si>
  <si>
    <t>http://en.wikipedia.org/wiki/User:MusikBot II</t>
  </si>
  <si>
    <t>http://en.wikipedia.org/wiki/User:Paine Ellsworth</t>
  </si>
  <si>
    <t>http://en.wikipedia.org/wiki/User:Symmachus Auxiliarus</t>
  </si>
  <si>
    <t>http://en.wikipedia.org/wiki/User:Larry Hockett</t>
  </si>
  <si>
    <t>http://en.wikipedia.org/wiki/User:The Four Deuces</t>
  </si>
  <si>
    <t>http://en.wikipedia.org/wiki/User:Basil the Bat Lord</t>
  </si>
  <si>
    <t>Editor</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</si>
  <si>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</si>
  <si>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</si>
  <si>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</si>
  <si>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</si>
  <si>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</si>
  <si>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</si>
  <si>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</si>
  <si>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</si>
  <si>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</si>
  <si>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</si>
  <si>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</si>
  <si>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</si>
  <si>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</si>
  <si>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</si>
  <si>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</si>
  <si>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</si>
  <si>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</si>
  <si>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</si>
  <si>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</si>
  <si>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</si>
  <si>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</si>
  <si>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</si>
  <si>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</si>
  <si>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</si>
  <si>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</si>
  <si>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</si>
  <si>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</si>
  <si>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</si>
  <si>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</si>
  <si>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</si>
  <si>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</si>
  <si>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donald</t>
  </si>
  <si>
    <t>lead</t>
  </si>
  <si>
    <t>extended</t>
  </si>
  <si>
    <t>confirmed</t>
  </si>
  <si>
    <t>2021</t>
  </si>
  <si>
    <t>special</t>
  </si>
  <si>
    <t>march</t>
  </si>
  <si>
    <t>impeachment</t>
  </si>
  <si>
    <t>sentences</t>
  </si>
  <si>
    <t>fail</t>
  </si>
  <si>
    <t>provide</t>
  </si>
  <si>
    <t>essential</t>
  </si>
  <si>
    <t>context</t>
  </si>
  <si>
    <t>bias</t>
  </si>
  <si>
    <t>capitol</t>
  </si>
  <si>
    <t>undo</t>
  </si>
  <si>
    <t>atsme</t>
  </si>
  <si>
    <t>downplays</t>
  </si>
  <si>
    <t>whitewashes</t>
  </si>
  <si>
    <t>storming</t>
  </si>
  <si>
    <t>oneclickarchiver</t>
  </si>
  <si>
    <t>party</t>
  </si>
  <si>
    <t>npov</t>
  </si>
  <si>
    <t>en</t>
  </si>
  <si>
    <t>enterprisey</t>
  </si>
  <si>
    <t>134</t>
  </si>
  <si>
    <t>bot</t>
  </si>
  <si>
    <t>revision</t>
  </si>
  <si>
    <t>archived</t>
  </si>
  <si>
    <t>19</t>
  </si>
  <si>
    <t>thedino778</t>
  </si>
  <si>
    <t>refused</t>
  </si>
  <si>
    <t>concede</t>
  </si>
  <si>
    <t>defeat</t>
  </si>
  <si>
    <t>january</t>
  </si>
  <si>
    <t>pandemic</t>
  </si>
  <si>
    <t>response</t>
  </si>
  <si>
    <t>program</t>
  </si>
  <si>
    <t>terminated</t>
  </si>
  <si>
    <t>reverted</t>
  </si>
  <si>
    <t>61</t>
  </si>
  <si>
    <t>political</t>
  </si>
  <si>
    <t>timeline</t>
  </si>
  <si>
    <t>child</t>
  </si>
  <si>
    <t>picture</t>
  </si>
  <si>
    <t>lowercase</t>
  </si>
  <si>
    <t>sigmabot</t>
  </si>
  <si>
    <t>iii</t>
  </si>
  <si>
    <t>135</t>
  </si>
  <si>
    <t>12</t>
  </si>
  <si>
    <t>technical</t>
  </si>
  <si>
    <t>13</t>
  </si>
  <si>
    <t>1ca</t>
  </si>
  <si>
    <t>diff</t>
  </si>
  <si>
    <t>republican</t>
  </si>
  <si>
    <t>long</t>
  </si>
  <si>
    <t>citations</t>
  </si>
  <si>
    <t>contribs</t>
  </si>
  <si>
    <t>173</t>
  </si>
  <si>
    <t>212</t>
  </si>
  <si>
    <t>150</t>
  </si>
  <si>
    <t>undid</t>
  </si>
  <si>
    <t>com</t>
  </si>
  <si>
    <t>somebodyanybody05</t>
  </si>
  <si>
    <t>current</t>
  </si>
  <si>
    <t>patriot</t>
  </si>
  <si>
    <t>good</t>
  </si>
  <si>
    <t>referencing</t>
  </si>
  <si>
    <t>legislation</t>
  </si>
  <si>
    <t>names</t>
  </si>
  <si>
    <t>bemoaning</t>
  </si>
  <si>
    <t>sessions's</t>
  </si>
  <si>
    <t>recusal</t>
  </si>
  <si>
    <t>equazcion</t>
  </si>
  <si>
    <t>post</t>
  </si>
  <si>
    <t>presidency</t>
  </si>
  <si>
    <t>10</t>
  </si>
  <si>
    <t>removing</t>
  </si>
  <si>
    <t>restored</t>
  </si>
  <si>
    <t>loser</t>
  </si>
  <si>
    <t>closed</t>
  </si>
  <si>
    <t>sentence</t>
  </si>
  <si>
    <t>health</t>
  </si>
  <si>
    <t>harold</t>
  </si>
  <si>
    <t>bornstein</t>
  </si>
  <si>
    <t>distinctions</t>
  </si>
  <si>
    <t>entry</t>
  </si>
  <si>
    <t>false</t>
  </si>
  <si>
    <t>claims</t>
  </si>
  <si>
    <t>fraud</t>
  </si>
  <si>
    <t>far</t>
  </si>
  <si>
    <t>textbook</t>
  </si>
  <si>
    <t>recentism</t>
  </si>
  <si>
    <t>february</t>
  </si>
  <si>
    <t>perfect</t>
  </si>
  <si>
    <t>leave</t>
  </si>
  <si>
    <t>22</t>
  </si>
  <si>
    <t>wall</t>
  </si>
  <si>
    <t>revert</t>
  </si>
  <si>
    <t>support</t>
  </si>
  <si>
    <t>choice</t>
  </si>
  <si>
    <t>protection</t>
  </si>
  <si>
    <t>paragraphs</t>
  </si>
  <si>
    <t>mcconnells</t>
  </si>
  <si>
    <t>comments</t>
  </si>
  <si>
    <t>undue</t>
  </si>
  <si>
    <t>weight</t>
  </si>
  <si>
    <t>intro</t>
  </si>
  <si>
    <t>hitler</t>
  </si>
  <si>
    <t>230</t>
  </si>
  <si>
    <t>185</t>
  </si>
  <si>
    <t>2409</t>
  </si>
  <si>
    <t>4042</t>
  </si>
  <si>
    <t>e9e</t>
  </si>
  <si>
    <t>d93c</t>
  </si>
  <si>
    <t>6a48</t>
  </si>
  <si>
    <t>b50e</t>
  </si>
  <si>
    <t>sources</t>
  </si>
  <si>
    <t>rfc</t>
  </si>
  <si>
    <t>legobot</t>
  </si>
  <si>
    <t>symmachus</t>
  </si>
  <si>
    <t>auxiliarus</t>
  </si>
  <si>
    <t>notaforum</t>
  </si>
  <si>
    <t>anchor</t>
  </si>
  <si>
    <t>ranking</t>
  </si>
  <si>
    <t>presidents</t>
  </si>
  <si>
    <t>praxidicae</t>
  </si>
  <si>
    <t>vote</t>
  </si>
  <si>
    <t>covid</t>
  </si>
  <si>
    <t>2601</t>
  </si>
  <si>
    <t>1c2</t>
  </si>
  <si>
    <t>101</t>
  </si>
  <si>
    <t>3480</t>
  </si>
  <si>
    <t>1d0f</t>
  </si>
  <si>
    <t>b662</t>
  </si>
  <si>
    <t>4fa3</t>
  </si>
  <si>
    <t>5613</t>
  </si>
  <si>
    <t>interstellarity</t>
  </si>
  <si>
    <t>walnutman83759</t>
  </si>
  <si>
    <t>133</t>
  </si>
  <si>
    <t>slatersteven</t>
  </si>
  <si>
    <t>sdkb</t>
  </si>
  <si>
    <t>27</t>
  </si>
  <si>
    <t>69</t>
  </si>
  <si>
    <t>63</t>
  </si>
  <si>
    <t>170</t>
  </si>
  <si>
    <t>68</t>
  </si>
  <si>
    <t>99</t>
  </si>
  <si>
    <t>120</t>
  </si>
  <si>
    <t>250</t>
  </si>
  <si>
    <t>187</t>
  </si>
  <si>
    <t>jampolice</t>
  </si>
  <si>
    <t>waffleman45</t>
  </si>
  <si>
    <t>81</t>
  </si>
  <si>
    <t>242</t>
  </si>
  <si>
    <t>122</t>
  </si>
  <si>
    <t>111</t>
  </si>
  <si>
    <t>significant</t>
  </si>
  <si>
    <t>18</t>
  </si>
  <si>
    <t>power</t>
  </si>
  <si>
    <t>46</t>
  </si>
  <si>
    <t>114</t>
  </si>
  <si>
    <t>38</t>
  </si>
  <si>
    <t>126</t>
  </si>
  <si>
    <t>hg</t>
  </si>
  <si>
    <t>expired</t>
  </si>
  <si>
    <t>template</t>
  </si>
  <si>
    <t>delete</t>
  </si>
  <si>
    <t>15</t>
  </si>
  <si>
    <t>faq</t>
  </si>
  <si>
    <t>ttttrzon</t>
  </si>
  <si>
    <t>respond</t>
  </si>
  <si>
    <t>remove</t>
  </si>
  <si>
    <t>editors</t>
  </si>
  <si>
    <t>fix</t>
  </si>
  <si>
    <t>unsigned</t>
  </si>
  <si>
    <t>anomiebot</t>
  </si>
  <si>
    <t>docs</t>
  </si>
  <si>
    <t>templatesubster</t>
  </si>
  <si>
    <t>info</t>
  </si>
  <si>
    <t>responded</t>
  </si>
  <si>
    <t>eph</t>
  </si>
  <si>
    <t>rank</t>
  </si>
  <si>
    <t>tallies</t>
  </si>
  <si>
    <t>soapbox</t>
  </si>
  <si>
    <t>albert</t>
  </si>
  <si>
    <t>monkey</t>
  </si>
  <si>
    <t>ethics</t>
  </si>
  <si>
    <t>experts</t>
  </si>
  <si>
    <t>134#extended</t>
  </si>
  <si>
    <t>specifico</t>
  </si>
  <si>
    <t>tbiters</t>
  </si>
  <si>
    <t>28</t>
  </si>
  <si>
    <t>articlew</t>
  </si>
  <si>
    <t>north</t>
  </si>
  <si>
    <t>korea</t>
  </si>
  <si>
    <t>25</t>
  </si>
  <si>
    <t>146</t>
  </si>
  <si>
    <t>90</t>
  </si>
  <si>
    <t>33</t>
  </si>
  <si>
    <t>deep</t>
  </si>
  <si>
    <t>addressed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</si>
  <si>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</si>
  <si>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</si>
  <si>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</si>
  <si>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</si>
  <si>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</si>
  <si>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</si>
  <si>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</si>
  <si>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</si>
  <si>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</si>
  <si>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</si>
  <si>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</si>
  <si>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</si>
  <si>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</si>
  <si>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</si>
  <si>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</si>
  <si>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</si>
  <si>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</si>
  <si>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</si>
  <si>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</si>
  <si>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</si>
  <si>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</si>
  <si>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</si>
  <si>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</si>
  <si>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</si>
  <si>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</si>
  <si>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</si>
  <si>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</si>
  <si>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</si>
  <si>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</si>
  <si>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</si>
  <si>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</si>
  <si>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</si>
  <si>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</si>
  <si>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</si>
  <si>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</si>
  <si>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</si>
  <si>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</si>
  <si>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</si>
  <si>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</si>
  <si>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</si>
  <si>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</si>
  <si>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</si>
  <si>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</si>
  <si>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</si>
  <si>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</si>
  <si>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</si>
  <si>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</si>
  <si>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</si>
  <si>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</si>
  <si>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</si>
  <si>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</si>
  <si>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</si>
  <si>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</si>
  <si>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</si>
  <si>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</si>
  <si>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</si>
  <si>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</si>
  <si>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</si>
  <si>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</si>
  <si>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</si>
  <si>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</si>
  <si>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</si>
  <si>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</si>
  <si>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</si>
  <si>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</si>
  <si>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</si>
  <si>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</si>
  <si>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</si>
  <si>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</si>
  <si>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</si>
  <si>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</si>
  <si>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</si>
  <si>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</si>
  <si>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</si>
  <si>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</si>
  <si>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</si>
  <si>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G9 Count</t>
  </si>
  <si>
    <t>Top Words in Edit Comment</t>
  </si>
  <si>
    <t>trump confirmed march 2021 donald extended special 19 refused concede</t>
  </si>
  <si>
    <t>trump donald lead bot impeachment sentences fail provide essential context</t>
  </si>
  <si>
    <t>lead npov trump impeachment sentences fail provide essential context oneclickarchiver</t>
  </si>
  <si>
    <t>en enterprisey trump extended confirmed 2021 npov lead undo atsme</t>
  </si>
  <si>
    <t>bias capitol undo atsme downplays whitewashes storming trump donald pandemic</t>
  </si>
  <si>
    <t>donald trump child picture special 2409 4042 e9e d93c 6a48</t>
  </si>
  <si>
    <t>lead impeachment sentences fail provide essential context bemoaning sessions's recusal</t>
  </si>
  <si>
    <t>extended undo atsme downplays whitewashes storming capitol confirmed 10 march</t>
  </si>
  <si>
    <t>173 212 61 150 reverted special hg</t>
  </si>
  <si>
    <t>Top Word Pairs in Edit Comment in Entire Graph</t>
  </si>
  <si>
    <t>donald,trump</t>
  </si>
  <si>
    <t>extended,confirmed</t>
  </si>
  <si>
    <t>march,2021</t>
  </si>
  <si>
    <t>impeachment,sentences</t>
  </si>
  <si>
    <t>sentences,lead</t>
  </si>
  <si>
    <t>lead,fail</t>
  </si>
  <si>
    <t>fail,provide</t>
  </si>
  <si>
    <t>provide,essential</t>
  </si>
  <si>
    <t>essential,context</t>
  </si>
  <si>
    <t>undo,atsme</t>
  </si>
  <si>
    <t>Top Word Pairs in Edit Comment in G1</t>
  </si>
  <si>
    <t>refused,concede</t>
  </si>
  <si>
    <t>concede,defeat</t>
  </si>
  <si>
    <t>defeat,january</t>
  </si>
  <si>
    <t>technical,13</t>
  </si>
  <si>
    <t>13,1ca</t>
  </si>
  <si>
    <t>1ca,oneclickarchiver</t>
  </si>
  <si>
    <t>oneclickarchiver,archived</t>
  </si>
  <si>
    <t>Top Word Pairs in Edit Comment in G2</t>
  </si>
  <si>
    <t>trump,134</t>
  </si>
  <si>
    <t>134,bot</t>
  </si>
  <si>
    <t>Top Word Pairs in Edit Comment in G3</t>
  </si>
  <si>
    <t>atsme,downplays</t>
  </si>
  <si>
    <t>downplays,whitewashes</t>
  </si>
  <si>
    <t>Top Word Pairs in Edit Comment in G4</t>
  </si>
  <si>
    <t>en,enterprisey</t>
  </si>
  <si>
    <t>whitewashes,storming</t>
  </si>
  <si>
    <t>storming,capitol</t>
  </si>
  <si>
    <t>lead,perfect</t>
  </si>
  <si>
    <t>perfect,leave</t>
  </si>
  <si>
    <t>february,2021</t>
  </si>
  <si>
    <t>Top Word Pairs in Edit Comment in G5</t>
  </si>
  <si>
    <t>pandemic,response</t>
  </si>
  <si>
    <t>response,program</t>
  </si>
  <si>
    <t>program,terminated</t>
  </si>
  <si>
    <t>symmachus,auxiliarus</t>
  </si>
  <si>
    <t>Top Word Pairs in Edit Comment in G6</t>
  </si>
  <si>
    <t>trump,child</t>
  </si>
  <si>
    <t>child,picture</t>
  </si>
  <si>
    <t>2409,4042</t>
  </si>
  <si>
    <t>4042,e9e</t>
  </si>
  <si>
    <t>e9e,d93c</t>
  </si>
  <si>
    <t>d93c,6a48</t>
  </si>
  <si>
    <t>6a48,b50e</t>
  </si>
  <si>
    <t>referencing,legislation</t>
  </si>
  <si>
    <t>legislation,names</t>
  </si>
  <si>
    <t>Top Word Pairs in Edit Comment in G7</t>
  </si>
  <si>
    <t>bemoaning,sessions's</t>
  </si>
  <si>
    <t>sessions's,recusal</t>
  </si>
  <si>
    <t>Top Word Pairs in Edit Comment in G8</t>
  </si>
  <si>
    <t>confirmed,10</t>
  </si>
  <si>
    <t>10,march</t>
  </si>
  <si>
    <t>Top Word Pairs in Edit Comment in G9</t>
  </si>
  <si>
    <t>173,212</t>
  </si>
  <si>
    <t>212,61</t>
  </si>
  <si>
    <t>61,150</t>
  </si>
  <si>
    <t>150,173</t>
  </si>
  <si>
    <t>reverted,special</t>
  </si>
  <si>
    <t>Top Word Pairs in Edit Comment</t>
  </si>
  <si>
    <t>march,2021  donald,trump  extended,confirmed  refused,concede  concede,defeat  defeat,january  technical,13  13,1ca  1ca,oneclickarchiver  oneclickarchiver,archived</t>
  </si>
  <si>
    <t>donald,trump  impeachment,sentences  sentences,lead  lead,fail  fail,provide  provide,essential  essential,context  trump,134  134,bot  extended,confirmed</t>
  </si>
  <si>
    <t>impeachment,sentences  sentences,lead  lead,fail  fail,provide  provide,essential  essential,context  donald,trump  undo,atsme  atsme,downplays  downplays,whitewashes</t>
  </si>
  <si>
    <t>en,enterprisey  extended,confirmed  undo,atsme  atsme,downplays  downplays,whitewashes  whitewashes,storming  storming,capitol  lead,perfect  perfect,leave  february,2021</t>
  </si>
  <si>
    <t>undo,atsme  atsme,downplays  downplays,whitewashes  whitewashes,storming  storming,capitol  donald,trump  pandemic,response  response,program  program,terminated  symmachus,auxiliarus</t>
  </si>
  <si>
    <t>donald,trump  trump,child  child,picture  2409,4042  4042,e9e  e9e,d93c  d93c,6a48  6a48,b50e  referencing,legislation  legislation,names</t>
  </si>
  <si>
    <t>impeachment,sentences  sentences,lead  lead,fail  fail,provide  provide,essential  essential,context  bemoaning,sessions's  sessions's,recusal  pandemic,response  response,program</t>
  </si>
  <si>
    <t>undo,atsme  atsme,downplays  downplays,whitewashes  whitewashes,storming  storming,capitol  extended,confirmed  confirmed,10  10,march  march,2021</t>
  </si>
  <si>
    <t>173,212  212,61  61,150  150,173  reverted,special</t>
  </si>
  <si>
    <t>Top Words in Edit Comment by Count</t>
  </si>
  <si>
    <t>deep bias addressed</t>
  </si>
  <si>
    <t>trump false claims fraud muboshgu en enterprisey</t>
  </si>
  <si>
    <t>en enterprisey somebodyanybody05 trump refused concede defeat january interstellarity 99</t>
  </si>
  <si>
    <t>legobot bemoaning sessions's recusal lowercase sigmabot iii undid revision special</t>
  </si>
  <si>
    <t>special trump jampolice waffleman45 bias 81 242 122 111 46</t>
  </si>
  <si>
    <t>extended protection bigcheese76 en enterprisey closed</t>
  </si>
  <si>
    <t>extended confirmed march 2021 69 63 170 68 19 bias</t>
  </si>
  <si>
    <t>lead sentence perfect leave carried</t>
  </si>
  <si>
    <t>refused concede defeat january</t>
  </si>
  <si>
    <t>impeachment sentences lead fail provide essential context anchor extended confirmed</t>
  </si>
  <si>
    <t/>
  </si>
  <si>
    <t>lead perfect leave</t>
  </si>
  <si>
    <t>extended confirmed 25 february 2021</t>
  </si>
  <si>
    <t>extended confirmed 25 february 2021 removed</t>
  </si>
  <si>
    <t>mcconnells comments undue weight gershonmk en enterprisey</t>
  </si>
  <si>
    <t>far long textbook recentism</t>
  </si>
  <si>
    <t>cmt trump political party timeline fmt health harold bornstein</t>
  </si>
  <si>
    <t>distinctions donald trump entry</t>
  </si>
  <si>
    <t>trump wall health harold bornstein lead referencing legislation names impeachment</t>
  </si>
  <si>
    <t>oneclickarchiver equazcion archived donald trump impeachment sentences lead fail provide</t>
  </si>
  <si>
    <t>distinctions donald trump entry responded</t>
  </si>
  <si>
    <t>impeachment sentences lead fail provide essential context far long textbook</t>
  </si>
  <si>
    <t>lead paragraphs</t>
  </si>
  <si>
    <t>lead impeachment sentences fail provide essential context paragraphs pandemic response</t>
  </si>
  <si>
    <t>extended confirmed 27 february 2021</t>
  </si>
  <si>
    <t>lead impeachment sentences fail provide essential context en enterprisey citations</t>
  </si>
  <si>
    <t>restored revision special lowercase sigmabot iii slatersteven sdkb notaforum soapbox</t>
  </si>
  <si>
    <t>donald trump bot 134 135 133</t>
  </si>
  <si>
    <t>good articlew typo</t>
  </si>
  <si>
    <t>extended confirmed 28 february 2021</t>
  </si>
  <si>
    <t>impeachment sentences lead fail provide essential context</t>
  </si>
  <si>
    <t>bemoaning sessions's recusal</t>
  </si>
  <si>
    <t>trump political party timeline bemoaning sessions's recusal impeachment sentences lead</t>
  </si>
  <si>
    <t>impeachment sentences lead fail provide essential context support</t>
  </si>
  <si>
    <t>rank choice vote tallies lead sentence britannica writes served</t>
  </si>
  <si>
    <t>pandemic response program terminated trump donald long bias follow specifico's</t>
  </si>
  <si>
    <t>trump current party patriot republican</t>
  </si>
  <si>
    <t>good distinctions donald trump entry</t>
  </si>
  <si>
    <t>impeachment sentences lead fail provide essential context trump current party</t>
  </si>
  <si>
    <t>extended confirmed march 2021</t>
  </si>
  <si>
    <t>walnutman83759 reverted special contribs specifico</t>
  </si>
  <si>
    <t>thedino778 npov trump political party timeline undid revision 1012304267 special</t>
  </si>
  <si>
    <t>good trump false claims fraud</t>
  </si>
  <si>
    <t>trump donald technical 13 1ca oneclickarchiver archived special diff confirmed</t>
  </si>
  <si>
    <t>sources refused concede defeat january significant define followers cult personality</t>
  </si>
  <si>
    <t>lowercase sigmabot iii restored revision 1010736746 special</t>
  </si>
  <si>
    <t>removing pp vandalism musikbot ii fixpp faq info</t>
  </si>
  <si>
    <t>oneclickarchiver equazcion archived donald trump 134 rank choice vote tallies</t>
  </si>
  <si>
    <t>rfc republican party</t>
  </si>
  <si>
    <t>extended confirmed 10 march 2021</t>
  </si>
  <si>
    <t>eph extended confirmed 10 march 2021 responded awesome aasim editrequest</t>
  </si>
  <si>
    <t>undo atsme downplays whitewashes storming capitol</t>
  </si>
  <si>
    <t>extended protection impeachment sentences lead fail provide essential context</t>
  </si>
  <si>
    <t>capitol undo atsme downplays whitewashes storming ec hounding stop word</t>
  </si>
  <si>
    <t>npov revert fix</t>
  </si>
  <si>
    <t>2601 1c2 101 3480 1d0f b662 4fa3 5613 undo atsme</t>
  </si>
  <si>
    <t>anomiebot docs templatesubster substing templates unsigned info</t>
  </si>
  <si>
    <t>undo atsme downplays whitewashes storming capitol fix pink broke unsigned</t>
  </si>
  <si>
    <t>undo atsme downplays whitewashes storming capitol tone policing constructive approach</t>
  </si>
  <si>
    <t>bias 19 undo atsme downplays whitewashes storming capitol covid fixing</t>
  </si>
  <si>
    <t>undo atsme downplays whitewashes storming capitol pandemic response program terminated</t>
  </si>
  <si>
    <t>undo atsme downplays whitewashes storming capitol hat inappropriate</t>
  </si>
  <si>
    <t>lead sentence closed consensus choice</t>
  </si>
  <si>
    <t>extended confirmed 12 march 2021</t>
  </si>
  <si>
    <t>donald trump child picture rp</t>
  </si>
  <si>
    <t>somebodyanybody05 donald trump child picture extended confirmed 18 march 2021</t>
  </si>
  <si>
    <t>2409 4042 e9e d93c 6a48 b50e en enterprisey donald trump</t>
  </si>
  <si>
    <t>donald trump child picture</t>
  </si>
  <si>
    <t>donald trump child picture praxidicae removing undid revision 1011763257 special</t>
  </si>
  <si>
    <t>correct notice extended confirmed 12 march 2021 respond</t>
  </si>
  <si>
    <t>refused concede defeat january rvv anchor extended confirmed 12 march</t>
  </si>
  <si>
    <t>ranking presidents</t>
  </si>
  <si>
    <t>bias donald trump</t>
  </si>
  <si>
    <t>loser com trump political party timeline anchor extended confirmed 12</t>
  </si>
  <si>
    <t>extended confirmed 15 march 2021</t>
  </si>
  <si>
    <t>bias clar</t>
  </si>
  <si>
    <t>symmachus auxiliarus bias fault restored revision 1012344732 special delete discussions</t>
  </si>
  <si>
    <t>thedino778 reverted special contribs melanien</t>
  </si>
  <si>
    <t>post presidency</t>
  </si>
  <si>
    <t>removing expired rfc template</t>
  </si>
  <si>
    <t>173 212 61 150 reverted special contribs onetwothreeip</t>
  </si>
  <si>
    <t>173 212 61 150 hg reverted special 10</t>
  </si>
  <si>
    <t>extended confirmed 18 march 2021</t>
  </si>
  <si>
    <t>extended confirmed 19 march 2021</t>
  </si>
  <si>
    <t>referencing legislation names lead</t>
  </si>
  <si>
    <t>61 230 185 19 reverted special contribs jack upland</t>
  </si>
  <si>
    <t>extended confirmed 22 march 2021</t>
  </si>
  <si>
    <t>Top Words in Edit Comment by Salience</t>
  </si>
  <si>
    <t>muboshgu en enterprisey trump false claims fraud</t>
  </si>
  <si>
    <t>somebodyanybody05 99 120 250 187 en enterprisey trump refused concede</t>
  </si>
  <si>
    <t>legobot lowercase sigmabot iii bemoaning sessions's recusal undid revision special</t>
  </si>
  <si>
    <t>jampolice waffleman45 81 242 122 111 46 114 38 126</t>
  </si>
  <si>
    <t>bigcheese76 en enterprisey closed extended protection</t>
  </si>
  <si>
    <t>69 63 170 68 extended confirmed march 2021 19 bias</t>
  </si>
  <si>
    <t>sentence perfect leave carried lead</t>
  </si>
  <si>
    <t>gershonmk en enterprisey mcconnells comments undue weight</t>
  </si>
  <si>
    <t>trump political party timeline fmt health harold bornstein cmt</t>
  </si>
  <si>
    <t>impeachment sentences fail provide essential context paragraphs pandemic response program</t>
  </si>
  <si>
    <t>en enterprisey citations impeachment sentences fail provide essential context anon0098</t>
  </si>
  <si>
    <t>lowercase sigmabot iii slatersteven sdkb restored revision special notaforum soapbox</t>
  </si>
  <si>
    <t>135 134 133 donald trump bot</t>
  </si>
  <si>
    <t>typo good articlew</t>
  </si>
  <si>
    <t>donald long trump bias pandemic response program terminated follow specifico's</t>
  </si>
  <si>
    <t>thedino778 trump npov political party timeline undid revision 1012304267 special</t>
  </si>
  <si>
    <t>confirmed march 2021 trump donald 22 10 sentence distinctions entry</t>
  </si>
  <si>
    <t>refused concede defeat january significant define followers cult personality opinion</t>
  </si>
  <si>
    <t>ec hounding stop word unconvinced val explain appears snark ce</t>
  </si>
  <si>
    <t>revert fix npov</t>
  </si>
  <si>
    <t>2601 1c2 101 3480 1d0f b662 4fa3 5613 reverted special</t>
  </si>
  <si>
    <t>fix pink broke unsigned snarkiness undo atsme downplays whitewashes storming</t>
  </si>
  <si>
    <t>pandemic response program terminated undo atsme downplays whitewashes storming capitol</t>
  </si>
  <si>
    <t>somebodyanybody05 extended confirmed 18 march 2021 undid revision 1011762757 special</t>
  </si>
  <si>
    <t>praxidicae removing undid revision 1011763257 special deriving original purpose obvious</t>
  </si>
  <si>
    <t>donald trump bias</t>
  </si>
  <si>
    <t>Top Word Pairs in Edit Comment by Count</t>
  </si>
  <si>
    <t>deep,bias  bias,addressed</t>
  </si>
  <si>
    <t>trump,false  false,claims  claims,fraud  fraud,muboshgu  muboshgu,en  en,enterprisey</t>
  </si>
  <si>
    <t>en,enterprisey  refused,concede  concede,defeat  defeat,january  interstellarity,en  99,120  120,250  250,187  npov,intro  extended,confirmed</t>
  </si>
  <si>
    <t>bemoaning,sessions's  sessions's,recusal  lowercase,sigmabot  sigmabot,iii  undid,revision  legobot,legobot  mcconnells,comments  comments,undue  undue,weight  iii,lowercase</t>
  </si>
  <si>
    <t>81,242  242,122  122,111  46,114  114,38  38,126  albert,monkey  trump,current  current,party  party,patriot</t>
  </si>
  <si>
    <t>extended,protection  protection,bigcheese76  bigcheese76,en  en,enterprisey  protection,closed</t>
  </si>
  <si>
    <t>extended,confirmed  march,2021  69,63  63,170  170,68  refused,concede  concede,defeat  defeat,january  confirmed,12  12,march</t>
  </si>
  <si>
    <t>lead,sentence  lead,perfect  perfect,leave  leave,carried</t>
  </si>
  <si>
    <t>refused,concede  concede,defeat  defeat,january</t>
  </si>
  <si>
    <t>impeachment,sentences  sentences,lead  lead,fail  fail,provide  provide,essential  essential,context  anchor,extended  extended,confirmed  confirmed,12  12,march</t>
  </si>
  <si>
    <t>lead,perfect  perfect,leave</t>
  </si>
  <si>
    <t>extended,confirmed  confirmed,25  25,february  february,2021</t>
  </si>
  <si>
    <t>extended,confirmed  confirmed,25  25,february  february,2021  2021,removed</t>
  </si>
  <si>
    <t>mcconnells,comments  comments,undue  undue,weight  weight,gershonmk  gershonmk,en  en,enterprisey</t>
  </si>
  <si>
    <t>far,long  long,textbook  textbook,recentism</t>
  </si>
  <si>
    <t>trump,political  political,party  party,timeline  timeline,cmt  health,harold  harold,bornstein  bornstein,cmt</t>
  </si>
  <si>
    <t>distinctions,donald  donald,trump  trump,entry</t>
  </si>
  <si>
    <t>trump,wall  health,harold  harold,bornstein  referencing,legislation  legislation,names  names,lead  impeachment,sentences  sentences,lead  lead,fail  fail,provide</t>
  </si>
  <si>
    <t>equazcion,oneclickarchiver  oneclickarchiver,oneclickarchiver  oneclickarchiver,archived  archived,donald  donald,trump  impeachment,sentences  sentences,lead  lead,fail  fail,provide  provide,essential</t>
  </si>
  <si>
    <t>distinctions,donald  donald,trump  trump,entry  entry,responded</t>
  </si>
  <si>
    <t>impeachment,sentences  sentences,lead  lead,fail  fail,provide  provide,essential  essential,context  far,long  long,textbook  textbook,recentism</t>
  </si>
  <si>
    <t>lead,paragraphs</t>
  </si>
  <si>
    <t>impeachment,sentences  sentences,lead  lead,fail  fail,provide  provide,essential  essential,context  lead,paragraphs  pandemic,response  response,program  program,terminated</t>
  </si>
  <si>
    <t>extended,confirmed  confirmed,27  27,february  february,2021</t>
  </si>
  <si>
    <t>impeachment,sentences  sentences,lead  lead,fail  fail,provide  provide,essential  essential,context  en,enterprisey  context,anon0098  anon0098,en  referencing,legislation</t>
  </si>
  <si>
    <t>restored,revision  lowercase,sigmabot  sigmabot,iii  iii,lowercase  slatersteven,slatersteven  sdkb,sdkb  trump,political  political,party  party,timeline  extended,confirmed</t>
  </si>
  <si>
    <t>donald,trump  trump,134  134,bot  trump,135  135,bot  trump,133  133,bot</t>
  </si>
  <si>
    <t>good,articlew  articlew,typo</t>
  </si>
  <si>
    <t>extended,confirmed  confirmed,28  28,february  february,2021</t>
  </si>
  <si>
    <t>impeachment,sentences  sentences,lead  lead,fail  fail,provide  provide,essential  essential,context</t>
  </si>
  <si>
    <t>bemoaning,sessions's  sessions's,recusal</t>
  </si>
  <si>
    <t>trump,political  political,party  party,timeline  bemoaning,sessions's  sessions's,recusal  impeachment,sentences  sentences,lead  lead,fail  fail,provide  provide,essential</t>
  </si>
  <si>
    <t>impeachment,sentences  sentences,lead  lead,fail  fail,provide  provide,essential  essential,context  context,support</t>
  </si>
  <si>
    <t>rank,choice  choice,vote  vote,tallies  lead,sentence  sentence,britannica  britannica,writes  writes,served</t>
  </si>
  <si>
    <t>pandemic,response  response,program  program,terminated  donald,trump  bias,donald  terminated,follow  follow,specifico's  technical,13  13,1ca  1ca,oneclickarchiver</t>
  </si>
  <si>
    <t>trump,current  current,party  party,patriot  patriot,republican</t>
  </si>
  <si>
    <t>impeachment,sentences  sentences,lead  lead,fail  fail,provide  provide,essential  essential,context  trump,current  current,party  party,patriot  patriot,republican</t>
  </si>
  <si>
    <t>extended,confirmed  confirmed,march  march,2021</t>
  </si>
  <si>
    <t>walnutman83759,walnutman83759  reverted,special  special,contribs  contribs,walnutman83759  walnutman83759,specifico</t>
  </si>
  <si>
    <t>thedino778,thedino778  trump,political  political,party  party,timeline  undid,revision  revision,1012304267  1012304267,special  special,thedino778  thedino778,topic  topic,closed</t>
  </si>
  <si>
    <t>trump,false  false,claims  claims,fraud</t>
  </si>
  <si>
    <t>donald,trump  technical,13  13,1ca  1ca,oneclickarchiver  oneclickarchiver,archived  archived,special  special,diff  march,2021  2021,donald  trump,134</t>
  </si>
  <si>
    <t>refused,concede  concede,defeat  defeat,january  significant,sources  sources,define  define,followers  followers,cult  cult,personality  personality,opinion  opinion,pieces</t>
  </si>
  <si>
    <t>lowercase,sigmabot  sigmabot,iii  iii,lowercase  restored,revision  revision,1010736746  1010736746,special  special,lowercase</t>
  </si>
  <si>
    <t>removing,pp  pp,vandalism  vandalism,musikbot  musikbot,ii  ii,fixpp  fixpp,faq  faq,info</t>
  </si>
  <si>
    <t>equazcion,oneclickarchiver  oneclickarchiver,oneclickarchiver  oneclickarchiver,archived  archived,donald  donald,trump  trump,134  rank,choice  choice,vote  vote,tallies  tallies,kolya</t>
  </si>
  <si>
    <t>rfc,republican  republican,party</t>
  </si>
  <si>
    <t>extended,confirmed  confirmed,10  10,march  march,2021</t>
  </si>
  <si>
    <t>extended,confirmed  confirmed,10  10,march  march,2021  2021,responded  responded,eph  eph,eph  eph,awesome  awesome,aasim  aasim,editrequest</t>
  </si>
  <si>
    <t>undo,atsme  atsme,downplays  downplays,whitewashes  whitewashes,storming  storming,capitol</t>
  </si>
  <si>
    <t>extended,protection  impeachment,sentences  sentences,lead  lead,fail  fail,provide  provide,essential  essential,context</t>
  </si>
  <si>
    <t>undo,atsme  atsme,downplays  downplays,whitewashes  whitewashes,storming  storming,capitol  capitol,ec  ec,hounding  hounding,stop  capitol,word  capitol,unconvinced</t>
  </si>
  <si>
    <t>npov,fix</t>
  </si>
  <si>
    <t>2601,1c2  1c2,101  101,3480  3480,1d0f  1d0f,b662  b662,4fa3  4fa3,5613  undo,atsme  atsme,downplays  downplays,whitewashes</t>
  </si>
  <si>
    <t>anomiebot,docs  docs,templatesubster  templatesubster,substing  substing,templates  templates,unsigned  unsigned,anomiebot  templatesubster,info</t>
  </si>
  <si>
    <t>undo,atsme  atsme,downplays  downplays,whitewashes  whitewashes,storming  storming,capitol  fix,pink  pink,broke  capitol,unsigned  capitol,snarkiness</t>
  </si>
  <si>
    <t>undo,atsme  atsme,downplays  downplays,whitewashes  whitewashes,storming  storming,capitol  capitol,tone  tone,policing  policing,constructive  constructive,approach  approach,situation</t>
  </si>
  <si>
    <t>undo,atsme  atsme,downplays  downplays,whitewashes  whitewashes,storming  storming,capitol  covid,19  19,fixing  fixing,format  ranking,presidents  covcid,19</t>
  </si>
  <si>
    <t>undo,atsme  atsme,downplays  downplays,whitewashes  whitewashes,storming  storming,capitol  pandemic,response  response,program  program,terminated</t>
  </si>
  <si>
    <t>undo,atsme  atsme,downplays  downplays,whitewashes  whitewashes,storming  storming,capitol  capitol,hat  hat,inappropriate</t>
  </si>
  <si>
    <t>lead,sentence  sentence,closed  closed,consensus  consensus,choice</t>
  </si>
  <si>
    <t>extended,confirmed  confirmed,12  12,march  march,2021</t>
  </si>
  <si>
    <t>donald,trump  trump,child  child,picture  picture,rp</t>
  </si>
  <si>
    <t>donald,trump  trump,child  child,picture  somebodyanybody05,somebodyanybody05  extended,confirmed  confirmed,18  18,march  march,2021  undid,revision  revision,1011762757</t>
  </si>
  <si>
    <t>2409,4042  4042,e9e  e9e,d93c  d93c,6a48  6a48,b50e  b50e,2409  en,enterprisey  donald,trump  reverted,special  special,2409</t>
  </si>
  <si>
    <t>donald,trump  trump,child  child,picture</t>
  </si>
  <si>
    <t>donald,trump  trump,child  child,picture  praxidicae,praxidicae  undid,revision  revision,1011763257  1011763257,special  special,praxidicae  praxidicae,deriving  deriving,original</t>
  </si>
  <si>
    <t>correct,notice  extended,confirmed  confirmed,12  12,march  march,2021  2021,respond</t>
  </si>
  <si>
    <t>refused,concede  concede,defeat  defeat,january  anchor,extended  extended,confirmed  confirmed,12  12,march  march,2021  2021,loser  loser,com</t>
  </si>
  <si>
    <t>ranking,presidents</t>
  </si>
  <si>
    <t>loser,com  trump,political  political,party  party,timeline  anchor,extended  extended,confirmed  confirmed,12  12,march  march,2021  2021,loser</t>
  </si>
  <si>
    <t>extended,confirmed  confirmed,15  15,march  march,2021</t>
  </si>
  <si>
    <t>bias,clar</t>
  </si>
  <si>
    <t>symmachus,auxiliarus  auxiliarus,symmachus  bias,fault  restored,revision  revision,1012344732  1012344732,special  special,symmachus  auxiliarus,delete  delete,discussions</t>
  </si>
  <si>
    <t>thedino778,thedino778  reverted,special  special,contribs  contribs,thedino778  thedino778,melanien</t>
  </si>
  <si>
    <t>post,presidency</t>
  </si>
  <si>
    <t>removing,expired  expired,rfc  rfc,template</t>
  </si>
  <si>
    <t>173,212  212,61  61,150  150,173  reverted,special  special,contribs  contribs,173  150,onetwothreeip</t>
  </si>
  <si>
    <t>173,212  212,61  61,150  150,173  reverted,special  special,173  150,hg  hg,hg  hg,10</t>
  </si>
  <si>
    <t>extended,confirmed  confirmed,18  18,march  march,2021</t>
  </si>
  <si>
    <t>extended,confirmed  confirmed,19  19,march  march,2021</t>
  </si>
  <si>
    <t>referencing,legislation  legislation,names  names,lead</t>
  </si>
  <si>
    <t>61,230  230,185  185,19  19,61  reverted,special  special,contribs  contribs,61  19,jack  jack,upland</t>
  </si>
  <si>
    <t>extended,confirmed  confirmed,22  22,march  march,2021</t>
  </si>
  <si>
    <t>Top Word Pairs in Edit Comment by Salience</t>
  </si>
  <si>
    <t>fraud,muboshgu  muboshgu,en  en,enterprisey  trump,false  false,claims  claims,fraud</t>
  </si>
  <si>
    <t>99,120  120,250  250,187  somebodyanybody05,somebodyanybody05  187,99  en,enterprisey  refused,concede  concede,defeat  defeat,january  interstellarity,en</t>
  </si>
  <si>
    <t>lowercase,sigmabot  sigmabot,iii  legobot,legobot  iii,lowercase  bemoaning,sessions's  sessions's,recusal  undid,revision  mcconnells,comments  comments,undue  undue,weight</t>
  </si>
  <si>
    <t>81,242  242,122  122,111  46,114  114,38  38,126  albert,monkey  146,90  90,33  33,27</t>
  </si>
  <si>
    <t>protection,bigcheese76  bigcheese76,en  en,enterprisey  protection,closed  extended,protection</t>
  </si>
  <si>
    <t>69,63  63,170  170,68  68,69  extended,confirmed  march,2021  refused,concede  concede,defeat  defeat,january  confirmed,12</t>
  </si>
  <si>
    <t>weight,gershonmk  gershonmk,en  en,enterprisey  mcconnells,comments  comments,undue  undue,weight</t>
  </si>
  <si>
    <t>en,enterprisey  impeachment,sentences  sentences,lead  lead,fail  fail,provide  provide,essential  essential,context  context,anon0098  anon0098,en  referencing,legislation</t>
  </si>
  <si>
    <t>lowercase,sigmabot  sigmabot,iii  iii,lowercase  slatersteven,slatersteven  sdkb,sdkb  restored,revision  trump,political  political,party  party,timeline  extended,confirmed</t>
  </si>
  <si>
    <t>trump,135  135,bot  trump,134  134,bot  trump,133  133,bot  donald,trump</t>
  </si>
  <si>
    <t>articlew,typo  good,articlew</t>
  </si>
  <si>
    <t>donald,trump  bias,donald  pandemic,response  response,program  program,terminated  terminated,follow  follow,specifico's  technical,13  13,1ca  1ca,oneclickarchiver</t>
  </si>
  <si>
    <t>march,2021  2021,donald  donald,trump  confirmed,22  22,march  trump,donald  confirmed,10  10,march  sentence,donald  confirmed,march</t>
  </si>
  <si>
    <t>capitol,ec  ec,hounding  hounding,stop  capitol,word  capitol,unconvinced  capitol,val  val,explain  explain,appears  appears,snark  capitol,ce</t>
  </si>
  <si>
    <t>2601,1c2  1c2,101  101,3480  3480,1d0f  1d0f,b662  b662,4fa3  4fa3,5613  5613,2601  reverted,special  special,contribs</t>
  </si>
  <si>
    <t>fix,pink  pink,broke  capitol,unsigned  capitol,snarkiness  undo,atsme  atsme,downplays  downplays,whitewashes  whitewashes,storming  storming,capitol</t>
  </si>
  <si>
    <t>pandemic,response  response,program  program,terminated  undo,atsme  atsme,downplays  downplays,whitewashes  whitewashes,storming  storming,capitol</t>
  </si>
  <si>
    <t>somebodyanybody05,somebodyanybody05  extended,confirmed  confirmed,18  18,march  march,2021  undid,revision  revision,1011762757  1011762757,special  special,somebodyanybody05  somebodyanybody05,solve</t>
  </si>
  <si>
    <t>praxidicae,praxidicae  undid,revision  revision,1011763257  1011763257,special  special,praxidicae  praxidicae,deriving  deriving,original  original,purpose  purpose,removing  removing,obvious</t>
  </si>
  <si>
    <t>192, 192, 192</t>
  </si>
  <si>
    <t>255, 128, 0</t>
  </si>
  <si>
    <t>G1: trump confirmed march 2021 donald extended special 19 refused concede</t>
  </si>
  <si>
    <t>G2: trump donald lead bot impeachment sentences fail provide essential context</t>
  </si>
  <si>
    <t>G3: lead npov trump impeachment sentences fail provide essential context oneclickarchiver</t>
  </si>
  <si>
    <t>G4: en enterprisey trump extended confirmed 2021 npov lead undo atsme</t>
  </si>
  <si>
    <t>G5: bias capitol undo atsme downplays whitewashes storming trump donald pandemic</t>
  </si>
  <si>
    <t>G6: donald trump child picture special 2409 4042 e9e d93c 6a48</t>
  </si>
  <si>
    <t>G7: lead impeachment sentences fail provide essential context bemoaning sessions's recusal</t>
  </si>
  <si>
    <t>G8: extended undo atsme downplays whitewashes storming capitol confirmed 10 march</t>
  </si>
  <si>
    <t>G9: 173 212 61 150 reverted special hg</t>
  </si>
  <si>
    <t>Edge Weight▓1▓2▓0▓True▓Silver▓255, 128, 0▓▓Edge Weight▓1▓2▓0▓3▓10▓False▓Edge Weight▓1▓2▓0▓70▓40▓False▓▓0▓0▓0▓True▓Black▓Black▓▓Betweenness Centrality▓0▓727.356368▓3▓50▓200▓False▓▓0▓0▓0▓0▓0▓False▓▓0▓0▓0▓0▓0▓False▓▓0▓0▓0▓0▓0▓False</t>
  </si>
  <si>
    <t>GraphSource░MediaWiki▓GraphTerm░Donald_Trump▓ImportDescription░The graph represents the User-User Discussions network of the "Donald_Trump" seed article in en.wikipedia.org MediaWiki domain.  The network was obtained from MediaWiki on Thursday, 25 March 2021 at 23:19 UTC.
The 500 most recent revisions are being analyzed.▓ImportSuggestedTitle░MediaWiki Map for "Donald_Trump" article▓ImportSuggestedFileNameNoExtension░2021-03-25 21-34-51 NodeXL MediaWiki Donald_Trump▓GroupingDescription░The graph's vertices were grouped by cluster using the Clauset-Newman-Moore cluster algorithm.▓LayoutAlgorithm░The graph was laid out using the Fruchterman-Reingold layout algorithm.▓GraphDirectedness░The graph is directed.</t>
  </si>
  <si>
    <t>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&lt;value&gt;0.28&lt;/value&gt;
      &lt;/setting&gt;
    &lt;/GraphZoomAndScaleUserSettings&gt;
    &lt;PlugInUserSettings&gt;
      &lt;setting name="PlugInFolderPath" serializeAs="String"&gt;
        &lt;value /&gt;
      &lt;/setting&gt;
    &lt;/PlugInUserSettings&gt;
  &lt;/userSettings&gt;
&lt;/configuration&gt;</t>
  </si>
  <si>
    <t>MediaWiki</t>
  </si>
  <si>
    <t>Donald_Trump</t>
  </si>
  <si>
    <t>The graph represents the User-User Discussions network of the "Donald_Trump" seed article in en.wikipedia.org MediaWiki domain.  The network was obtained from MediaWiki on Thursday, 25 March 2021 at 23:19 UTC.
The 500 most recent revisions are being analyzed.</t>
  </si>
  <si>
    <t>The graph was laid out using the Fruchterman-Reingold layout algorithm.</t>
  </si>
  <si>
    <t>The graph's vertices were grouped by cluster using the Clauset-Newman-Moore cluster algorithm.</t>
  </si>
  <si>
    <t>https://nodexlgraphgallery.org/Pages/Graph.aspx?graphID=251273</t>
  </si>
  <si>
    <t>https://nodexlgraphgallery.org/Images/Image.ashx?graphID=251273&amp;type=f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</si>
</sst>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7"/>
      <tableStyleElement type="headerRow" dxfId="226"/>
    </tableStyle>
    <tableStyle name="NodeXL Table" pivot="0" count="1">
      <tableStyleElement type="headerRow" dxfId="2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52390"/>
        <c:axId val="5753783"/>
      </c:barChart>
      <c:catAx>
        <c:axId val="15552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3783"/>
        <c:crosses val="autoZero"/>
        <c:auto val="1"/>
        <c:lblOffset val="100"/>
        <c:noMultiLvlLbl val="0"/>
      </c:catAx>
      <c:valAx>
        <c:axId val="575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52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784048"/>
        <c:axId val="63403249"/>
      </c:barChart>
      <c:catAx>
        <c:axId val="51784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03249"/>
        <c:crosses val="autoZero"/>
        <c:auto val="1"/>
        <c:lblOffset val="100"/>
        <c:noMultiLvlLbl val="0"/>
      </c:catAx>
      <c:valAx>
        <c:axId val="63403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84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58330"/>
        <c:axId val="35389515"/>
      </c:barChart>
      <c:catAx>
        <c:axId val="337583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89515"/>
        <c:crosses val="autoZero"/>
        <c:auto val="1"/>
        <c:lblOffset val="100"/>
        <c:noMultiLvlLbl val="0"/>
      </c:catAx>
      <c:valAx>
        <c:axId val="35389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8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070180"/>
        <c:axId val="47978437"/>
      </c:barChart>
      <c:catAx>
        <c:axId val="500701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78437"/>
        <c:crosses val="autoZero"/>
        <c:auto val="1"/>
        <c:lblOffset val="100"/>
        <c:noMultiLvlLbl val="0"/>
      </c:catAx>
      <c:valAx>
        <c:axId val="4797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70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152750"/>
        <c:axId val="61048159"/>
      </c:barChart>
      <c:catAx>
        <c:axId val="29152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48159"/>
        <c:crosses val="autoZero"/>
        <c:auto val="1"/>
        <c:lblOffset val="100"/>
        <c:noMultiLvlLbl val="0"/>
      </c:catAx>
      <c:valAx>
        <c:axId val="6104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52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62520"/>
        <c:axId val="45953817"/>
      </c:barChart>
      <c:catAx>
        <c:axId val="12562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53817"/>
        <c:crosses val="autoZero"/>
        <c:auto val="1"/>
        <c:lblOffset val="100"/>
        <c:noMultiLvlLbl val="0"/>
      </c:catAx>
      <c:valAx>
        <c:axId val="45953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31170"/>
        <c:axId val="31271667"/>
      </c:barChart>
      <c:catAx>
        <c:axId val="10931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71667"/>
        <c:crosses val="autoZero"/>
        <c:auto val="1"/>
        <c:lblOffset val="100"/>
        <c:noMultiLvlLbl val="0"/>
      </c:catAx>
      <c:valAx>
        <c:axId val="31271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31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09548"/>
        <c:axId val="49977069"/>
      </c:barChart>
      <c:catAx>
        <c:axId val="13009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77069"/>
        <c:crosses val="autoZero"/>
        <c:auto val="1"/>
        <c:lblOffset val="100"/>
        <c:noMultiLvlLbl val="0"/>
      </c:catAx>
      <c:valAx>
        <c:axId val="4997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09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40438"/>
        <c:axId val="21610759"/>
      </c:barChart>
      <c:catAx>
        <c:axId val="47140438"/>
        <c:scaling>
          <c:orientation val="minMax"/>
        </c:scaling>
        <c:axPos val="b"/>
        <c:delete val="1"/>
        <c:majorTickMark val="out"/>
        <c:minorTickMark val="none"/>
        <c:tickLblPos val="none"/>
        <c:crossAx val="21610759"/>
        <c:crosses val="autoZero"/>
        <c:auto val="1"/>
        <c:lblOffset val="100"/>
        <c:noMultiLvlLbl val="0"/>
      </c:catAx>
      <c:valAx>
        <c:axId val="21610759"/>
        <c:scaling>
          <c:orientation val="minMax"/>
        </c:scaling>
        <c:axPos val="l"/>
        <c:delete val="1"/>
        <c:majorTickMark val="out"/>
        <c:minorTickMark val="none"/>
        <c:tickLblPos val="none"/>
        <c:crossAx val="47140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62" totalsRowShown="0" headerRowDxfId="224" dataDxfId="188">
  <autoFilter ref="A2:AD362"/>
  <tableColumns count="30">
    <tableColumn id="1" name="Vertex 1" dataDxfId="173"/>
    <tableColumn id="2" name="Vertex 2" dataDxfId="171"/>
    <tableColumn id="3" name="Color" dataDxfId="172"/>
    <tableColumn id="4" name="Width" dataDxfId="197"/>
    <tableColumn id="11" name="Style" dataDxfId="196"/>
    <tableColumn id="5" name="Opacity" dataDxfId="195"/>
    <tableColumn id="6" name="Visibility" dataDxfId="194"/>
    <tableColumn id="10" name="Label" dataDxfId="193"/>
    <tableColumn id="12" name="Label Text Color" dataDxfId="192"/>
    <tableColumn id="13" name="Label Font Size" dataDxfId="191"/>
    <tableColumn id="14" name="Reciprocated?" dataDxfId="127"/>
    <tableColumn id="7" name="ID" dataDxfId="190"/>
    <tableColumn id="9" name="Dynamic Filter" dataDxfId="189"/>
    <tableColumn id="8" name="Add Your Own Columns Here" dataDxfId="170"/>
    <tableColumn id="15" name="Relationship" dataDxfId="169"/>
    <tableColumn id="16" name="Edge Weight" dataDxfId="168"/>
    <tableColumn id="17" name="Edge Type" dataDxfId="167"/>
    <tableColumn id="18" name="Edit Comment" dataDxfId="166"/>
    <tableColumn id="19" name="Edit Size" dataDxfId="143"/>
    <tableColumn id="20" name="Vertex 1 Group" dataDxfId="142">
      <calculatedColumnFormula>REPLACE(INDEX(GroupVertices[Group], MATCH(Edges[[#This Row],[Vertex 1]],GroupVertices[Vertex],0)),1,1,"")</calculatedColumnFormula>
    </tableColumn>
    <tableColumn id="21" name="Vertex 2 Group" dataDxfId="103">
      <calculatedColumnFormula>REPLACE(INDEX(GroupVertices[Group], MATCH(Edges[[#This Row],[Vertex 2]],GroupVertices[Vertex],0)),1,1,"")</calculatedColumnFormula>
    </tableColumn>
    <tableColumn id="22" name="Sentiment List #1: List1 Word Count" dataDxfId="102"/>
    <tableColumn id="23" name="Sentiment List #1: List1 Word Percentage (%)" dataDxfId="101"/>
    <tableColumn id="24" name="Sentiment List #2: List2 Word Count" dataDxfId="100"/>
    <tableColumn id="25" name="Sentiment List #2: List2 Word Percentage (%)" dataDxfId="99"/>
    <tableColumn id="26" name="Sentiment List #3: List3 Word Count" dataDxfId="98"/>
    <tableColumn id="27" name="Sentiment List #3: List3 Word Percentage (%)" dataDxfId="97"/>
    <tableColumn id="28" name="Non-categorized Word Count" dataDxfId="96"/>
    <tableColumn id="29" name="Non-categorized Word Percentage (%)" dataDxfId="95"/>
    <tableColumn id="30"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126" dataDxfId="125">
  <autoFilter ref="A1:G539"/>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117" dataDxfId="116">
  <autoFilter ref="A1:L434"/>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6" totalsRowShown="0" headerRowDxfId="75" dataDxfId="74">
  <autoFilter ref="A2:C56"/>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3"/>
    <tableColumn id="2" name="Value" dataDxfId="5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7" dataDxfId="56">
  <autoFilter ref="A1:B11"/>
  <tableColumns count="2">
    <tableColumn id="1" name="Top 10 Vertices, Ranked by Betweenness Centrality" dataDxfId="55"/>
    <tableColumn id="2" name="Betweenness Centrality" dataDxfId="5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T11" totalsRowShown="0" headerRowDxfId="51" dataDxfId="50">
  <autoFilter ref="A1:T11"/>
  <tableColumns count="20">
    <tableColumn id="1" name="Top Words in Edit Comment in Entire Graph" dataDxfId="49"/>
    <tableColumn id="2" name="Entire Graph Count" dataDxfId="48"/>
    <tableColumn id="3" name="Top Words in Edit Comment in G1" dataDxfId="47"/>
    <tableColumn id="4" name="G1 Count" dataDxfId="46"/>
    <tableColumn id="5" name="Top Words in Edit Comment in G2" dataDxfId="45"/>
    <tableColumn id="6" name="G2 Count" dataDxfId="44"/>
    <tableColumn id="7" name="Top Words in Edit Comment in G3" dataDxfId="43"/>
    <tableColumn id="8" name="G3 Count" dataDxfId="42"/>
    <tableColumn id="9" name="Top Words in Edit Comment in G4" dataDxfId="41"/>
    <tableColumn id="10" name="G4 Count" dataDxfId="40"/>
    <tableColumn id="11" name="Top Words in Edit Comment in G5" dataDxfId="39"/>
    <tableColumn id="12" name="G5 Count" dataDxfId="38"/>
    <tableColumn id="13" name="Top Words in Edit Comment in G6" dataDxfId="37"/>
    <tableColumn id="14" name="G6 Count" dataDxfId="36"/>
    <tableColumn id="15" name="Top Words in Edit Comment in G7" dataDxfId="35"/>
    <tableColumn id="16" name="G7 Count" dataDxfId="34"/>
    <tableColumn id="17" name="Top Words in Edit Comment in G8" dataDxfId="33"/>
    <tableColumn id="18" name="G8 Count" dataDxfId="32"/>
    <tableColumn id="19" name="Top Words in Edit Comment in G9" dataDxfId="31"/>
    <tableColumn id="20" name="G9 Count" dataDxfId="3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T24" totalsRowShown="0" headerRowDxfId="28" dataDxfId="27">
  <autoFilter ref="A14:T24"/>
  <tableColumns count="20">
    <tableColumn id="1" name="Top Word Pairs in Edit Comment in Entire Graph" dataDxfId="26"/>
    <tableColumn id="2" name="Entire Graph Count" dataDxfId="25"/>
    <tableColumn id="3" name="Top Word Pairs in Edit Comment in G1" dataDxfId="24"/>
    <tableColumn id="4" name="G1 Count" dataDxfId="23"/>
    <tableColumn id="5" name="Top Word Pairs in Edit Comment in G2" dataDxfId="22"/>
    <tableColumn id="6" name="G2 Count" dataDxfId="21"/>
    <tableColumn id="7" name="Top Word Pairs in Edit Comment in G3" dataDxfId="20"/>
    <tableColumn id="8" name="G3 Count" dataDxfId="19"/>
    <tableColumn id="9" name="Top Word Pairs in Edit Comment in G4" dataDxfId="18"/>
    <tableColumn id="10" name="G4 Count" dataDxfId="17"/>
    <tableColumn id="11" name="Top Word Pairs in Edit Comment in G5" dataDxfId="16"/>
    <tableColumn id="12" name="G5 Count" dataDxfId="15"/>
    <tableColumn id="13" name="Top Word Pairs in Edit Comment in G6" dataDxfId="14"/>
    <tableColumn id="14" name="G6 Count" dataDxfId="13"/>
    <tableColumn id="15" name="Top Word Pairs in Edit Comment in G7" dataDxfId="12"/>
    <tableColumn id="16" name="G7 Count" dataDxfId="11"/>
    <tableColumn id="17" name="Top Word Pairs in Edit Comment in G8" dataDxfId="10"/>
    <tableColumn id="18" name="G8 Count" dataDxfId="9"/>
    <tableColumn id="19" name="Top Word Pairs in Edit Comment in G9" dataDxfId="8"/>
    <tableColumn id="20" name="G9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118" totalsRowShown="0" headerRowDxfId="223" dataDxfId="174">
  <autoFilter ref="A2:AY118"/>
  <tableColumns count="51">
    <tableColumn id="1" name="Vertex" dataDxfId="187"/>
    <tableColumn id="2" name="Color" dataDxfId="186"/>
    <tableColumn id="5" name="Shape" dataDxfId="185"/>
    <tableColumn id="6" name="Size" dataDxfId="184"/>
    <tableColumn id="4" name="Opacity" dataDxfId="165"/>
    <tableColumn id="7" name="Image File" dataDxfId="163"/>
    <tableColumn id="3" name="Visibility" dataDxfId="164"/>
    <tableColumn id="10" name="Label" dataDxfId="183"/>
    <tableColumn id="16" name="Label Fill Color" dataDxfId="182"/>
    <tableColumn id="9" name="Label Position" dataDxfId="160"/>
    <tableColumn id="8" name="Tooltip" dataDxfId="158"/>
    <tableColumn id="18" name="Layout Order" dataDxfId="159"/>
    <tableColumn id="13" name="X" dataDxfId="181"/>
    <tableColumn id="14" name="Y" dataDxfId="180"/>
    <tableColumn id="12" name="Locked?" dataDxfId="179"/>
    <tableColumn id="19" name="Polar R" dataDxfId="178"/>
    <tableColumn id="20" name="Polar Angle" dataDxfId="177"/>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76"/>
    <tableColumn id="28" name="Dynamic Filter" dataDxfId="175"/>
    <tableColumn id="17" name="Add Your Own Columns Here" dataDxfId="162"/>
    <tableColumn id="30" name="Custom Menu Item Text" dataDxfId="161"/>
    <tableColumn id="31" name="Custom Menu Item Action" dataDxfId="157"/>
    <tableColumn id="32" name="Vertex Type" dataDxfId="154"/>
    <tableColumn id="33" name="Content" dataDxfId="152"/>
    <tableColumn id="34" name="Age" dataDxfId="153"/>
    <tableColumn id="35" name="Gini Coefficient" dataDxfId="156"/>
    <tableColumn id="36" name="Nr Revisions" dataDxfId="155"/>
    <tableColumn id="37" name="URL" dataDxfId="144"/>
    <tableColumn id="38" name="Vertex Group" dataDxfId="93">
      <calculatedColumnFormula>REPLACE(INDEX(GroupVertices[Group], MATCH(Vertices[[#This Row],[Vertex]],GroupVertices[Vertex],0)),1,1,"")</calculatedColumnFormula>
    </tableColumn>
    <tableColumn id="39" name="Sentiment List #1: List1 Word Count" dataDxfId="92"/>
    <tableColumn id="40" name="Sentiment List #1: List1 Word Percentage (%)" dataDxfId="91"/>
    <tableColumn id="41" name="Sentiment List #2: List2 Word Count" dataDxfId="90"/>
    <tableColumn id="42" name="Sentiment List #2: List2 Word Percentage (%)" dataDxfId="89"/>
    <tableColumn id="43" name="Sentiment List #3: List3 Word Count" dataDxfId="88"/>
    <tableColumn id="44" name="Sentiment List #3: List3 Word Percentage (%)" dataDxfId="87"/>
    <tableColumn id="45" name="Non-categorized Word Count" dataDxfId="86"/>
    <tableColumn id="46" name="Non-categorized Word Percentage (%)" dataDxfId="85"/>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1" totalsRowShown="0" headerRowDxfId="222">
  <autoFilter ref="A2:AI11"/>
  <tableColumns count="35">
    <tableColumn id="1" name="Group" dataDxfId="151"/>
    <tableColumn id="2" name="Vertex Color" dataDxfId="150"/>
    <tableColumn id="3" name="Vertex Shape" dataDxfId="148"/>
    <tableColumn id="22" name="Visibility" dataDxfId="149"/>
    <tableColumn id="4" name="Collapsed?"/>
    <tableColumn id="18" name="Label" dataDxfId="221"/>
    <tableColumn id="20" name="Collapsed X"/>
    <tableColumn id="21" name="Collapsed Y"/>
    <tableColumn id="6" name="ID" dataDxfId="220"/>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29"/>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219" dataDxfId="218">
  <autoFilter ref="A1:C117"/>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7"/>
    <tableColumn id="2" name="Degree Frequency" dataDxfId="216">
      <calculatedColumnFormula>COUNTIF(Vertices[Degree], "&gt;= " &amp; D2) - COUNTIF(Vertices[Degree], "&gt;=" &amp; D3)</calculatedColumnFormula>
    </tableColumn>
    <tableColumn id="3" name="In-Degree Bin" dataDxfId="215"/>
    <tableColumn id="4" name="In-Degree Frequency" dataDxfId="214">
      <calculatedColumnFormula>COUNTIF(Vertices[In-Degree], "&gt;= " &amp; F2) - COUNTIF(Vertices[In-Degree], "&gt;=" &amp; F3)</calculatedColumnFormula>
    </tableColumn>
    <tableColumn id="5" name="Out-Degree Bin" dataDxfId="213"/>
    <tableColumn id="6" name="Out-Degree Frequency" dataDxfId="212">
      <calculatedColumnFormula>COUNTIF(Vertices[Out-Degree], "&gt;= " &amp; H2) - COUNTIF(Vertices[Out-Degree], "&gt;=" &amp; H3)</calculatedColumnFormula>
    </tableColumn>
    <tableColumn id="7" name="Betweenness Centrality Bin" dataDxfId="211"/>
    <tableColumn id="8" name="Betweenness Centrality Frequency" dataDxfId="210">
      <calculatedColumnFormula>COUNTIF(Vertices[Betweenness Centrality], "&gt;= " &amp; J2) - COUNTIF(Vertices[Betweenness Centrality], "&gt;=" &amp; J3)</calculatedColumnFormula>
    </tableColumn>
    <tableColumn id="9" name="Closeness Centrality Bin" dataDxfId="209"/>
    <tableColumn id="10" name="Closeness Centrality Frequency" dataDxfId="208">
      <calculatedColumnFormula>COUNTIF(Vertices[Closeness Centrality], "&gt;= " &amp; L2) - COUNTIF(Vertices[Closeness Centrality], "&gt;=" &amp; L3)</calculatedColumnFormula>
    </tableColumn>
    <tableColumn id="11" name="Eigenvector Centrality Bin" dataDxfId="207"/>
    <tableColumn id="12" name="Eigenvector Centrality Frequency" dataDxfId="206">
      <calculatedColumnFormula>COUNTIF(Vertices[Eigenvector Centrality], "&gt;= " &amp; N2) - COUNTIF(Vertices[Eigenvector Centrality], "&gt;=" &amp; N3)</calculatedColumnFormula>
    </tableColumn>
    <tableColumn id="18" name="PageRank Bin" dataDxfId="205"/>
    <tableColumn id="17" name="PageRank Frequency" dataDxfId="204">
      <calculatedColumnFormula>COUNTIF(Vertices[Eigenvector Centrality], "&gt;= " &amp; P2) - COUNTIF(Vertices[Eigenvector Centrality], "&gt;=" &amp; P3)</calculatedColumnFormula>
    </tableColumn>
    <tableColumn id="13" name="Clustering Coefficient Bin" dataDxfId="203"/>
    <tableColumn id="14" name="Clustering Coefficient Frequency" dataDxfId="202">
      <calculatedColumnFormula>COUNTIF(Vertices[Clustering Coefficient], "&gt;= " &amp; R2) - COUNTIF(Vertices[Clustering Coefficient], "&gt;=" &amp; R3)</calculatedColumnFormula>
    </tableColumn>
    <tableColumn id="15" name="Dynamic Filter Bin" dataDxfId="201"/>
    <tableColumn id="16" name="Dynamic Filter Frequency" dataDxfId="2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9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62"/>
  <sheetViews>
    <sheetView tabSelected="1"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707</v>
      </c>
      <c r="U2" s="13" t="s">
        <v>708</v>
      </c>
      <c r="V2" s="54" t="s">
        <v>939</v>
      </c>
      <c r="W2" s="54" t="s">
        <v>940</v>
      </c>
      <c r="X2" s="54" t="s">
        <v>941</v>
      </c>
      <c r="Y2" s="54" t="s">
        <v>942</v>
      </c>
      <c r="Z2" s="54" t="s">
        <v>943</v>
      </c>
      <c r="AA2" s="54" t="s">
        <v>944</v>
      </c>
      <c r="AB2" s="54" t="s">
        <v>945</v>
      </c>
      <c r="AC2" s="54" t="s">
        <v>946</v>
      </c>
      <c r="AD2" s="54" t="s">
        <v>947</v>
      </c>
    </row>
    <row r="3" spans="1:30" ht="15" customHeight="1">
      <c r="A3" s="65" t="s">
        <v>328</v>
      </c>
      <c r="B3" s="65" t="s">
        <v>376</v>
      </c>
      <c r="C3" s="66" t="s">
        <v>1297</v>
      </c>
      <c r="D3" s="67">
        <v>3</v>
      </c>
      <c r="E3" s="68"/>
      <c r="F3" s="69">
        <v>70</v>
      </c>
      <c r="G3" s="66"/>
      <c r="H3" s="70"/>
      <c r="I3" s="71"/>
      <c r="J3" s="71"/>
      <c r="K3" s="35" t="s">
        <v>65</v>
      </c>
      <c r="L3" s="72">
        <v>3</v>
      </c>
      <c r="M3" s="72"/>
      <c r="N3" s="73"/>
      <c r="O3" s="80" t="s">
        <v>444</v>
      </c>
      <c r="P3" s="80">
        <v>1</v>
      </c>
      <c r="Q3" s="80" t="s">
        <v>445</v>
      </c>
      <c r="R3" s="80" t="s">
        <v>446</v>
      </c>
      <c r="S3" s="80">
        <v>213480</v>
      </c>
      <c r="T3" s="80" t="str">
        <f>REPLACE(INDEX(GroupVertices[Group],MATCH(Edges[[#This Row],[Vertex 1]],GroupVertices[Vertex],0)),1,1,"")</f>
        <v>4</v>
      </c>
      <c r="U3" s="80" t="str">
        <f>REPLACE(INDEX(GroupVertices[Group],MATCH(Edges[[#This Row],[Vertex 2]],GroupVertices[Vertex],0)),1,1,"")</f>
        <v>4</v>
      </c>
      <c r="V3" s="49">
        <v>0</v>
      </c>
      <c r="W3" s="50">
        <v>0</v>
      </c>
      <c r="X3" s="49">
        <v>1</v>
      </c>
      <c r="Y3" s="50">
        <v>14.285714285714286</v>
      </c>
      <c r="Z3" s="49">
        <v>0</v>
      </c>
      <c r="AA3" s="50">
        <v>0</v>
      </c>
      <c r="AB3" s="49">
        <v>6</v>
      </c>
      <c r="AC3" s="50">
        <v>85.71428571428571</v>
      </c>
      <c r="AD3" s="49">
        <v>7</v>
      </c>
    </row>
    <row r="4" spans="1:30" ht="15" customHeight="1">
      <c r="A4" s="65" t="s">
        <v>328</v>
      </c>
      <c r="B4" s="65" t="s">
        <v>328</v>
      </c>
      <c r="C4" s="66" t="s">
        <v>1297</v>
      </c>
      <c r="D4" s="67">
        <v>3</v>
      </c>
      <c r="E4" s="68"/>
      <c r="F4" s="69">
        <v>70</v>
      </c>
      <c r="G4" s="66"/>
      <c r="H4" s="70"/>
      <c r="I4" s="71"/>
      <c r="J4" s="71"/>
      <c r="K4" s="35" t="s">
        <v>65</v>
      </c>
      <c r="L4" s="79">
        <v>4</v>
      </c>
      <c r="M4" s="79"/>
      <c r="N4" s="73"/>
      <c r="O4" s="81" t="s">
        <v>444</v>
      </c>
      <c r="P4" s="81">
        <v>1</v>
      </c>
      <c r="Q4" s="81" t="s">
        <v>445</v>
      </c>
      <c r="R4" s="81" t="s">
        <v>446</v>
      </c>
      <c r="S4" s="81">
        <v>213217</v>
      </c>
      <c r="T4" s="80" t="str">
        <f>REPLACE(INDEX(GroupVertices[Group],MATCH(Edges[[#This Row],[Vertex 1]],GroupVertices[Vertex],0)),1,1,"")</f>
        <v>4</v>
      </c>
      <c r="U4" s="80" t="str">
        <f>REPLACE(INDEX(GroupVertices[Group],MATCH(Edges[[#This Row],[Vertex 2]],GroupVertices[Vertex],0)),1,1,"")</f>
        <v>4</v>
      </c>
      <c r="V4" s="49">
        <v>0</v>
      </c>
      <c r="W4" s="50">
        <v>0</v>
      </c>
      <c r="X4" s="49">
        <v>1</v>
      </c>
      <c r="Y4" s="50">
        <v>14.285714285714286</v>
      </c>
      <c r="Z4" s="49">
        <v>0</v>
      </c>
      <c r="AA4" s="50">
        <v>0</v>
      </c>
      <c r="AB4" s="49">
        <v>6</v>
      </c>
      <c r="AC4" s="50">
        <v>85.71428571428571</v>
      </c>
      <c r="AD4" s="49">
        <v>7</v>
      </c>
    </row>
    <row r="5" spans="1:30" ht="15">
      <c r="A5" s="65" t="s">
        <v>329</v>
      </c>
      <c r="B5" s="65" t="s">
        <v>328</v>
      </c>
      <c r="C5" s="66" t="s">
        <v>1297</v>
      </c>
      <c r="D5" s="67">
        <v>3</v>
      </c>
      <c r="E5" s="68"/>
      <c r="F5" s="69">
        <v>70</v>
      </c>
      <c r="G5" s="66"/>
      <c r="H5" s="70"/>
      <c r="I5" s="71"/>
      <c r="J5" s="71"/>
      <c r="K5" s="35" t="s">
        <v>65</v>
      </c>
      <c r="L5" s="79">
        <v>5</v>
      </c>
      <c r="M5" s="79"/>
      <c r="N5" s="73"/>
      <c r="O5" s="81" t="s">
        <v>444</v>
      </c>
      <c r="P5" s="81">
        <v>1</v>
      </c>
      <c r="Q5" s="81" t="s">
        <v>445</v>
      </c>
      <c r="R5" s="81" t="s">
        <v>447</v>
      </c>
      <c r="S5" s="81">
        <v>213866</v>
      </c>
      <c r="T5" s="80" t="str">
        <f>REPLACE(INDEX(GroupVertices[Group],MATCH(Edges[[#This Row],[Vertex 1]],GroupVertices[Vertex],0)),1,1,"")</f>
        <v>4</v>
      </c>
      <c r="U5" s="80" t="str">
        <f>REPLACE(INDEX(GroupVertices[Group],MATCH(Edges[[#This Row],[Vertex 2]],GroupVertices[Vertex],0)),1,1,"")</f>
        <v>4</v>
      </c>
      <c r="V5" s="49">
        <v>1</v>
      </c>
      <c r="W5" s="50">
        <v>5.2631578947368425</v>
      </c>
      <c r="X5" s="49">
        <v>2</v>
      </c>
      <c r="Y5" s="50">
        <v>10.526315789473685</v>
      </c>
      <c r="Z5" s="49">
        <v>0</v>
      </c>
      <c r="AA5" s="50">
        <v>0</v>
      </c>
      <c r="AB5" s="49">
        <v>16</v>
      </c>
      <c r="AC5" s="50">
        <v>84.21052631578948</v>
      </c>
      <c r="AD5" s="49">
        <v>19</v>
      </c>
    </row>
    <row r="6" spans="1:30" ht="15">
      <c r="A6" s="65" t="s">
        <v>330</v>
      </c>
      <c r="B6" s="65" t="s">
        <v>341</v>
      </c>
      <c r="C6" s="66" t="s">
        <v>1297</v>
      </c>
      <c r="D6" s="67">
        <v>3</v>
      </c>
      <c r="E6" s="68"/>
      <c r="F6" s="69">
        <v>70</v>
      </c>
      <c r="G6" s="66"/>
      <c r="H6" s="70"/>
      <c r="I6" s="71"/>
      <c r="J6" s="71"/>
      <c r="K6" s="35" t="s">
        <v>65</v>
      </c>
      <c r="L6" s="79">
        <v>6</v>
      </c>
      <c r="M6" s="79"/>
      <c r="N6" s="73"/>
      <c r="O6" s="81" t="s">
        <v>444</v>
      </c>
      <c r="P6" s="81">
        <v>1</v>
      </c>
      <c r="Q6" s="81" t="s">
        <v>445</v>
      </c>
      <c r="R6" s="81" t="s">
        <v>448</v>
      </c>
      <c r="S6" s="81">
        <v>230975</v>
      </c>
      <c r="T6" s="80" t="str">
        <f>REPLACE(INDEX(GroupVertices[Group],MATCH(Edges[[#This Row],[Vertex 1]],GroupVertices[Vertex],0)),1,1,"")</f>
        <v>1</v>
      </c>
      <c r="U6" s="80" t="str">
        <f>REPLACE(INDEX(GroupVertices[Group],MATCH(Edges[[#This Row],[Vertex 2]],GroupVertices[Vertex],0)),1,1,"")</f>
        <v>2</v>
      </c>
      <c r="V6" s="49">
        <v>0</v>
      </c>
      <c r="W6" s="50">
        <v>0</v>
      </c>
      <c r="X6" s="49">
        <v>0</v>
      </c>
      <c r="Y6" s="50">
        <v>0</v>
      </c>
      <c r="Z6" s="49">
        <v>0</v>
      </c>
      <c r="AA6" s="50">
        <v>0</v>
      </c>
      <c r="AB6" s="49">
        <v>3</v>
      </c>
      <c r="AC6" s="50">
        <v>100</v>
      </c>
      <c r="AD6" s="49">
        <v>3</v>
      </c>
    </row>
    <row r="7" spans="1:30" ht="15">
      <c r="A7" s="65" t="s">
        <v>331</v>
      </c>
      <c r="B7" s="65" t="s">
        <v>330</v>
      </c>
      <c r="C7" s="66" t="s">
        <v>1297</v>
      </c>
      <c r="D7" s="67">
        <v>3</v>
      </c>
      <c r="E7" s="68"/>
      <c r="F7" s="69">
        <v>70</v>
      </c>
      <c r="G7" s="66"/>
      <c r="H7" s="70"/>
      <c r="I7" s="71"/>
      <c r="J7" s="71"/>
      <c r="K7" s="35" t="s">
        <v>65</v>
      </c>
      <c r="L7" s="79">
        <v>7</v>
      </c>
      <c r="M7" s="79"/>
      <c r="N7" s="73"/>
      <c r="O7" s="81" t="s">
        <v>444</v>
      </c>
      <c r="P7" s="81">
        <v>1</v>
      </c>
      <c r="Q7" s="81" t="s">
        <v>445</v>
      </c>
      <c r="R7" s="81" t="s">
        <v>449</v>
      </c>
      <c r="S7" s="81">
        <v>231258</v>
      </c>
      <c r="T7" s="80" t="str">
        <f>REPLACE(INDEX(GroupVertices[Group],MATCH(Edges[[#This Row],[Vertex 1]],GroupVertices[Vertex],0)),1,1,"")</f>
        <v>1</v>
      </c>
      <c r="U7" s="80" t="str">
        <f>REPLACE(INDEX(GroupVertices[Group],MATCH(Edges[[#This Row],[Vertex 2]],GroupVertices[Vertex],0)),1,1,"")</f>
        <v>1</v>
      </c>
      <c r="V7" s="49">
        <v>0</v>
      </c>
      <c r="W7" s="50">
        <v>0</v>
      </c>
      <c r="X7" s="49">
        <v>0</v>
      </c>
      <c r="Y7" s="50">
        <v>0</v>
      </c>
      <c r="Z7" s="49">
        <v>0</v>
      </c>
      <c r="AA7" s="50">
        <v>0</v>
      </c>
      <c r="AB7" s="49">
        <v>16</v>
      </c>
      <c r="AC7" s="50">
        <v>100</v>
      </c>
      <c r="AD7" s="49">
        <v>16</v>
      </c>
    </row>
    <row r="8" spans="1:30" ht="15">
      <c r="A8" s="65" t="s">
        <v>332</v>
      </c>
      <c r="B8" s="65" t="s">
        <v>335</v>
      </c>
      <c r="C8" s="66" t="s">
        <v>1297</v>
      </c>
      <c r="D8" s="67">
        <v>3</v>
      </c>
      <c r="E8" s="68"/>
      <c r="F8" s="69">
        <v>70</v>
      </c>
      <c r="G8" s="66"/>
      <c r="H8" s="70"/>
      <c r="I8" s="71"/>
      <c r="J8" s="71"/>
      <c r="K8" s="35" t="s">
        <v>65</v>
      </c>
      <c r="L8" s="79">
        <v>8</v>
      </c>
      <c r="M8" s="79"/>
      <c r="N8" s="73"/>
      <c r="O8" s="81" t="s">
        <v>444</v>
      </c>
      <c r="P8" s="81">
        <v>1</v>
      </c>
      <c r="Q8" s="81" t="s">
        <v>445</v>
      </c>
      <c r="R8" s="81" t="s">
        <v>450</v>
      </c>
      <c r="S8" s="81">
        <v>232236</v>
      </c>
      <c r="T8" s="80" t="str">
        <f>REPLACE(INDEX(GroupVertices[Group],MATCH(Edges[[#This Row],[Vertex 1]],GroupVertices[Vertex],0)),1,1,"")</f>
        <v>7</v>
      </c>
      <c r="U8" s="80" t="str">
        <f>REPLACE(INDEX(GroupVertices[Group],MATCH(Edges[[#This Row],[Vertex 2]],GroupVertices[Vertex],0)),1,1,"")</f>
        <v>1</v>
      </c>
      <c r="V8" s="49">
        <v>1</v>
      </c>
      <c r="W8" s="50">
        <v>6.25</v>
      </c>
      <c r="X8" s="49">
        <v>0</v>
      </c>
      <c r="Y8" s="50">
        <v>0</v>
      </c>
      <c r="Z8" s="49">
        <v>0</v>
      </c>
      <c r="AA8" s="50">
        <v>0</v>
      </c>
      <c r="AB8" s="49">
        <v>15</v>
      </c>
      <c r="AC8" s="50">
        <v>93.75</v>
      </c>
      <c r="AD8" s="49">
        <v>16</v>
      </c>
    </row>
    <row r="9" spans="1:30" ht="15">
      <c r="A9" s="65" t="s">
        <v>332</v>
      </c>
      <c r="B9" s="65" t="s">
        <v>332</v>
      </c>
      <c r="C9" s="66" t="s">
        <v>1298</v>
      </c>
      <c r="D9" s="67">
        <v>10</v>
      </c>
      <c r="E9" s="68"/>
      <c r="F9" s="69">
        <v>40</v>
      </c>
      <c r="G9" s="66"/>
      <c r="H9" s="70"/>
      <c r="I9" s="71"/>
      <c r="J9" s="71"/>
      <c r="K9" s="35" t="s">
        <v>65</v>
      </c>
      <c r="L9" s="79">
        <v>9</v>
      </c>
      <c r="M9" s="79"/>
      <c r="N9" s="73"/>
      <c r="O9" s="81" t="s">
        <v>444</v>
      </c>
      <c r="P9" s="81">
        <v>3</v>
      </c>
      <c r="Q9" s="81" t="s">
        <v>445</v>
      </c>
      <c r="R9" s="81" t="s">
        <v>451</v>
      </c>
      <c r="S9" s="81">
        <v>232249</v>
      </c>
      <c r="T9" s="80" t="str">
        <f>REPLACE(INDEX(GroupVertices[Group],MATCH(Edges[[#This Row],[Vertex 1]],GroupVertices[Vertex],0)),1,1,"")</f>
        <v>7</v>
      </c>
      <c r="U9" s="80" t="str">
        <f>REPLACE(INDEX(GroupVertices[Group],MATCH(Edges[[#This Row],[Vertex 2]],GroupVertices[Vertex],0)),1,1,"")</f>
        <v>7</v>
      </c>
      <c r="V9" s="49">
        <v>1</v>
      </c>
      <c r="W9" s="50">
        <v>14.285714285714286</v>
      </c>
      <c r="X9" s="49">
        <v>0</v>
      </c>
      <c r="Y9" s="50">
        <v>0</v>
      </c>
      <c r="Z9" s="49">
        <v>0</v>
      </c>
      <c r="AA9" s="50">
        <v>0</v>
      </c>
      <c r="AB9" s="49">
        <v>6</v>
      </c>
      <c r="AC9" s="50">
        <v>85.71428571428571</v>
      </c>
      <c r="AD9" s="49">
        <v>7</v>
      </c>
    </row>
    <row r="10" spans="1:30" ht="15">
      <c r="A10" s="65" t="s">
        <v>333</v>
      </c>
      <c r="B10" s="65" t="s">
        <v>332</v>
      </c>
      <c r="C10" s="66" t="s">
        <v>1297</v>
      </c>
      <c r="D10" s="67">
        <v>3</v>
      </c>
      <c r="E10" s="68"/>
      <c r="F10" s="69">
        <v>70</v>
      </c>
      <c r="G10" s="66"/>
      <c r="H10" s="70"/>
      <c r="I10" s="71"/>
      <c r="J10" s="71"/>
      <c r="K10" s="35" t="s">
        <v>65</v>
      </c>
      <c r="L10" s="79">
        <v>10</v>
      </c>
      <c r="M10" s="79"/>
      <c r="N10" s="73"/>
      <c r="O10" s="81" t="s">
        <v>444</v>
      </c>
      <c r="P10" s="81">
        <v>1</v>
      </c>
      <c r="Q10" s="81" t="s">
        <v>445</v>
      </c>
      <c r="R10" s="81"/>
      <c r="S10" s="81">
        <v>232944</v>
      </c>
      <c r="T10" s="80" t="str">
        <f>REPLACE(INDEX(GroupVertices[Group],MATCH(Edges[[#This Row],[Vertex 1]],GroupVertices[Vertex],0)),1,1,"")</f>
        <v>7</v>
      </c>
      <c r="U10" s="80" t="str">
        <f>REPLACE(INDEX(GroupVertices[Group],MATCH(Edges[[#This Row],[Vertex 2]],GroupVertices[Vertex],0)),1,1,"")</f>
        <v>7</v>
      </c>
      <c r="V10" s="49"/>
      <c r="W10" s="50"/>
      <c r="X10" s="49"/>
      <c r="Y10" s="50"/>
      <c r="Z10" s="49"/>
      <c r="AA10" s="50"/>
      <c r="AB10" s="49"/>
      <c r="AC10" s="50"/>
      <c r="AD10" s="49"/>
    </row>
    <row r="11" spans="1:30" ht="15">
      <c r="A11" s="65" t="s">
        <v>334</v>
      </c>
      <c r="B11" s="65" t="s">
        <v>358</v>
      </c>
      <c r="C11" s="66" t="s">
        <v>1297</v>
      </c>
      <c r="D11" s="67">
        <v>3</v>
      </c>
      <c r="E11" s="68"/>
      <c r="F11" s="69">
        <v>70</v>
      </c>
      <c r="G11" s="66"/>
      <c r="H11" s="70"/>
      <c r="I11" s="71"/>
      <c r="J11" s="71"/>
      <c r="K11" s="35" t="s">
        <v>65</v>
      </c>
      <c r="L11" s="79">
        <v>11</v>
      </c>
      <c r="M11" s="79"/>
      <c r="N11" s="73"/>
      <c r="O11" s="81" t="s">
        <v>444</v>
      </c>
      <c r="P11" s="81">
        <v>1</v>
      </c>
      <c r="Q11" s="81" t="s">
        <v>445</v>
      </c>
      <c r="R11" s="81" t="s">
        <v>452</v>
      </c>
      <c r="S11" s="81">
        <v>174068</v>
      </c>
      <c r="T11" s="80" t="str">
        <f>REPLACE(INDEX(GroupVertices[Group],MATCH(Edges[[#This Row],[Vertex 1]],GroupVertices[Vertex],0)),1,1,"")</f>
        <v>2</v>
      </c>
      <c r="U11" s="80" t="str">
        <f>REPLACE(INDEX(GroupVertices[Group],MATCH(Edges[[#This Row],[Vertex 2]],GroupVertices[Vertex],0)),1,1,"")</f>
        <v>2</v>
      </c>
      <c r="V11" s="49">
        <v>1</v>
      </c>
      <c r="W11" s="50">
        <v>14.285714285714286</v>
      </c>
      <c r="X11" s="49">
        <v>2</v>
      </c>
      <c r="Y11" s="50">
        <v>28.571428571428573</v>
      </c>
      <c r="Z11" s="49">
        <v>0</v>
      </c>
      <c r="AA11" s="50">
        <v>0</v>
      </c>
      <c r="AB11" s="49">
        <v>4</v>
      </c>
      <c r="AC11" s="50">
        <v>57.142857142857146</v>
      </c>
      <c r="AD11" s="49">
        <v>7</v>
      </c>
    </row>
    <row r="12" spans="1:30" ht="15">
      <c r="A12" s="65" t="s">
        <v>335</v>
      </c>
      <c r="B12" s="65" t="s">
        <v>334</v>
      </c>
      <c r="C12" s="66" t="s">
        <v>1297</v>
      </c>
      <c r="D12" s="67">
        <v>3</v>
      </c>
      <c r="E12" s="68"/>
      <c r="F12" s="69">
        <v>70</v>
      </c>
      <c r="G12" s="66"/>
      <c r="H12" s="70"/>
      <c r="I12" s="71"/>
      <c r="J12" s="71"/>
      <c r="K12" s="35" t="s">
        <v>65</v>
      </c>
      <c r="L12" s="79">
        <v>12</v>
      </c>
      <c r="M12" s="79"/>
      <c r="N12" s="73"/>
      <c r="O12" s="81" t="s">
        <v>444</v>
      </c>
      <c r="P12" s="81">
        <v>1</v>
      </c>
      <c r="Q12" s="81" t="s">
        <v>445</v>
      </c>
      <c r="R12" s="81" t="s">
        <v>452</v>
      </c>
      <c r="S12" s="81">
        <v>174260</v>
      </c>
      <c r="T12" s="80" t="str">
        <f>REPLACE(INDEX(GroupVertices[Group],MATCH(Edges[[#This Row],[Vertex 1]],GroupVertices[Vertex],0)),1,1,"")</f>
        <v>1</v>
      </c>
      <c r="U12" s="80" t="str">
        <f>REPLACE(INDEX(GroupVertices[Group],MATCH(Edges[[#This Row],[Vertex 2]],GroupVertices[Vertex],0)),1,1,"")</f>
        <v>2</v>
      </c>
      <c r="V12" s="49">
        <v>1</v>
      </c>
      <c r="W12" s="50">
        <v>14.285714285714286</v>
      </c>
      <c r="X12" s="49">
        <v>2</v>
      </c>
      <c r="Y12" s="50">
        <v>28.571428571428573</v>
      </c>
      <c r="Z12" s="49">
        <v>0</v>
      </c>
      <c r="AA12" s="50">
        <v>0</v>
      </c>
      <c r="AB12" s="49">
        <v>4</v>
      </c>
      <c r="AC12" s="50">
        <v>57.142857142857146</v>
      </c>
      <c r="AD12" s="49">
        <v>7</v>
      </c>
    </row>
    <row r="13" spans="1:30" ht="15">
      <c r="A13" s="65" t="s">
        <v>336</v>
      </c>
      <c r="B13" s="65" t="s">
        <v>337</v>
      </c>
      <c r="C13" s="66" t="s">
        <v>1297</v>
      </c>
      <c r="D13" s="67">
        <v>3</v>
      </c>
      <c r="E13" s="68"/>
      <c r="F13" s="69">
        <v>70</v>
      </c>
      <c r="G13" s="66"/>
      <c r="H13" s="70"/>
      <c r="I13" s="71"/>
      <c r="J13" s="71"/>
      <c r="K13" s="35" t="s">
        <v>65</v>
      </c>
      <c r="L13" s="79">
        <v>13</v>
      </c>
      <c r="M13" s="79"/>
      <c r="N13" s="73"/>
      <c r="O13" s="81" t="s">
        <v>444</v>
      </c>
      <c r="P13" s="81">
        <v>1</v>
      </c>
      <c r="Q13" s="81" t="s">
        <v>445</v>
      </c>
      <c r="R13" s="81"/>
      <c r="S13" s="81">
        <v>175310</v>
      </c>
      <c r="T13" s="80" t="str">
        <f>REPLACE(INDEX(GroupVertices[Group],MATCH(Edges[[#This Row],[Vertex 1]],GroupVertices[Vertex],0)),1,1,"")</f>
        <v>4</v>
      </c>
      <c r="U13" s="80" t="str">
        <f>REPLACE(INDEX(GroupVertices[Group],MATCH(Edges[[#This Row],[Vertex 2]],GroupVertices[Vertex],0)),1,1,"")</f>
        <v>4</v>
      </c>
      <c r="V13" s="49"/>
      <c r="W13" s="50"/>
      <c r="X13" s="49"/>
      <c r="Y13" s="50"/>
      <c r="Z13" s="49"/>
      <c r="AA13" s="50"/>
      <c r="AB13" s="49"/>
      <c r="AC13" s="50"/>
      <c r="AD13" s="49"/>
    </row>
    <row r="14" spans="1:30" ht="15">
      <c r="A14" s="65" t="s">
        <v>329</v>
      </c>
      <c r="B14" s="65" t="s">
        <v>336</v>
      </c>
      <c r="C14" s="66" t="s">
        <v>1297</v>
      </c>
      <c r="D14" s="67">
        <v>3</v>
      </c>
      <c r="E14" s="68"/>
      <c r="F14" s="69">
        <v>70</v>
      </c>
      <c r="G14" s="66"/>
      <c r="H14" s="70"/>
      <c r="I14" s="71"/>
      <c r="J14" s="71"/>
      <c r="K14" s="35" t="s">
        <v>65</v>
      </c>
      <c r="L14" s="79">
        <v>14</v>
      </c>
      <c r="M14" s="79"/>
      <c r="N14" s="73"/>
      <c r="O14" s="81" t="s">
        <v>444</v>
      </c>
      <c r="P14" s="81">
        <v>1</v>
      </c>
      <c r="Q14" s="81" t="s">
        <v>445</v>
      </c>
      <c r="R14" s="81" t="s">
        <v>453</v>
      </c>
      <c r="S14" s="81">
        <v>175307</v>
      </c>
      <c r="T14" s="80" t="str">
        <f>REPLACE(INDEX(GroupVertices[Group],MATCH(Edges[[#This Row],[Vertex 1]],GroupVertices[Vertex],0)),1,1,"")</f>
        <v>4</v>
      </c>
      <c r="U14" s="80" t="str">
        <f>REPLACE(INDEX(GroupVertices[Group],MATCH(Edges[[#This Row],[Vertex 2]],GroupVertices[Vertex],0)),1,1,"")</f>
        <v>4</v>
      </c>
      <c r="V14" s="49">
        <v>0</v>
      </c>
      <c r="W14" s="50">
        <v>0</v>
      </c>
      <c r="X14" s="49">
        <v>0</v>
      </c>
      <c r="Y14" s="50">
        <v>0</v>
      </c>
      <c r="Z14" s="49">
        <v>0</v>
      </c>
      <c r="AA14" s="50">
        <v>0</v>
      </c>
      <c r="AB14" s="49">
        <v>25</v>
      </c>
      <c r="AC14" s="50">
        <v>100</v>
      </c>
      <c r="AD14" s="49">
        <v>25</v>
      </c>
    </row>
    <row r="15" spans="1:30" ht="15">
      <c r="A15" s="65" t="s">
        <v>337</v>
      </c>
      <c r="B15" s="65" t="s">
        <v>335</v>
      </c>
      <c r="C15" s="66" t="s">
        <v>1297</v>
      </c>
      <c r="D15" s="67">
        <v>3</v>
      </c>
      <c r="E15" s="68"/>
      <c r="F15" s="69">
        <v>70</v>
      </c>
      <c r="G15" s="66"/>
      <c r="H15" s="70"/>
      <c r="I15" s="71"/>
      <c r="J15" s="71"/>
      <c r="K15" s="35" t="s">
        <v>65</v>
      </c>
      <c r="L15" s="79">
        <v>15</v>
      </c>
      <c r="M15" s="79"/>
      <c r="N15" s="73"/>
      <c r="O15" s="81" t="s">
        <v>444</v>
      </c>
      <c r="P15" s="81">
        <v>1</v>
      </c>
      <c r="Q15" s="81" t="s">
        <v>445</v>
      </c>
      <c r="R15" s="81" t="s">
        <v>454</v>
      </c>
      <c r="S15" s="81">
        <v>175242</v>
      </c>
      <c r="T15" s="80" t="str">
        <f>REPLACE(INDEX(GroupVertices[Group],MATCH(Edges[[#This Row],[Vertex 1]],GroupVertices[Vertex],0)),1,1,"")</f>
        <v>4</v>
      </c>
      <c r="U15" s="80" t="str">
        <f>REPLACE(INDEX(GroupVertices[Group],MATCH(Edges[[#This Row],[Vertex 2]],GroupVertices[Vertex],0)),1,1,"")</f>
        <v>1</v>
      </c>
      <c r="V15" s="49">
        <v>2</v>
      </c>
      <c r="W15" s="50">
        <v>28.571428571428573</v>
      </c>
      <c r="X15" s="49">
        <v>0</v>
      </c>
      <c r="Y15" s="50">
        <v>0</v>
      </c>
      <c r="Z15" s="49">
        <v>0</v>
      </c>
      <c r="AA15" s="50">
        <v>0</v>
      </c>
      <c r="AB15" s="49">
        <v>5</v>
      </c>
      <c r="AC15" s="50">
        <v>71.42857142857143</v>
      </c>
      <c r="AD15" s="49">
        <v>7</v>
      </c>
    </row>
    <row r="16" spans="1:30" ht="15">
      <c r="A16" s="65" t="s">
        <v>329</v>
      </c>
      <c r="B16" s="65" t="s">
        <v>337</v>
      </c>
      <c r="C16" s="66" t="s">
        <v>1297</v>
      </c>
      <c r="D16" s="67">
        <v>3</v>
      </c>
      <c r="E16" s="68"/>
      <c r="F16" s="69">
        <v>70</v>
      </c>
      <c r="G16" s="66"/>
      <c r="H16" s="70"/>
      <c r="I16" s="71"/>
      <c r="J16" s="71"/>
      <c r="K16" s="35" t="s">
        <v>66</v>
      </c>
      <c r="L16" s="79">
        <v>16</v>
      </c>
      <c r="M16" s="79"/>
      <c r="N16" s="73"/>
      <c r="O16" s="81" t="s">
        <v>444</v>
      </c>
      <c r="P16" s="81">
        <v>1</v>
      </c>
      <c r="Q16" s="81" t="s">
        <v>445</v>
      </c>
      <c r="R16" s="81" t="s">
        <v>454</v>
      </c>
      <c r="S16" s="81">
        <v>176923</v>
      </c>
      <c r="T16" s="80" t="str">
        <f>REPLACE(INDEX(GroupVertices[Group],MATCH(Edges[[#This Row],[Vertex 1]],GroupVertices[Vertex],0)),1,1,"")</f>
        <v>4</v>
      </c>
      <c r="U16" s="80" t="str">
        <f>REPLACE(INDEX(GroupVertices[Group],MATCH(Edges[[#This Row],[Vertex 2]],GroupVertices[Vertex],0)),1,1,"")</f>
        <v>4</v>
      </c>
      <c r="V16" s="49">
        <v>2</v>
      </c>
      <c r="W16" s="50">
        <v>28.571428571428573</v>
      </c>
      <c r="X16" s="49">
        <v>0</v>
      </c>
      <c r="Y16" s="50">
        <v>0</v>
      </c>
      <c r="Z16" s="49">
        <v>0</v>
      </c>
      <c r="AA16" s="50">
        <v>0</v>
      </c>
      <c r="AB16" s="49">
        <v>5</v>
      </c>
      <c r="AC16" s="50">
        <v>71.42857142857143</v>
      </c>
      <c r="AD16" s="49">
        <v>7</v>
      </c>
    </row>
    <row r="17" spans="1:30" ht="15">
      <c r="A17" s="65" t="s">
        <v>337</v>
      </c>
      <c r="B17" s="65" t="s">
        <v>329</v>
      </c>
      <c r="C17" s="66" t="s">
        <v>1298</v>
      </c>
      <c r="D17" s="67">
        <v>10</v>
      </c>
      <c r="E17" s="68"/>
      <c r="F17" s="69">
        <v>40</v>
      </c>
      <c r="G17" s="66"/>
      <c r="H17" s="70"/>
      <c r="I17" s="71"/>
      <c r="J17" s="71"/>
      <c r="K17" s="35" t="s">
        <v>66</v>
      </c>
      <c r="L17" s="79">
        <v>17</v>
      </c>
      <c r="M17" s="79"/>
      <c r="N17" s="73"/>
      <c r="O17" s="81" t="s">
        <v>444</v>
      </c>
      <c r="P17" s="81">
        <v>2</v>
      </c>
      <c r="Q17" s="81" t="s">
        <v>445</v>
      </c>
      <c r="R17" s="81" t="s">
        <v>454</v>
      </c>
      <c r="S17" s="81">
        <v>178140</v>
      </c>
      <c r="T17" s="80" t="str">
        <f>REPLACE(INDEX(GroupVertices[Group],MATCH(Edges[[#This Row],[Vertex 1]],GroupVertices[Vertex],0)),1,1,"")</f>
        <v>4</v>
      </c>
      <c r="U17" s="80" t="str">
        <f>REPLACE(INDEX(GroupVertices[Group],MATCH(Edges[[#This Row],[Vertex 2]],GroupVertices[Vertex],0)),1,1,"")</f>
        <v>4</v>
      </c>
      <c r="V17" s="49">
        <v>2</v>
      </c>
      <c r="W17" s="50">
        <v>28.571428571428573</v>
      </c>
      <c r="X17" s="49">
        <v>0</v>
      </c>
      <c r="Y17" s="50">
        <v>0</v>
      </c>
      <c r="Z17" s="49">
        <v>0</v>
      </c>
      <c r="AA17" s="50">
        <v>0</v>
      </c>
      <c r="AB17" s="49">
        <v>5</v>
      </c>
      <c r="AC17" s="50">
        <v>71.42857142857143</v>
      </c>
      <c r="AD17" s="49">
        <v>7</v>
      </c>
    </row>
    <row r="18" spans="1:30" ht="15">
      <c r="A18" s="65" t="s">
        <v>337</v>
      </c>
      <c r="B18" s="65" t="s">
        <v>337</v>
      </c>
      <c r="C18" s="66" t="s">
        <v>1298</v>
      </c>
      <c r="D18" s="67">
        <v>10</v>
      </c>
      <c r="E18" s="68"/>
      <c r="F18" s="69">
        <v>40</v>
      </c>
      <c r="G18" s="66"/>
      <c r="H18" s="70"/>
      <c r="I18" s="71"/>
      <c r="J18" s="71"/>
      <c r="K18" s="35" t="s">
        <v>65</v>
      </c>
      <c r="L18" s="79">
        <v>18</v>
      </c>
      <c r="M18" s="79"/>
      <c r="N18" s="73"/>
      <c r="O18" s="81" t="s">
        <v>444</v>
      </c>
      <c r="P18" s="81">
        <v>10</v>
      </c>
      <c r="Q18" s="81" t="s">
        <v>445</v>
      </c>
      <c r="R18" s="81" t="s">
        <v>454</v>
      </c>
      <c r="S18" s="81">
        <v>179557</v>
      </c>
      <c r="T18" s="80" t="str">
        <f>REPLACE(INDEX(GroupVertices[Group],MATCH(Edges[[#This Row],[Vertex 1]],GroupVertices[Vertex],0)),1,1,"")</f>
        <v>4</v>
      </c>
      <c r="U18" s="80" t="str">
        <f>REPLACE(INDEX(GroupVertices[Group],MATCH(Edges[[#This Row],[Vertex 2]],GroupVertices[Vertex],0)),1,1,"")</f>
        <v>4</v>
      </c>
      <c r="V18" s="49">
        <v>2</v>
      </c>
      <c r="W18" s="50">
        <v>28.571428571428573</v>
      </c>
      <c r="X18" s="49">
        <v>0</v>
      </c>
      <c r="Y18" s="50">
        <v>0</v>
      </c>
      <c r="Z18" s="49">
        <v>0</v>
      </c>
      <c r="AA18" s="50">
        <v>0</v>
      </c>
      <c r="AB18" s="49">
        <v>5</v>
      </c>
      <c r="AC18" s="50">
        <v>71.42857142857143</v>
      </c>
      <c r="AD18" s="49">
        <v>7</v>
      </c>
    </row>
    <row r="19" spans="1:30" ht="15">
      <c r="A19" s="65" t="s">
        <v>338</v>
      </c>
      <c r="B19" s="65" t="s">
        <v>337</v>
      </c>
      <c r="C19" s="66" t="s">
        <v>1297</v>
      </c>
      <c r="D19" s="67">
        <v>3</v>
      </c>
      <c r="E19" s="68"/>
      <c r="F19" s="69">
        <v>70</v>
      </c>
      <c r="G19" s="66"/>
      <c r="H19" s="70"/>
      <c r="I19" s="71"/>
      <c r="J19" s="71"/>
      <c r="K19" s="35" t="s">
        <v>65</v>
      </c>
      <c r="L19" s="79">
        <v>19</v>
      </c>
      <c r="M19" s="79"/>
      <c r="N19" s="73"/>
      <c r="O19" s="81" t="s">
        <v>444</v>
      </c>
      <c r="P19" s="81">
        <v>1</v>
      </c>
      <c r="Q19" s="81" t="s">
        <v>445</v>
      </c>
      <c r="R19" s="81" t="s">
        <v>455</v>
      </c>
      <c r="S19" s="81">
        <v>179854</v>
      </c>
      <c r="T19" s="80" t="str">
        <f>REPLACE(INDEX(GroupVertices[Group],MATCH(Edges[[#This Row],[Vertex 1]],GroupVertices[Vertex],0)),1,1,"")</f>
        <v>4</v>
      </c>
      <c r="U19" s="80" t="str">
        <f>REPLACE(INDEX(GroupVertices[Group],MATCH(Edges[[#This Row],[Vertex 2]],GroupVertices[Vertex],0)),1,1,"")</f>
        <v>4</v>
      </c>
      <c r="V19" s="49">
        <v>0</v>
      </c>
      <c r="W19" s="50">
        <v>0</v>
      </c>
      <c r="X19" s="49">
        <v>0</v>
      </c>
      <c r="Y19" s="50">
        <v>0</v>
      </c>
      <c r="Z19" s="49">
        <v>0</v>
      </c>
      <c r="AA19" s="50">
        <v>0</v>
      </c>
      <c r="AB19" s="49">
        <v>11</v>
      </c>
      <c r="AC19" s="50">
        <v>100</v>
      </c>
      <c r="AD19" s="49">
        <v>11</v>
      </c>
    </row>
    <row r="20" spans="1:30" ht="15">
      <c r="A20" s="65" t="s">
        <v>339</v>
      </c>
      <c r="B20" s="65" t="s">
        <v>338</v>
      </c>
      <c r="C20" s="66" t="s">
        <v>1297</v>
      </c>
      <c r="D20" s="67">
        <v>3</v>
      </c>
      <c r="E20" s="68"/>
      <c r="F20" s="69">
        <v>70</v>
      </c>
      <c r="G20" s="66"/>
      <c r="H20" s="70"/>
      <c r="I20" s="71"/>
      <c r="J20" s="71"/>
      <c r="K20" s="35" t="s">
        <v>65</v>
      </c>
      <c r="L20" s="79">
        <v>20</v>
      </c>
      <c r="M20" s="79"/>
      <c r="N20" s="73"/>
      <c r="O20" s="81" t="s">
        <v>444</v>
      </c>
      <c r="P20" s="81">
        <v>1</v>
      </c>
      <c r="Q20" s="81" t="s">
        <v>445</v>
      </c>
      <c r="R20" s="81" t="s">
        <v>456</v>
      </c>
      <c r="S20" s="81">
        <v>179557</v>
      </c>
      <c r="T20" s="80" t="str">
        <f>REPLACE(INDEX(GroupVertices[Group],MATCH(Edges[[#This Row],[Vertex 1]],GroupVertices[Vertex],0)),1,1,"")</f>
        <v>4</v>
      </c>
      <c r="U20" s="80" t="str">
        <f>REPLACE(INDEX(GroupVertices[Group],MATCH(Edges[[#This Row],[Vertex 2]],GroupVertices[Vertex],0)),1,1,"")</f>
        <v>4</v>
      </c>
      <c r="V20" s="49">
        <v>0</v>
      </c>
      <c r="W20" s="50">
        <v>0</v>
      </c>
      <c r="X20" s="49">
        <v>0</v>
      </c>
      <c r="Y20" s="50">
        <v>0</v>
      </c>
      <c r="Z20" s="49">
        <v>0</v>
      </c>
      <c r="AA20" s="50">
        <v>0</v>
      </c>
      <c r="AB20" s="49">
        <v>12</v>
      </c>
      <c r="AC20" s="50">
        <v>100</v>
      </c>
      <c r="AD20" s="49">
        <v>12</v>
      </c>
    </row>
    <row r="21" spans="1:30" ht="15">
      <c r="A21" s="65" t="s">
        <v>340</v>
      </c>
      <c r="B21" s="65" t="s">
        <v>339</v>
      </c>
      <c r="C21" s="66" t="s">
        <v>1297</v>
      </c>
      <c r="D21" s="67">
        <v>3</v>
      </c>
      <c r="E21" s="68"/>
      <c r="F21" s="69">
        <v>70</v>
      </c>
      <c r="G21" s="66"/>
      <c r="H21" s="70"/>
      <c r="I21" s="71"/>
      <c r="J21" s="71"/>
      <c r="K21" s="35" t="s">
        <v>65</v>
      </c>
      <c r="L21" s="79">
        <v>21</v>
      </c>
      <c r="M21" s="79"/>
      <c r="N21" s="73"/>
      <c r="O21" s="81" t="s">
        <v>444</v>
      </c>
      <c r="P21" s="81">
        <v>1</v>
      </c>
      <c r="Q21" s="81" t="s">
        <v>445</v>
      </c>
      <c r="R21" s="81"/>
      <c r="S21" s="81">
        <v>179567</v>
      </c>
      <c r="T21" s="80" t="str">
        <f>REPLACE(INDEX(GroupVertices[Group],MATCH(Edges[[#This Row],[Vertex 1]],GroupVertices[Vertex],0)),1,1,"")</f>
        <v>4</v>
      </c>
      <c r="U21" s="80" t="str">
        <f>REPLACE(INDEX(GroupVertices[Group],MATCH(Edges[[#This Row],[Vertex 2]],GroupVertices[Vertex],0)),1,1,"")</f>
        <v>4</v>
      </c>
      <c r="V21" s="49"/>
      <c r="W21" s="50"/>
      <c r="X21" s="49"/>
      <c r="Y21" s="50"/>
      <c r="Z21" s="49"/>
      <c r="AA21" s="50"/>
      <c r="AB21" s="49"/>
      <c r="AC21" s="50"/>
      <c r="AD21" s="49"/>
    </row>
    <row r="22" spans="1:30" ht="15">
      <c r="A22" s="65" t="s">
        <v>341</v>
      </c>
      <c r="B22" s="65" t="s">
        <v>340</v>
      </c>
      <c r="C22" s="66" t="s">
        <v>1297</v>
      </c>
      <c r="D22" s="67">
        <v>3</v>
      </c>
      <c r="E22" s="68"/>
      <c r="F22" s="69">
        <v>70</v>
      </c>
      <c r="G22" s="66"/>
      <c r="H22" s="70"/>
      <c r="I22" s="71"/>
      <c r="J22" s="71"/>
      <c r="K22" s="35" t="s">
        <v>65</v>
      </c>
      <c r="L22" s="79">
        <v>22</v>
      </c>
      <c r="M22" s="79"/>
      <c r="N22" s="73"/>
      <c r="O22" s="81" t="s">
        <v>444</v>
      </c>
      <c r="P22" s="81">
        <v>1</v>
      </c>
      <c r="Q22" s="81" t="s">
        <v>445</v>
      </c>
      <c r="R22" s="81" t="s">
        <v>457</v>
      </c>
      <c r="S22" s="81">
        <v>239222</v>
      </c>
      <c r="T22" s="80" t="str">
        <f>REPLACE(INDEX(GroupVertices[Group],MATCH(Edges[[#This Row],[Vertex 1]],GroupVertices[Vertex],0)),1,1,"")</f>
        <v>2</v>
      </c>
      <c r="U22" s="80" t="str">
        <f>REPLACE(INDEX(GroupVertices[Group],MATCH(Edges[[#This Row],[Vertex 2]],GroupVertices[Vertex],0)),1,1,"")</f>
        <v>4</v>
      </c>
      <c r="V22" s="49">
        <v>0</v>
      </c>
      <c r="W22" s="50">
        <v>0</v>
      </c>
      <c r="X22" s="49">
        <v>1</v>
      </c>
      <c r="Y22" s="50">
        <v>4.166666666666667</v>
      </c>
      <c r="Z22" s="49">
        <v>0</v>
      </c>
      <c r="AA22" s="50">
        <v>0</v>
      </c>
      <c r="AB22" s="49">
        <v>23</v>
      </c>
      <c r="AC22" s="50">
        <v>95.83333333333333</v>
      </c>
      <c r="AD22" s="49">
        <v>24</v>
      </c>
    </row>
    <row r="23" spans="1:30" ht="15">
      <c r="A23" s="65" t="s">
        <v>342</v>
      </c>
      <c r="B23" s="65" t="s">
        <v>341</v>
      </c>
      <c r="C23" s="66" t="s">
        <v>1297</v>
      </c>
      <c r="D23" s="67">
        <v>3</v>
      </c>
      <c r="E23" s="68"/>
      <c r="F23" s="69">
        <v>70</v>
      </c>
      <c r="G23" s="66"/>
      <c r="H23" s="70"/>
      <c r="I23" s="71"/>
      <c r="J23" s="71"/>
      <c r="K23" s="35" t="s">
        <v>65</v>
      </c>
      <c r="L23" s="79">
        <v>23</v>
      </c>
      <c r="M23" s="79"/>
      <c r="N23" s="73"/>
      <c r="O23" s="81" t="s">
        <v>444</v>
      </c>
      <c r="P23" s="81">
        <v>1</v>
      </c>
      <c r="Q23" s="81" t="s">
        <v>445</v>
      </c>
      <c r="R23" s="81"/>
      <c r="S23" s="81">
        <v>239557</v>
      </c>
      <c r="T23" s="80" t="str">
        <f>REPLACE(INDEX(GroupVertices[Group],MATCH(Edges[[#This Row],[Vertex 1]],GroupVertices[Vertex],0)),1,1,"")</f>
        <v>2</v>
      </c>
      <c r="U23" s="80" t="str">
        <f>REPLACE(INDEX(GroupVertices[Group],MATCH(Edges[[#This Row],[Vertex 2]],GroupVertices[Vertex],0)),1,1,"")</f>
        <v>2</v>
      </c>
      <c r="V23" s="49"/>
      <c r="W23" s="50"/>
      <c r="X23" s="49"/>
      <c r="Y23" s="50"/>
      <c r="Z23" s="49"/>
      <c r="AA23" s="50"/>
      <c r="AB23" s="49"/>
      <c r="AC23" s="50"/>
      <c r="AD23" s="49"/>
    </row>
    <row r="24" spans="1:30" ht="15">
      <c r="A24" s="65" t="s">
        <v>343</v>
      </c>
      <c r="B24" s="65" t="s">
        <v>342</v>
      </c>
      <c r="C24" s="66" t="s">
        <v>1297</v>
      </c>
      <c r="D24" s="67">
        <v>3</v>
      </c>
      <c r="E24" s="68"/>
      <c r="F24" s="69">
        <v>70</v>
      </c>
      <c r="G24" s="66"/>
      <c r="H24" s="70"/>
      <c r="I24" s="71"/>
      <c r="J24" s="71"/>
      <c r="K24" s="35" t="s">
        <v>65</v>
      </c>
      <c r="L24" s="79">
        <v>24</v>
      </c>
      <c r="M24" s="79"/>
      <c r="N24" s="73"/>
      <c r="O24" s="81" t="s">
        <v>444</v>
      </c>
      <c r="P24" s="81">
        <v>1</v>
      </c>
      <c r="Q24" s="81" t="s">
        <v>445</v>
      </c>
      <c r="R24" s="81" t="s">
        <v>458</v>
      </c>
      <c r="S24" s="81">
        <v>239956</v>
      </c>
      <c r="T24" s="80" t="str">
        <f>REPLACE(INDEX(GroupVertices[Group],MATCH(Edges[[#This Row],[Vertex 1]],GroupVertices[Vertex],0)),1,1,"")</f>
        <v>2</v>
      </c>
      <c r="U24" s="80" t="str">
        <f>REPLACE(INDEX(GroupVertices[Group],MATCH(Edges[[#This Row],[Vertex 2]],GroupVertices[Vertex],0)),1,1,"")</f>
        <v>2</v>
      </c>
      <c r="V24" s="49">
        <v>0</v>
      </c>
      <c r="W24" s="50">
        <v>0</v>
      </c>
      <c r="X24" s="49">
        <v>1</v>
      </c>
      <c r="Y24" s="50">
        <v>5.882352941176471</v>
      </c>
      <c r="Z24" s="49">
        <v>0</v>
      </c>
      <c r="AA24" s="50">
        <v>0</v>
      </c>
      <c r="AB24" s="49">
        <v>16</v>
      </c>
      <c r="AC24" s="50">
        <v>94.11764705882354</v>
      </c>
      <c r="AD24" s="49">
        <v>17</v>
      </c>
    </row>
    <row r="25" spans="1:30" ht="15">
      <c r="A25" s="65" t="s">
        <v>343</v>
      </c>
      <c r="B25" s="65" t="s">
        <v>343</v>
      </c>
      <c r="C25" s="66" t="s">
        <v>1297</v>
      </c>
      <c r="D25" s="67">
        <v>3</v>
      </c>
      <c r="E25" s="68"/>
      <c r="F25" s="69">
        <v>70</v>
      </c>
      <c r="G25" s="66"/>
      <c r="H25" s="70"/>
      <c r="I25" s="71"/>
      <c r="J25" s="71"/>
      <c r="K25" s="35" t="s">
        <v>65</v>
      </c>
      <c r="L25" s="79">
        <v>25</v>
      </c>
      <c r="M25" s="79"/>
      <c r="N25" s="73"/>
      <c r="O25" s="81" t="s">
        <v>444</v>
      </c>
      <c r="P25" s="81">
        <v>1</v>
      </c>
      <c r="Q25" s="81" t="s">
        <v>445</v>
      </c>
      <c r="R25" s="81" t="s">
        <v>459</v>
      </c>
      <c r="S25" s="81">
        <v>239758</v>
      </c>
      <c r="T25" s="80" t="str">
        <f>REPLACE(INDEX(GroupVertices[Group],MATCH(Edges[[#This Row],[Vertex 1]],GroupVertices[Vertex],0)),1,1,"")</f>
        <v>2</v>
      </c>
      <c r="U25" s="80" t="str">
        <f>REPLACE(INDEX(GroupVertices[Group],MATCH(Edges[[#This Row],[Vertex 2]],GroupVertices[Vertex],0)),1,1,"")</f>
        <v>2</v>
      </c>
      <c r="V25" s="49">
        <v>0</v>
      </c>
      <c r="W25" s="50">
        <v>0</v>
      </c>
      <c r="X25" s="49">
        <v>1</v>
      </c>
      <c r="Y25" s="50">
        <v>20</v>
      </c>
      <c r="Z25" s="49">
        <v>0</v>
      </c>
      <c r="AA25" s="50">
        <v>0</v>
      </c>
      <c r="AB25" s="49">
        <v>4</v>
      </c>
      <c r="AC25" s="50">
        <v>80</v>
      </c>
      <c r="AD25" s="49">
        <v>5</v>
      </c>
    </row>
    <row r="26" spans="1:30" ht="15">
      <c r="A26" s="65" t="s">
        <v>341</v>
      </c>
      <c r="B26" s="65" t="s">
        <v>343</v>
      </c>
      <c r="C26" s="66" t="s">
        <v>1297</v>
      </c>
      <c r="D26" s="67">
        <v>3</v>
      </c>
      <c r="E26" s="68"/>
      <c r="F26" s="69">
        <v>70</v>
      </c>
      <c r="G26" s="66"/>
      <c r="H26" s="70"/>
      <c r="I26" s="71"/>
      <c r="J26" s="71"/>
      <c r="K26" s="35" t="s">
        <v>65</v>
      </c>
      <c r="L26" s="79">
        <v>26</v>
      </c>
      <c r="M26" s="79"/>
      <c r="N26" s="73"/>
      <c r="O26" s="81" t="s">
        <v>444</v>
      </c>
      <c r="P26" s="81">
        <v>1</v>
      </c>
      <c r="Q26" s="81" t="s">
        <v>445</v>
      </c>
      <c r="R26" s="81" t="s">
        <v>459</v>
      </c>
      <c r="S26" s="81">
        <v>240153</v>
      </c>
      <c r="T26" s="80" t="str">
        <f>REPLACE(INDEX(GroupVertices[Group],MATCH(Edges[[#This Row],[Vertex 1]],GroupVertices[Vertex],0)),1,1,"")</f>
        <v>2</v>
      </c>
      <c r="U26" s="80" t="str">
        <f>REPLACE(INDEX(GroupVertices[Group],MATCH(Edges[[#This Row],[Vertex 2]],GroupVertices[Vertex],0)),1,1,"")</f>
        <v>2</v>
      </c>
      <c r="V26" s="49">
        <v>0</v>
      </c>
      <c r="W26" s="50">
        <v>0</v>
      </c>
      <c r="X26" s="49">
        <v>1</v>
      </c>
      <c r="Y26" s="50">
        <v>20</v>
      </c>
      <c r="Z26" s="49">
        <v>0</v>
      </c>
      <c r="AA26" s="50">
        <v>0</v>
      </c>
      <c r="AB26" s="49">
        <v>4</v>
      </c>
      <c r="AC26" s="50">
        <v>80</v>
      </c>
      <c r="AD26" s="49">
        <v>5</v>
      </c>
    </row>
    <row r="27" spans="1:30" ht="15">
      <c r="A27" s="65" t="s">
        <v>344</v>
      </c>
      <c r="B27" s="65" t="s">
        <v>341</v>
      </c>
      <c r="C27" s="66" t="s">
        <v>1297</v>
      </c>
      <c r="D27" s="67">
        <v>3</v>
      </c>
      <c r="E27" s="68"/>
      <c r="F27" s="69">
        <v>70</v>
      </c>
      <c r="G27" s="66"/>
      <c r="H27" s="70"/>
      <c r="I27" s="71"/>
      <c r="J27" s="71"/>
      <c r="K27" s="35" t="s">
        <v>65</v>
      </c>
      <c r="L27" s="79">
        <v>27</v>
      </c>
      <c r="M27" s="79"/>
      <c r="N27" s="73"/>
      <c r="O27" s="81" t="s">
        <v>444</v>
      </c>
      <c r="P27" s="81">
        <v>1</v>
      </c>
      <c r="Q27" s="81" t="s">
        <v>445</v>
      </c>
      <c r="R27" s="81"/>
      <c r="S27" s="81">
        <v>190944</v>
      </c>
      <c r="T27" s="80" t="str">
        <f>REPLACE(INDEX(GroupVertices[Group],MATCH(Edges[[#This Row],[Vertex 1]],GroupVertices[Vertex],0)),1,1,"")</f>
        <v>1</v>
      </c>
      <c r="U27" s="80" t="str">
        <f>REPLACE(INDEX(GroupVertices[Group],MATCH(Edges[[#This Row],[Vertex 2]],GroupVertices[Vertex],0)),1,1,"")</f>
        <v>2</v>
      </c>
      <c r="V27" s="49"/>
      <c r="W27" s="50"/>
      <c r="X27" s="49"/>
      <c r="Y27" s="50"/>
      <c r="Z27" s="49"/>
      <c r="AA27" s="50"/>
      <c r="AB27" s="49"/>
      <c r="AC27" s="50"/>
      <c r="AD27" s="49"/>
    </row>
    <row r="28" spans="1:30" ht="15">
      <c r="A28" s="65" t="s">
        <v>335</v>
      </c>
      <c r="B28" s="65" t="s">
        <v>344</v>
      </c>
      <c r="C28" s="66" t="s">
        <v>1297</v>
      </c>
      <c r="D28" s="67">
        <v>3</v>
      </c>
      <c r="E28" s="68"/>
      <c r="F28" s="69">
        <v>70</v>
      </c>
      <c r="G28" s="66"/>
      <c r="H28" s="70"/>
      <c r="I28" s="71"/>
      <c r="J28" s="71"/>
      <c r="K28" s="35" t="s">
        <v>65</v>
      </c>
      <c r="L28" s="79">
        <v>28</v>
      </c>
      <c r="M28" s="79"/>
      <c r="N28" s="73"/>
      <c r="O28" s="81" t="s">
        <v>444</v>
      </c>
      <c r="P28" s="81">
        <v>1</v>
      </c>
      <c r="Q28" s="81" t="s">
        <v>445</v>
      </c>
      <c r="R28" s="81" t="s">
        <v>460</v>
      </c>
      <c r="S28" s="81">
        <v>190951</v>
      </c>
      <c r="T28" s="80" t="str">
        <f>REPLACE(INDEX(GroupVertices[Group],MATCH(Edges[[#This Row],[Vertex 1]],GroupVertices[Vertex],0)),1,1,"")</f>
        <v>1</v>
      </c>
      <c r="U28" s="80" t="str">
        <f>REPLACE(INDEX(GroupVertices[Group],MATCH(Edges[[#This Row],[Vertex 2]],GroupVertices[Vertex],0)),1,1,"")</f>
        <v>1</v>
      </c>
      <c r="V28" s="49">
        <v>0</v>
      </c>
      <c r="W28" s="50">
        <v>0</v>
      </c>
      <c r="X28" s="49">
        <v>1</v>
      </c>
      <c r="Y28" s="50">
        <v>4.545454545454546</v>
      </c>
      <c r="Z28" s="49">
        <v>0</v>
      </c>
      <c r="AA28" s="50">
        <v>0</v>
      </c>
      <c r="AB28" s="49">
        <v>21</v>
      </c>
      <c r="AC28" s="50">
        <v>95.45454545454545</v>
      </c>
      <c r="AD28" s="49">
        <v>22</v>
      </c>
    </row>
    <row r="29" spans="1:30" ht="15">
      <c r="A29" s="65" t="s">
        <v>345</v>
      </c>
      <c r="B29" s="65" t="s">
        <v>335</v>
      </c>
      <c r="C29" s="66" t="s">
        <v>1297</v>
      </c>
      <c r="D29" s="67">
        <v>3</v>
      </c>
      <c r="E29" s="68"/>
      <c r="F29" s="69">
        <v>70</v>
      </c>
      <c r="G29" s="66"/>
      <c r="H29" s="70"/>
      <c r="I29" s="71"/>
      <c r="J29" s="71"/>
      <c r="K29" s="35" t="s">
        <v>65</v>
      </c>
      <c r="L29" s="79">
        <v>29</v>
      </c>
      <c r="M29" s="79"/>
      <c r="N29" s="73"/>
      <c r="O29" s="81" t="s">
        <v>444</v>
      </c>
      <c r="P29" s="81">
        <v>1</v>
      </c>
      <c r="Q29" s="81" t="s">
        <v>445</v>
      </c>
      <c r="R29" s="81" t="s">
        <v>461</v>
      </c>
      <c r="S29" s="81">
        <v>191226</v>
      </c>
      <c r="T29" s="80" t="str">
        <f>REPLACE(INDEX(GroupVertices[Group],MATCH(Edges[[#This Row],[Vertex 1]],GroupVertices[Vertex],0)),1,1,"")</f>
        <v>1</v>
      </c>
      <c r="U29" s="80" t="str">
        <f>REPLACE(INDEX(GroupVertices[Group],MATCH(Edges[[#This Row],[Vertex 2]],GroupVertices[Vertex],0)),1,1,"")</f>
        <v>1</v>
      </c>
      <c r="V29" s="49">
        <v>0</v>
      </c>
      <c r="W29" s="50">
        <v>0</v>
      </c>
      <c r="X29" s="49">
        <v>0</v>
      </c>
      <c r="Y29" s="50">
        <v>0</v>
      </c>
      <c r="Z29" s="49">
        <v>0</v>
      </c>
      <c r="AA29" s="50">
        <v>0</v>
      </c>
      <c r="AB29" s="49">
        <v>14</v>
      </c>
      <c r="AC29" s="50">
        <v>100</v>
      </c>
      <c r="AD29" s="49">
        <v>14</v>
      </c>
    </row>
    <row r="30" spans="1:30" ht="15">
      <c r="A30" s="65" t="s">
        <v>346</v>
      </c>
      <c r="B30" s="65" t="s">
        <v>345</v>
      </c>
      <c r="C30" s="66" t="s">
        <v>1297</v>
      </c>
      <c r="D30" s="67">
        <v>3</v>
      </c>
      <c r="E30" s="68"/>
      <c r="F30" s="69">
        <v>70</v>
      </c>
      <c r="G30" s="66"/>
      <c r="H30" s="70"/>
      <c r="I30" s="71"/>
      <c r="J30" s="71"/>
      <c r="K30" s="35" t="s">
        <v>65</v>
      </c>
      <c r="L30" s="79">
        <v>30</v>
      </c>
      <c r="M30" s="79"/>
      <c r="N30" s="73"/>
      <c r="O30" s="81" t="s">
        <v>444</v>
      </c>
      <c r="P30" s="81">
        <v>1</v>
      </c>
      <c r="Q30" s="81" t="s">
        <v>445</v>
      </c>
      <c r="R30" s="81" t="s">
        <v>462</v>
      </c>
      <c r="S30" s="81">
        <v>191421</v>
      </c>
      <c r="T30" s="80" t="str">
        <f>REPLACE(INDEX(GroupVertices[Group],MATCH(Edges[[#This Row],[Vertex 1]],GroupVertices[Vertex],0)),1,1,"")</f>
        <v>2</v>
      </c>
      <c r="U30" s="80" t="str">
        <f>REPLACE(INDEX(GroupVertices[Group],MATCH(Edges[[#This Row],[Vertex 2]],GroupVertices[Vertex],0)),1,1,"")</f>
        <v>1</v>
      </c>
      <c r="V30" s="49">
        <v>0</v>
      </c>
      <c r="W30" s="50">
        <v>0</v>
      </c>
      <c r="X30" s="49">
        <v>0</v>
      </c>
      <c r="Y30" s="50">
        <v>0</v>
      </c>
      <c r="Z30" s="49">
        <v>0</v>
      </c>
      <c r="AA30" s="50">
        <v>0</v>
      </c>
      <c r="AB30" s="49">
        <v>1</v>
      </c>
      <c r="AC30" s="50">
        <v>100</v>
      </c>
      <c r="AD30" s="49">
        <v>1</v>
      </c>
    </row>
    <row r="31" spans="1:30" ht="15">
      <c r="A31" s="65" t="s">
        <v>347</v>
      </c>
      <c r="B31" s="65" t="s">
        <v>366</v>
      </c>
      <c r="C31" s="66" t="s">
        <v>1297</v>
      </c>
      <c r="D31" s="67">
        <v>3</v>
      </c>
      <c r="E31" s="68"/>
      <c r="F31" s="69">
        <v>70</v>
      </c>
      <c r="G31" s="66"/>
      <c r="H31" s="70"/>
      <c r="I31" s="71"/>
      <c r="J31" s="71"/>
      <c r="K31" s="35" t="s">
        <v>65</v>
      </c>
      <c r="L31" s="79">
        <v>31</v>
      </c>
      <c r="M31" s="79"/>
      <c r="N31" s="73"/>
      <c r="O31" s="81" t="s">
        <v>444</v>
      </c>
      <c r="P31" s="81">
        <v>1</v>
      </c>
      <c r="Q31" s="81" t="s">
        <v>445</v>
      </c>
      <c r="R31" s="81" t="s">
        <v>463</v>
      </c>
      <c r="S31" s="81">
        <v>186630</v>
      </c>
      <c r="T31" s="80" t="str">
        <f>REPLACE(INDEX(GroupVertices[Group],MATCH(Edges[[#This Row],[Vertex 1]],GroupVertices[Vertex],0)),1,1,"")</f>
        <v>3</v>
      </c>
      <c r="U31" s="80" t="str">
        <f>REPLACE(INDEX(GroupVertices[Group],MATCH(Edges[[#This Row],[Vertex 2]],GroupVertices[Vertex],0)),1,1,"")</f>
        <v>1</v>
      </c>
      <c r="V31" s="49">
        <v>0</v>
      </c>
      <c r="W31" s="50">
        <v>0</v>
      </c>
      <c r="X31" s="49">
        <v>0</v>
      </c>
      <c r="Y31" s="50">
        <v>0</v>
      </c>
      <c r="Z31" s="49">
        <v>0</v>
      </c>
      <c r="AA31" s="50">
        <v>0</v>
      </c>
      <c r="AB31" s="49">
        <v>9</v>
      </c>
      <c r="AC31" s="50">
        <v>100</v>
      </c>
      <c r="AD31" s="49">
        <v>9</v>
      </c>
    </row>
    <row r="32" spans="1:30" ht="15">
      <c r="A32" s="65" t="s">
        <v>348</v>
      </c>
      <c r="B32" s="65" t="s">
        <v>347</v>
      </c>
      <c r="C32" s="66" t="s">
        <v>1297</v>
      </c>
      <c r="D32" s="67">
        <v>3</v>
      </c>
      <c r="E32" s="68"/>
      <c r="F32" s="69">
        <v>70</v>
      </c>
      <c r="G32" s="66"/>
      <c r="H32" s="70"/>
      <c r="I32" s="71"/>
      <c r="J32" s="71"/>
      <c r="K32" s="35" t="s">
        <v>65</v>
      </c>
      <c r="L32" s="79">
        <v>32</v>
      </c>
      <c r="M32" s="79"/>
      <c r="N32" s="73"/>
      <c r="O32" s="81" t="s">
        <v>444</v>
      </c>
      <c r="P32" s="81">
        <v>1</v>
      </c>
      <c r="Q32" s="81" t="s">
        <v>445</v>
      </c>
      <c r="R32" s="81" t="s">
        <v>464</v>
      </c>
      <c r="S32" s="81">
        <v>186866</v>
      </c>
      <c r="T32" s="80" t="str">
        <f>REPLACE(INDEX(GroupVertices[Group],MATCH(Edges[[#This Row],[Vertex 1]],GroupVertices[Vertex],0)),1,1,"")</f>
        <v>3</v>
      </c>
      <c r="U32" s="80" t="str">
        <f>REPLACE(INDEX(GroupVertices[Group],MATCH(Edges[[#This Row],[Vertex 2]],GroupVertices[Vertex],0)),1,1,"")</f>
        <v>3</v>
      </c>
      <c r="V32" s="49">
        <v>0</v>
      </c>
      <c r="W32" s="50">
        <v>0</v>
      </c>
      <c r="X32" s="49">
        <v>0</v>
      </c>
      <c r="Y32" s="50">
        <v>0</v>
      </c>
      <c r="Z32" s="49">
        <v>0</v>
      </c>
      <c r="AA32" s="50">
        <v>0</v>
      </c>
      <c r="AB32" s="49">
        <v>12</v>
      </c>
      <c r="AC32" s="50">
        <v>100</v>
      </c>
      <c r="AD32" s="49">
        <v>12</v>
      </c>
    </row>
    <row r="33" spans="1:30" ht="15">
      <c r="A33" s="65" t="s">
        <v>349</v>
      </c>
      <c r="B33" s="65" t="s">
        <v>348</v>
      </c>
      <c r="C33" s="66" t="s">
        <v>1297</v>
      </c>
      <c r="D33" s="67">
        <v>3</v>
      </c>
      <c r="E33" s="68"/>
      <c r="F33" s="69">
        <v>70</v>
      </c>
      <c r="G33" s="66"/>
      <c r="H33" s="70"/>
      <c r="I33" s="71"/>
      <c r="J33" s="71"/>
      <c r="K33" s="35" t="s">
        <v>65</v>
      </c>
      <c r="L33" s="79">
        <v>33</v>
      </c>
      <c r="M33" s="79"/>
      <c r="N33" s="73"/>
      <c r="O33" s="81" t="s">
        <v>444</v>
      </c>
      <c r="P33" s="81">
        <v>1</v>
      </c>
      <c r="Q33" s="81" t="s">
        <v>445</v>
      </c>
      <c r="R33" s="81" t="s">
        <v>465</v>
      </c>
      <c r="S33" s="81">
        <v>187262</v>
      </c>
      <c r="T33" s="80" t="str">
        <f>REPLACE(INDEX(GroupVertices[Group],MATCH(Edges[[#This Row],[Vertex 1]],GroupVertices[Vertex],0)),1,1,"")</f>
        <v>3</v>
      </c>
      <c r="U33" s="80" t="str">
        <f>REPLACE(INDEX(GroupVertices[Group],MATCH(Edges[[#This Row],[Vertex 2]],GroupVertices[Vertex],0)),1,1,"")</f>
        <v>3</v>
      </c>
      <c r="V33" s="49">
        <v>0</v>
      </c>
      <c r="W33" s="50">
        <v>0</v>
      </c>
      <c r="X33" s="49">
        <v>0</v>
      </c>
      <c r="Y33" s="50">
        <v>0</v>
      </c>
      <c r="Z33" s="49">
        <v>0</v>
      </c>
      <c r="AA33" s="50">
        <v>0</v>
      </c>
      <c r="AB33" s="49">
        <v>11</v>
      </c>
      <c r="AC33" s="50">
        <v>100</v>
      </c>
      <c r="AD33" s="49">
        <v>11</v>
      </c>
    </row>
    <row r="34" spans="1:30" ht="15">
      <c r="A34" s="65" t="s">
        <v>350</v>
      </c>
      <c r="B34" s="65" t="s">
        <v>349</v>
      </c>
      <c r="C34" s="66" t="s">
        <v>1297</v>
      </c>
      <c r="D34" s="67">
        <v>3</v>
      </c>
      <c r="E34" s="68"/>
      <c r="F34" s="69">
        <v>70</v>
      </c>
      <c r="G34" s="66"/>
      <c r="H34" s="70"/>
      <c r="I34" s="71"/>
      <c r="J34" s="71"/>
      <c r="K34" s="35" t="s">
        <v>65</v>
      </c>
      <c r="L34" s="79">
        <v>34</v>
      </c>
      <c r="M34" s="79"/>
      <c r="N34" s="73"/>
      <c r="O34" s="81" t="s">
        <v>444</v>
      </c>
      <c r="P34" s="81">
        <v>1</v>
      </c>
      <c r="Q34" s="81" t="s">
        <v>445</v>
      </c>
      <c r="R34" s="81" t="s">
        <v>464</v>
      </c>
      <c r="S34" s="81">
        <v>187483</v>
      </c>
      <c r="T34" s="80" t="str">
        <f>REPLACE(INDEX(GroupVertices[Group],MATCH(Edges[[#This Row],[Vertex 1]],GroupVertices[Vertex],0)),1,1,"")</f>
        <v>3</v>
      </c>
      <c r="U34" s="80" t="str">
        <f>REPLACE(INDEX(GroupVertices[Group],MATCH(Edges[[#This Row],[Vertex 2]],GroupVertices[Vertex],0)),1,1,"")</f>
        <v>3</v>
      </c>
      <c r="V34" s="49">
        <v>0</v>
      </c>
      <c r="W34" s="50">
        <v>0</v>
      </c>
      <c r="X34" s="49">
        <v>0</v>
      </c>
      <c r="Y34" s="50">
        <v>0</v>
      </c>
      <c r="Z34" s="49">
        <v>0</v>
      </c>
      <c r="AA34" s="50">
        <v>0</v>
      </c>
      <c r="AB34" s="49">
        <v>12</v>
      </c>
      <c r="AC34" s="50">
        <v>100</v>
      </c>
      <c r="AD34" s="49">
        <v>12</v>
      </c>
    </row>
    <row r="35" spans="1:30" ht="15">
      <c r="A35" s="65" t="s">
        <v>351</v>
      </c>
      <c r="B35" s="65" t="s">
        <v>350</v>
      </c>
      <c r="C35" s="66" t="s">
        <v>1297</v>
      </c>
      <c r="D35" s="67">
        <v>3</v>
      </c>
      <c r="E35" s="68"/>
      <c r="F35" s="69">
        <v>70</v>
      </c>
      <c r="G35" s="66"/>
      <c r="H35" s="70"/>
      <c r="I35" s="71"/>
      <c r="J35" s="71"/>
      <c r="K35" s="35" t="s">
        <v>65</v>
      </c>
      <c r="L35" s="79">
        <v>35</v>
      </c>
      <c r="M35" s="79"/>
      <c r="N35" s="73"/>
      <c r="O35" s="81" t="s">
        <v>444</v>
      </c>
      <c r="P35" s="81">
        <v>1</v>
      </c>
      <c r="Q35" s="81" t="s">
        <v>445</v>
      </c>
      <c r="R35" s="81" t="s">
        <v>466</v>
      </c>
      <c r="S35" s="81">
        <v>187677</v>
      </c>
      <c r="T35" s="80" t="str">
        <f>REPLACE(INDEX(GroupVertices[Group],MATCH(Edges[[#This Row],[Vertex 1]],GroupVertices[Vertex],0)),1,1,"")</f>
        <v>3</v>
      </c>
      <c r="U35" s="80" t="str">
        <f>REPLACE(INDEX(GroupVertices[Group],MATCH(Edges[[#This Row],[Vertex 2]],GroupVertices[Vertex],0)),1,1,"")</f>
        <v>3</v>
      </c>
      <c r="V35" s="49">
        <v>1</v>
      </c>
      <c r="W35" s="50">
        <v>14.285714285714286</v>
      </c>
      <c r="X35" s="49">
        <v>0</v>
      </c>
      <c r="Y35" s="50">
        <v>0</v>
      </c>
      <c r="Z35" s="49">
        <v>0</v>
      </c>
      <c r="AA35" s="50">
        <v>0</v>
      </c>
      <c r="AB35" s="49">
        <v>6</v>
      </c>
      <c r="AC35" s="50">
        <v>85.71428571428571</v>
      </c>
      <c r="AD35" s="49">
        <v>7</v>
      </c>
    </row>
    <row r="36" spans="1:30" ht="15">
      <c r="A36" s="65" t="s">
        <v>351</v>
      </c>
      <c r="B36" s="65" t="s">
        <v>351</v>
      </c>
      <c r="C36" s="66" t="s">
        <v>1297</v>
      </c>
      <c r="D36" s="67">
        <v>3</v>
      </c>
      <c r="E36" s="68"/>
      <c r="F36" s="69">
        <v>70</v>
      </c>
      <c r="G36" s="66"/>
      <c r="H36" s="70"/>
      <c r="I36" s="71"/>
      <c r="J36" s="71"/>
      <c r="K36" s="35" t="s">
        <v>65</v>
      </c>
      <c r="L36" s="79">
        <v>36</v>
      </c>
      <c r="M36" s="79"/>
      <c r="N36" s="73"/>
      <c r="O36" s="81" t="s">
        <v>444</v>
      </c>
      <c r="P36" s="81">
        <v>1</v>
      </c>
      <c r="Q36" s="81" t="s">
        <v>445</v>
      </c>
      <c r="R36" s="81" t="s">
        <v>466</v>
      </c>
      <c r="S36" s="81">
        <v>187708</v>
      </c>
      <c r="T36" s="80" t="str">
        <f>REPLACE(INDEX(GroupVertices[Group],MATCH(Edges[[#This Row],[Vertex 1]],GroupVertices[Vertex],0)),1,1,"")</f>
        <v>3</v>
      </c>
      <c r="U36" s="80" t="str">
        <f>REPLACE(INDEX(GroupVertices[Group],MATCH(Edges[[#This Row],[Vertex 2]],GroupVertices[Vertex],0)),1,1,"")</f>
        <v>3</v>
      </c>
      <c r="V36" s="49">
        <v>1</v>
      </c>
      <c r="W36" s="50">
        <v>14.285714285714286</v>
      </c>
      <c r="X36" s="49">
        <v>0</v>
      </c>
      <c r="Y36" s="50">
        <v>0</v>
      </c>
      <c r="Z36" s="49">
        <v>0</v>
      </c>
      <c r="AA36" s="50">
        <v>0</v>
      </c>
      <c r="AB36" s="49">
        <v>6</v>
      </c>
      <c r="AC36" s="50">
        <v>85.71428571428571</v>
      </c>
      <c r="AD36" s="49">
        <v>7</v>
      </c>
    </row>
    <row r="37" spans="1:30" ht="15">
      <c r="A37" s="65" t="s">
        <v>352</v>
      </c>
      <c r="B37" s="65" t="s">
        <v>351</v>
      </c>
      <c r="C37" s="66" t="s">
        <v>1297</v>
      </c>
      <c r="D37" s="67">
        <v>3</v>
      </c>
      <c r="E37" s="68"/>
      <c r="F37" s="69">
        <v>70</v>
      </c>
      <c r="G37" s="66"/>
      <c r="H37" s="70"/>
      <c r="I37" s="71"/>
      <c r="J37" s="71"/>
      <c r="K37" s="35" t="s">
        <v>65</v>
      </c>
      <c r="L37" s="79">
        <v>37</v>
      </c>
      <c r="M37" s="79"/>
      <c r="N37" s="73"/>
      <c r="O37" s="81" t="s">
        <v>444</v>
      </c>
      <c r="P37" s="81">
        <v>1</v>
      </c>
      <c r="Q37" s="81" t="s">
        <v>445</v>
      </c>
      <c r="R37" s="81" t="s">
        <v>466</v>
      </c>
      <c r="S37" s="81">
        <v>188124</v>
      </c>
      <c r="T37" s="80" t="str">
        <f>REPLACE(INDEX(GroupVertices[Group],MATCH(Edges[[#This Row],[Vertex 1]],GroupVertices[Vertex],0)),1,1,"")</f>
        <v>7</v>
      </c>
      <c r="U37" s="80" t="str">
        <f>REPLACE(INDEX(GroupVertices[Group],MATCH(Edges[[#This Row],[Vertex 2]],GroupVertices[Vertex],0)),1,1,"")</f>
        <v>3</v>
      </c>
      <c r="V37" s="49">
        <v>1</v>
      </c>
      <c r="W37" s="50">
        <v>14.285714285714286</v>
      </c>
      <c r="X37" s="49">
        <v>0</v>
      </c>
      <c r="Y37" s="50">
        <v>0</v>
      </c>
      <c r="Z37" s="49">
        <v>0</v>
      </c>
      <c r="AA37" s="50">
        <v>0</v>
      </c>
      <c r="AB37" s="49">
        <v>6</v>
      </c>
      <c r="AC37" s="50">
        <v>85.71428571428571</v>
      </c>
      <c r="AD37" s="49">
        <v>7</v>
      </c>
    </row>
    <row r="38" spans="1:30" ht="15">
      <c r="A38" s="65" t="s">
        <v>353</v>
      </c>
      <c r="B38" s="65" t="s">
        <v>356</v>
      </c>
      <c r="C38" s="66" t="s">
        <v>1297</v>
      </c>
      <c r="D38" s="67">
        <v>3</v>
      </c>
      <c r="E38" s="68"/>
      <c r="F38" s="69">
        <v>70</v>
      </c>
      <c r="G38" s="66"/>
      <c r="H38" s="70"/>
      <c r="I38" s="71"/>
      <c r="J38" s="71"/>
      <c r="K38" s="35" t="s">
        <v>65</v>
      </c>
      <c r="L38" s="79">
        <v>38</v>
      </c>
      <c r="M38" s="79"/>
      <c r="N38" s="73"/>
      <c r="O38" s="81" t="s">
        <v>444</v>
      </c>
      <c r="P38" s="81">
        <v>1</v>
      </c>
      <c r="Q38" s="81" t="s">
        <v>445</v>
      </c>
      <c r="R38" s="81" t="s">
        <v>467</v>
      </c>
      <c r="S38" s="81">
        <v>190151</v>
      </c>
      <c r="T38" s="80" t="str">
        <f>REPLACE(INDEX(GroupVertices[Group],MATCH(Edges[[#This Row],[Vertex 1]],GroupVertices[Vertex],0)),1,1,"")</f>
        <v>2</v>
      </c>
      <c r="U38" s="80" t="str">
        <f>REPLACE(INDEX(GroupVertices[Group],MATCH(Edges[[#This Row],[Vertex 2]],GroupVertices[Vertex],0)),1,1,"")</f>
        <v>2</v>
      </c>
      <c r="V38" s="49">
        <v>0</v>
      </c>
      <c r="W38" s="50">
        <v>0</v>
      </c>
      <c r="X38" s="49">
        <v>0</v>
      </c>
      <c r="Y38" s="50">
        <v>0</v>
      </c>
      <c r="Z38" s="49">
        <v>0</v>
      </c>
      <c r="AA38" s="50">
        <v>0</v>
      </c>
      <c r="AB38" s="49">
        <v>11</v>
      </c>
      <c r="AC38" s="50">
        <v>100</v>
      </c>
      <c r="AD38" s="49">
        <v>11</v>
      </c>
    </row>
    <row r="39" spans="1:30" ht="15">
      <c r="A39" s="65" t="s">
        <v>354</v>
      </c>
      <c r="B39" s="65" t="s">
        <v>353</v>
      </c>
      <c r="C39" s="66" t="s">
        <v>1297</v>
      </c>
      <c r="D39" s="67">
        <v>3</v>
      </c>
      <c r="E39" s="68"/>
      <c r="F39" s="69">
        <v>70</v>
      </c>
      <c r="G39" s="66"/>
      <c r="H39" s="70"/>
      <c r="I39" s="71"/>
      <c r="J39" s="71"/>
      <c r="K39" s="35" t="s">
        <v>65</v>
      </c>
      <c r="L39" s="79">
        <v>39</v>
      </c>
      <c r="M39" s="79"/>
      <c r="N39" s="73"/>
      <c r="O39" s="81" t="s">
        <v>444</v>
      </c>
      <c r="P39" s="81">
        <v>1</v>
      </c>
      <c r="Q39" s="81" t="s">
        <v>445</v>
      </c>
      <c r="R39" s="81" t="s">
        <v>468</v>
      </c>
      <c r="S39" s="81">
        <v>189769</v>
      </c>
      <c r="T39" s="80" t="str">
        <f>REPLACE(INDEX(GroupVertices[Group],MATCH(Edges[[#This Row],[Vertex 1]],GroupVertices[Vertex],0)),1,1,"")</f>
        <v>2</v>
      </c>
      <c r="U39" s="80" t="str">
        <f>REPLACE(INDEX(GroupVertices[Group],MATCH(Edges[[#This Row],[Vertex 2]],GroupVertices[Vertex],0)),1,1,"")</f>
        <v>2</v>
      </c>
      <c r="V39" s="49">
        <v>2</v>
      </c>
      <c r="W39" s="50">
        <v>8</v>
      </c>
      <c r="X39" s="49">
        <v>0</v>
      </c>
      <c r="Y39" s="50">
        <v>0</v>
      </c>
      <c r="Z39" s="49">
        <v>0</v>
      </c>
      <c r="AA39" s="50">
        <v>0</v>
      </c>
      <c r="AB39" s="49">
        <v>23</v>
      </c>
      <c r="AC39" s="50">
        <v>92</v>
      </c>
      <c r="AD39" s="49">
        <v>25</v>
      </c>
    </row>
    <row r="40" spans="1:30" ht="15">
      <c r="A40" s="65" t="s">
        <v>355</v>
      </c>
      <c r="B40" s="65" t="s">
        <v>333</v>
      </c>
      <c r="C40" s="66" t="s">
        <v>1297</v>
      </c>
      <c r="D40" s="67">
        <v>3</v>
      </c>
      <c r="E40" s="68"/>
      <c r="F40" s="69">
        <v>70</v>
      </c>
      <c r="G40" s="66"/>
      <c r="H40" s="70"/>
      <c r="I40" s="71"/>
      <c r="J40" s="71"/>
      <c r="K40" s="35" t="s">
        <v>65</v>
      </c>
      <c r="L40" s="79">
        <v>40</v>
      </c>
      <c r="M40" s="79"/>
      <c r="N40" s="73"/>
      <c r="O40" s="81" t="s">
        <v>444</v>
      </c>
      <c r="P40" s="81">
        <v>1</v>
      </c>
      <c r="Q40" s="81" t="s">
        <v>445</v>
      </c>
      <c r="R40" s="81" t="s">
        <v>469</v>
      </c>
      <c r="S40" s="81">
        <v>173289</v>
      </c>
      <c r="T40" s="80" t="str">
        <f>REPLACE(INDEX(GroupVertices[Group],MATCH(Edges[[#This Row],[Vertex 1]],GroupVertices[Vertex],0)),1,1,"")</f>
        <v>2</v>
      </c>
      <c r="U40" s="80" t="str">
        <f>REPLACE(INDEX(GroupVertices[Group],MATCH(Edges[[#This Row],[Vertex 2]],GroupVertices[Vertex],0)),1,1,"")</f>
        <v>7</v>
      </c>
      <c r="V40" s="49">
        <v>0</v>
      </c>
      <c r="W40" s="50">
        <v>0</v>
      </c>
      <c r="X40" s="49">
        <v>0</v>
      </c>
      <c r="Y40" s="50">
        <v>0</v>
      </c>
      <c r="Z40" s="49">
        <v>0</v>
      </c>
      <c r="AA40" s="50">
        <v>0</v>
      </c>
      <c r="AB40" s="49">
        <v>11</v>
      </c>
      <c r="AC40" s="50">
        <v>100</v>
      </c>
      <c r="AD40" s="49">
        <v>11</v>
      </c>
    </row>
    <row r="41" spans="1:30" ht="15">
      <c r="A41" s="65" t="s">
        <v>333</v>
      </c>
      <c r="B41" s="65" t="s">
        <v>352</v>
      </c>
      <c r="C41" s="66" t="s">
        <v>1297</v>
      </c>
      <c r="D41" s="67">
        <v>3</v>
      </c>
      <c r="E41" s="68"/>
      <c r="F41" s="69">
        <v>70</v>
      </c>
      <c r="G41" s="66"/>
      <c r="H41" s="70"/>
      <c r="I41" s="71"/>
      <c r="J41" s="71"/>
      <c r="K41" s="35" t="s">
        <v>65</v>
      </c>
      <c r="L41" s="79">
        <v>41</v>
      </c>
      <c r="M41" s="79"/>
      <c r="N41" s="73"/>
      <c r="O41" s="81" t="s">
        <v>444</v>
      </c>
      <c r="P41" s="81">
        <v>1</v>
      </c>
      <c r="Q41" s="81" t="s">
        <v>445</v>
      </c>
      <c r="R41" s="81" t="s">
        <v>470</v>
      </c>
      <c r="S41" s="81">
        <v>188741</v>
      </c>
      <c r="T41" s="80" t="str">
        <f>REPLACE(INDEX(GroupVertices[Group],MATCH(Edges[[#This Row],[Vertex 1]],GroupVertices[Vertex],0)),1,1,"")</f>
        <v>7</v>
      </c>
      <c r="U41" s="80" t="str">
        <f>REPLACE(INDEX(GroupVertices[Group],MATCH(Edges[[#This Row],[Vertex 2]],GroupVertices[Vertex],0)),1,1,"")</f>
        <v>7</v>
      </c>
      <c r="V41" s="49">
        <v>2</v>
      </c>
      <c r="W41" s="50">
        <v>14.285714285714286</v>
      </c>
      <c r="X41" s="49">
        <v>0</v>
      </c>
      <c r="Y41" s="50">
        <v>0</v>
      </c>
      <c r="Z41" s="49">
        <v>0</v>
      </c>
      <c r="AA41" s="50">
        <v>0</v>
      </c>
      <c r="AB41" s="49">
        <v>12</v>
      </c>
      <c r="AC41" s="50">
        <v>85.71428571428571</v>
      </c>
      <c r="AD41" s="49">
        <v>14</v>
      </c>
    </row>
    <row r="42" spans="1:30" ht="15">
      <c r="A42" s="65" t="s">
        <v>356</v>
      </c>
      <c r="B42" s="65" t="s">
        <v>333</v>
      </c>
      <c r="C42" s="66" t="s">
        <v>1297</v>
      </c>
      <c r="D42" s="67">
        <v>3</v>
      </c>
      <c r="E42" s="68"/>
      <c r="F42" s="69">
        <v>70</v>
      </c>
      <c r="G42" s="66"/>
      <c r="H42" s="70"/>
      <c r="I42" s="71"/>
      <c r="J42" s="71"/>
      <c r="K42" s="35" t="s">
        <v>66</v>
      </c>
      <c r="L42" s="79">
        <v>42</v>
      </c>
      <c r="M42" s="79"/>
      <c r="N42" s="73"/>
      <c r="O42" s="81" t="s">
        <v>444</v>
      </c>
      <c r="P42" s="81">
        <v>1</v>
      </c>
      <c r="Q42" s="81" t="s">
        <v>445</v>
      </c>
      <c r="R42" s="81" t="s">
        <v>471</v>
      </c>
      <c r="S42" s="81">
        <v>189384</v>
      </c>
      <c r="T42" s="80" t="str">
        <f>REPLACE(INDEX(GroupVertices[Group],MATCH(Edges[[#This Row],[Vertex 1]],GroupVertices[Vertex],0)),1,1,"")</f>
        <v>2</v>
      </c>
      <c r="U42" s="80" t="str">
        <f>REPLACE(INDEX(GroupVertices[Group],MATCH(Edges[[#This Row],[Vertex 2]],GroupVertices[Vertex],0)),1,1,"")</f>
        <v>7</v>
      </c>
      <c r="V42" s="49">
        <v>0</v>
      </c>
      <c r="W42" s="50">
        <v>0</v>
      </c>
      <c r="X42" s="49">
        <v>0</v>
      </c>
      <c r="Y42" s="50">
        <v>0</v>
      </c>
      <c r="Z42" s="49">
        <v>0</v>
      </c>
      <c r="AA42" s="50">
        <v>0</v>
      </c>
      <c r="AB42" s="49">
        <v>2</v>
      </c>
      <c r="AC42" s="50">
        <v>100</v>
      </c>
      <c r="AD42" s="49">
        <v>2</v>
      </c>
    </row>
    <row r="43" spans="1:30" ht="15">
      <c r="A43" s="65" t="s">
        <v>333</v>
      </c>
      <c r="B43" s="65" t="s">
        <v>356</v>
      </c>
      <c r="C43" s="66" t="s">
        <v>1297</v>
      </c>
      <c r="D43" s="67">
        <v>3</v>
      </c>
      <c r="E43" s="68"/>
      <c r="F43" s="69">
        <v>70</v>
      </c>
      <c r="G43" s="66"/>
      <c r="H43" s="70"/>
      <c r="I43" s="71"/>
      <c r="J43" s="71"/>
      <c r="K43" s="35" t="s">
        <v>66</v>
      </c>
      <c r="L43" s="79">
        <v>43</v>
      </c>
      <c r="M43" s="79"/>
      <c r="N43" s="73"/>
      <c r="O43" s="81" t="s">
        <v>444</v>
      </c>
      <c r="P43" s="81">
        <v>1</v>
      </c>
      <c r="Q43" s="81" t="s">
        <v>445</v>
      </c>
      <c r="R43" s="81" t="s">
        <v>472</v>
      </c>
      <c r="S43" s="81">
        <v>193339</v>
      </c>
      <c r="T43" s="80" t="str">
        <f>REPLACE(INDEX(GroupVertices[Group],MATCH(Edges[[#This Row],[Vertex 1]],GroupVertices[Vertex],0)),1,1,"")</f>
        <v>7</v>
      </c>
      <c r="U43" s="80" t="str">
        <f>REPLACE(INDEX(GroupVertices[Group],MATCH(Edges[[#This Row],[Vertex 2]],GroupVertices[Vertex],0)),1,1,"")</f>
        <v>2</v>
      </c>
      <c r="V43" s="49">
        <v>1</v>
      </c>
      <c r="W43" s="50">
        <v>11.11111111111111</v>
      </c>
      <c r="X43" s="49">
        <v>0</v>
      </c>
      <c r="Y43" s="50">
        <v>0</v>
      </c>
      <c r="Z43" s="49">
        <v>0</v>
      </c>
      <c r="AA43" s="50">
        <v>0</v>
      </c>
      <c r="AB43" s="49">
        <v>8</v>
      </c>
      <c r="AC43" s="50">
        <v>88.88888888888889</v>
      </c>
      <c r="AD43" s="49">
        <v>9</v>
      </c>
    </row>
    <row r="44" spans="1:30" ht="15">
      <c r="A44" s="65" t="s">
        <v>348</v>
      </c>
      <c r="B44" s="65" t="s">
        <v>333</v>
      </c>
      <c r="C44" s="66" t="s">
        <v>1297</v>
      </c>
      <c r="D44" s="67">
        <v>3</v>
      </c>
      <c r="E44" s="68"/>
      <c r="F44" s="69">
        <v>70</v>
      </c>
      <c r="G44" s="66"/>
      <c r="H44" s="70"/>
      <c r="I44" s="71"/>
      <c r="J44" s="71"/>
      <c r="K44" s="35" t="s">
        <v>65</v>
      </c>
      <c r="L44" s="79">
        <v>44</v>
      </c>
      <c r="M44" s="79"/>
      <c r="N44" s="73"/>
      <c r="O44" s="81" t="s">
        <v>444</v>
      </c>
      <c r="P44" s="81">
        <v>1</v>
      </c>
      <c r="Q44" s="81" t="s">
        <v>445</v>
      </c>
      <c r="R44" s="81" t="s">
        <v>473</v>
      </c>
      <c r="S44" s="81">
        <v>193560</v>
      </c>
      <c r="T44" s="80" t="str">
        <f>REPLACE(INDEX(GroupVertices[Group],MATCH(Edges[[#This Row],[Vertex 1]],GroupVertices[Vertex],0)),1,1,"")</f>
        <v>3</v>
      </c>
      <c r="U44" s="80" t="str">
        <f>REPLACE(INDEX(GroupVertices[Group],MATCH(Edges[[#This Row],[Vertex 2]],GroupVertices[Vertex],0)),1,1,"")</f>
        <v>7</v>
      </c>
      <c r="V44" s="49">
        <v>0</v>
      </c>
      <c r="W44" s="50">
        <v>0</v>
      </c>
      <c r="X44" s="49">
        <v>0</v>
      </c>
      <c r="Y44" s="50">
        <v>0</v>
      </c>
      <c r="Z44" s="49">
        <v>0</v>
      </c>
      <c r="AA44" s="50">
        <v>0</v>
      </c>
      <c r="AB44" s="49">
        <v>2</v>
      </c>
      <c r="AC44" s="50">
        <v>100</v>
      </c>
      <c r="AD44" s="49">
        <v>2</v>
      </c>
    </row>
    <row r="45" spans="1:30" ht="15">
      <c r="A45" s="65" t="s">
        <v>357</v>
      </c>
      <c r="B45" s="65" t="s">
        <v>358</v>
      </c>
      <c r="C45" s="66" t="s">
        <v>1297</v>
      </c>
      <c r="D45" s="67">
        <v>3</v>
      </c>
      <c r="E45" s="68"/>
      <c r="F45" s="69">
        <v>70</v>
      </c>
      <c r="G45" s="66"/>
      <c r="H45" s="70"/>
      <c r="I45" s="71"/>
      <c r="J45" s="71"/>
      <c r="K45" s="35" t="s">
        <v>66</v>
      </c>
      <c r="L45" s="79">
        <v>45</v>
      </c>
      <c r="M45" s="79"/>
      <c r="N45" s="73"/>
      <c r="O45" s="81" t="s">
        <v>444</v>
      </c>
      <c r="P45" s="81">
        <v>1</v>
      </c>
      <c r="Q45" s="81" t="s">
        <v>445</v>
      </c>
      <c r="R45" s="81" t="s">
        <v>474</v>
      </c>
      <c r="S45" s="81">
        <v>193144</v>
      </c>
      <c r="T45" s="80" t="str">
        <f>REPLACE(INDEX(GroupVertices[Group],MATCH(Edges[[#This Row],[Vertex 1]],GroupVertices[Vertex],0)),1,1,"")</f>
        <v>2</v>
      </c>
      <c r="U45" s="80" t="str">
        <f>REPLACE(INDEX(GroupVertices[Group],MATCH(Edges[[#This Row],[Vertex 2]],GroupVertices[Vertex],0)),1,1,"")</f>
        <v>2</v>
      </c>
      <c r="V45" s="49">
        <v>1</v>
      </c>
      <c r="W45" s="50">
        <v>25</v>
      </c>
      <c r="X45" s="49">
        <v>0</v>
      </c>
      <c r="Y45" s="50">
        <v>0</v>
      </c>
      <c r="Z45" s="49">
        <v>0</v>
      </c>
      <c r="AA45" s="50">
        <v>0</v>
      </c>
      <c r="AB45" s="49">
        <v>3</v>
      </c>
      <c r="AC45" s="50">
        <v>75</v>
      </c>
      <c r="AD45" s="49">
        <v>4</v>
      </c>
    </row>
    <row r="46" spans="1:30" ht="15">
      <c r="A46" s="65" t="s">
        <v>357</v>
      </c>
      <c r="B46" s="65" t="s">
        <v>357</v>
      </c>
      <c r="C46" s="66" t="s">
        <v>1297</v>
      </c>
      <c r="D46" s="67">
        <v>3</v>
      </c>
      <c r="E46" s="68"/>
      <c r="F46" s="69">
        <v>70</v>
      </c>
      <c r="G46" s="66"/>
      <c r="H46" s="70"/>
      <c r="I46" s="71"/>
      <c r="J46" s="71"/>
      <c r="K46" s="35" t="s">
        <v>65</v>
      </c>
      <c r="L46" s="79">
        <v>46</v>
      </c>
      <c r="M46" s="79"/>
      <c r="N46" s="73"/>
      <c r="O46" s="81" t="s">
        <v>444</v>
      </c>
      <c r="P46" s="81">
        <v>1</v>
      </c>
      <c r="Q46" s="81" t="s">
        <v>445</v>
      </c>
      <c r="R46" s="81" t="s">
        <v>475</v>
      </c>
      <c r="S46" s="81">
        <v>193142</v>
      </c>
      <c r="T46" s="80" t="str">
        <f>REPLACE(INDEX(GroupVertices[Group],MATCH(Edges[[#This Row],[Vertex 1]],GroupVertices[Vertex],0)),1,1,"")</f>
        <v>2</v>
      </c>
      <c r="U46" s="80" t="str">
        <f>REPLACE(INDEX(GroupVertices[Group],MATCH(Edges[[#This Row],[Vertex 2]],GroupVertices[Vertex],0)),1,1,"")</f>
        <v>2</v>
      </c>
      <c r="V46" s="49">
        <v>1</v>
      </c>
      <c r="W46" s="50">
        <v>33.333333333333336</v>
      </c>
      <c r="X46" s="49">
        <v>0</v>
      </c>
      <c r="Y46" s="50">
        <v>0</v>
      </c>
      <c r="Z46" s="49">
        <v>0</v>
      </c>
      <c r="AA46" s="50">
        <v>0</v>
      </c>
      <c r="AB46" s="49">
        <v>2</v>
      </c>
      <c r="AC46" s="50">
        <v>66.66666666666667</v>
      </c>
      <c r="AD46" s="49">
        <v>3</v>
      </c>
    </row>
    <row r="47" spans="1:30" ht="15">
      <c r="A47" s="65" t="s">
        <v>358</v>
      </c>
      <c r="B47" s="65" t="s">
        <v>357</v>
      </c>
      <c r="C47" s="66" t="s">
        <v>1297</v>
      </c>
      <c r="D47" s="67">
        <v>3</v>
      </c>
      <c r="E47" s="68"/>
      <c r="F47" s="69">
        <v>70</v>
      </c>
      <c r="G47" s="66"/>
      <c r="H47" s="70"/>
      <c r="I47" s="71"/>
      <c r="J47" s="71"/>
      <c r="K47" s="35" t="s">
        <v>66</v>
      </c>
      <c r="L47" s="79">
        <v>47</v>
      </c>
      <c r="M47" s="79"/>
      <c r="N47" s="73"/>
      <c r="O47" s="81" t="s">
        <v>444</v>
      </c>
      <c r="P47" s="81">
        <v>1</v>
      </c>
      <c r="Q47" s="81" t="s">
        <v>445</v>
      </c>
      <c r="R47" s="81" t="s">
        <v>476</v>
      </c>
      <c r="S47" s="81">
        <v>193308</v>
      </c>
      <c r="T47" s="80" t="str">
        <f>REPLACE(INDEX(GroupVertices[Group],MATCH(Edges[[#This Row],[Vertex 1]],GroupVertices[Vertex],0)),1,1,"")</f>
        <v>2</v>
      </c>
      <c r="U47" s="80" t="str">
        <f>REPLACE(INDEX(GroupVertices[Group],MATCH(Edges[[#This Row],[Vertex 2]],GroupVertices[Vertex],0)),1,1,"")</f>
        <v>2</v>
      </c>
      <c r="V47" s="49">
        <v>1</v>
      </c>
      <c r="W47" s="50">
        <v>50</v>
      </c>
      <c r="X47" s="49">
        <v>0</v>
      </c>
      <c r="Y47" s="50">
        <v>0</v>
      </c>
      <c r="Z47" s="49">
        <v>0</v>
      </c>
      <c r="AA47" s="50">
        <v>0</v>
      </c>
      <c r="AB47" s="49">
        <v>1</v>
      </c>
      <c r="AC47" s="50">
        <v>50</v>
      </c>
      <c r="AD47" s="49">
        <v>2</v>
      </c>
    </row>
    <row r="48" spans="1:30" ht="15">
      <c r="A48" s="65" t="s">
        <v>359</v>
      </c>
      <c r="B48" s="65" t="s">
        <v>348</v>
      </c>
      <c r="C48" s="66" t="s">
        <v>1297</v>
      </c>
      <c r="D48" s="67">
        <v>3</v>
      </c>
      <c r="E48" s="68"/>
      <c r="F48" s="69">
        <v>70</v>
      </c>
      <c r="G48" s="66"/>
      <c r="H48" s="70"/>
      <c r="I48" s="71"/>
      <c r="J48" s="71"/>
      <c r="K48" s="35" t="s">
        <v>65</v>
      </c>
      <c r="L48" s="79">
        <v>48</v>
      </c>
      <c r="M48" s="79"/>
      <c r="N48" s="73"/>
      <c r="O48" s="81" t="s">
        <v>444</v>
      </c>
      <c r="P48" s="81">
        <v>1</v>
      </c>
      <c r="Q48" s="81" t="s">
        <v>445</v>
      </c>
      <c r="R48" s="81" t="s">
        <v>477</v>
      </c>
      <c r="S48" s="81">
        <v>200617</v>
      </c>
      <c r="T48" s="80" t="str">
        <f>REPLACE(INDEX(GroupVertices[Group],MATCH(Edges[[#This Row],[Vertex 1]],GroupVertices[Vertex],0)),1,1,"")</f>
        <v>4</v>
      </c>
      <c r="U48" s="80" t="str">
        <f>REPLACE(INDEX(GroupVertices[Group],MATCH(Edges[[#This Row],[Vertex 2]],GroupVertices[Vertex],0)),1,1,"")</f>
        <v>3</v>
      </c>
      <c r="V48" s="49">
        <v>0</v>
      </c>
      <c r="W48" s="50">
        <v>0</v>
      </c>
      <c r="X48" s="49">
        <v>0</v>
      </c>
      <c r="Y48" s="50">
        <v>0</v>
      </c>
      <c r="Z48" s="49">
        <v>0</v>
      </c>
      <c r="AA48" s="50">
        <v>0</v>
      </c>
      <c r="AB48" s="49">
        <v>11</v>
      </c>
      <c r="AC48" s="50">
        <v>100</v>
      </c>
      <c r="AD48" s="49">
        <v>11</v>
      </c>
    </row>
    <row r="49" spans="1:30" ht="15">
      <c r="A49" s="65" t="s">
        <v>329</v>
      </c>
      <c r="B49" s="65" t="s">
        <v>359</v>
      </c>
      <c r="C49" s="66" t="s">
        <v>1297</v>
      </c>
      <c r="D49" s="67">
        <v>3</v>
      </c>
      <c r="E49" s="68"/>
      <c r="F49" s="69">
        <v>70</v>
      </c>
      <c r="G49" s="66"/>
      <c r="H49" s="70"/>
      <c r="I49" s="71"/>
      <c r="J49" s="71"/>
      <c r="K49" s="35" t="s">
        <v>65</v>
      </c>
      <c r="L49" s="79">
        <v>49</v>
      </c>
      <c r="M49" s="79"/>
      <c r="N49" s="73"/>
      <c r="O49" s="81" t="s">
        <v>444</v>
      </c>
      <c r="P49" s="81">
        <v>1</v>
      </c>
      <c r="Q49" s="81" t="s">
        <v>445</v>
      </c>
      <c r="R49" s="81" t="s">
        <v>478</v>
      </c>
      <c r="S49" s="81">
        <v>200339</v>
      </c>
      <c r="T49" s="80" t="str">
        <f>REPLACE(INDEX(GroupVertices[Group],MATCH(Edges[[#This Row],[Vertex 1]],GroupVertices[Vertex],0)),1,1,"")</f>
        <v>4</v>
      </c>
      <c r="U49" s="80" t="str">
        <f>REPLACE(INDEX(GroupVertices[Group],MATCH(Edges[[#This Row],[Vertex 2]],GroupVertices[Vertex],0)),1,1,"")</f>
        <v>4</v>
      </c>
      <c r="V49" s="49">
        <v>0</v>
      </c>
      <c r="W49" s="50">
        <v>0</v>
      </c>
      <c r="X49" s="49">
        <v>0</v>
      </c>
      <c r="Y49" s="50">
        <v>0</v>
      </c>
      <c r="Z49" s="49">
        <v>0</v>
      </c>
      <c r="AA49" s="50">
        <v>0</v>
      </c>
      <c r="AB49" s="49">
        <v>10</v>
      </c>
      <c r="AC49" s="50">
        <v>100</v>
      </c>
      <c r="AD49" s="49">
        <v>10</v>
      </c>
    </row>
    <row r="50" spans="1:30" ht="15">
      <c r="A50" s="65" t="s">
        <v>350</v>
      </c>
      <c r="B50" s="65" t="s">
        <v>428</v>
      </c>
      <c r="C50" s="66" t="s">
        <v>1297</v>
      </c>
      <c r="D50" s="67">
        <v>3</v>
      </c>
      <c r="E50" s="68"/>
      <c r="F50" s="69">
        <v>70</v>
      </c>
      <c r="G50" s="66"/>
      <c r="H50" s="70"/>
      <c r="I50" s="71"/>
      <c r="J50" s="71"/>
      <c r="K50" s="35" t="s">
        <v>65</v>
      </c>
      <c r="L50" s="79">
        <v>50</v>
      </c>
      <c r="M50" s="79"/>
      <c r="N50" s="73"/>
      <c r="O50" s="81" t="s">
        <v>444</v>
      </c>
      <c r="P50" s="81">
        <v>1</v>
      </c>
      <c r="Q50" s="81" t="s">
        <v>445</v>
      </c>
      <c r="R50" s="81" t="s">
        <v>479</v>
      </c>
      <c r="S50" s="81">
        <v>200866</v>
      </c>
      <c r="T50" s="80" t="str">
        <f>REPLACE(INDEX(GroupVertices[Group],MATCH(Edges[[#This Row],[Vertex 1]],GroupVertices[Vertex],0)),1,1,"")</f>
        <v>3</v>
      </c>
      <c r="U50" s="80" t="str">
        <f>REPLACE(INDEX(GroupVertices[Group],MATCH(Edges[[#This Row],[Vertex 2]],GroupVertices[Vertex],0)),1,1,"")</f>
        <v>3</v>
      </c>
      <c r="V50" s="49">
        <v>1</v>
      </c>
      <c r="W50" s="50">
        <v>11.11111111111111</v>
      </c>
      <c r="X50" s="49">
        <v>1</v>
      </c>
      <c r="Y50" s="50">
        <v>11.11111111111111</v>
      </c>
      <c r="Z50" s="49">
        <v>0</v>
      </c>
      <c r="AA50" s="50">
        <v>0</v>
      </c>
      <c r="AB50" s="49">
        <v>7</v>
      </c>
      <c r="AC50" s="50">
        <v>77.77777777777777</v>
      </c>
      <c r="AD50" s="49">
        <v>9</v>
      </c>
    </row>
    <row r="51" spans="1:30" ht="15">
      <c r="A51" s="65" t="s">
        <v>341</v>
      </c>
      <c r="B51" s="65" t="s">
        <v>350</v>
      </c>
      <c r="C51" s="66" t="s">
        <v>1297</v>
      </c>
      <c r="D51" s="67">
        <v>3</v>
      </c>
      <c r="E51" s="68"/>
      <c r="F51" s="69">
        <v>70</v>
      </c>
      <c r="G51" s="66"/>
      <c r="H51" s="70"/>
      <c r="I51" s="71"/>
      <c r="J51" s="71"/>
      <c r="K51" s="35" t="s">
        <v>65</v>
      </c>
      <c r="L51" s="79">
        <v>51</v>
      </c>
      <c r="M51" s="79"/>
      <c r="N51" s="73"/>
      <c r="O51" s="81" t="s">
        <v>444</v>
      </c>
      <c r="P51" s="81">
        <v>1</v>
      </c>
      <c r="Q51" s="81" t="s">
        <v>445</v>
      </c>
      <c r="R51" s="81" t="s">
        <v>480</v>
      </c>
      <c r="S51" s="81">
        <v>201285</v>
      </c>
      <c r="T51" s="80" t="str">
        <f>REPLACE(INDEX(GroupVertices[Group],MATCH(Edges[[#This Row],[Vertex 1]],GroupVertices[Vertex],0)),1,1,"")</f>
        <v>2</v>
      </c>
      <c r="U51" s="80" t="str">
        <f>REPLACE(INDEX(GroupVertices[Group],MATCH(Edges[[#This Row],[Vertex 2]],GroupVertices[Vertex],0)),1,1,"")</f>
        <v>3</v>
      </c>
      <c r="V51" s="49">
        <v>0</v>
      </c>
      <c r="W51" s="50">
        <v>0</v>
      </c>
      <c r="X51" s="49">
        <v>1</v>
      </c>
      <c r="Y51" s="50">
        <v>33.333333333333336</v>
      </c>
      <c r="Z51" s="49">
        <v>0</v>
      </c>
      <c r="AA51" s="50">
        <v>0</v>
      </c>
      <c r="AB51" s="49">
        <v>2</v>
      </c>
      <c r="AC51" s="50">
        <v>66.66666666666667</v>
      </c>
      <c r="AD51" s="49">
        <v>3</v>
      </c>
    </row>
    <row r="52" spans="1:30" ht="15">
      <c r="A52" s="65" t="s">
        <v>360</v>
      </c>
      <c r="B52" s="65" t="s">
        <v>413</v>
      </c>
      <c r="C52" s="66" t="s">
        <v>1297</v>
      </c>
      <c r="D52" s="67">
        <v>3</v>
      </c>
      <c r="E52" s="68"/>
      <c r="F52" s="69">
        <v>70</v>
      </c>
      <c r="G52" s="66"/>
      <c r="H52" s="70"/>
      <c r="I52" s="71"/>
      <c r="J52" s="71"/>
      <c r="K52" s="35" t="s">
        <v>65</v>
      </c>
      <c r="L52" s="79">
        <v>52</v>
      </c>
      <c r="M52" s="79"/>
      <c r="N52" s="73"/>
      <c r="O52" s="81" t="s">
        <v>444</v>
      </c>
      <c r="P52" s="81">
        <v>1</v>
      </c>
      <c r="Q52" s="81" t="s">
        <v>445</v>
      </c>
      <c r="R52" s="81" t="s">
        <v>480</v>
      </c>
      <c r="S52" s="81">
        <v>199480</v>
      </c>
      <c r="T52" s="80" t="str">
        <f>REPLACE(INDEX(GroupVertices[Group],MATCH(Edges[[#This Row],[Vertex 1]],GroupVertices[Vertex],0)),1,1,"")</f>
        <v>7</v>
      </c>
      <c r="U52" s="80" t="str">
        <f>REPLACE(INDEX(GroupVertices[Group],MATCH(Edges[[#This Row],[Vertex 2]],GroupVertices[Vertex],0)),1,1,"")</f>
        <v>7</v>
      </c>
      <c r="V52" s="49">
        <v>0</v>
      </c>
      <c r="W52" s="50">
        <v>0</v>
      </c>
      <c r="X52" s="49">
        <v>1</v>
      </c>
      <c r="Y52" s="50">
        <v>33.333333333333336</v>
      </c>
      <c r="Z52" s="49">
        <v>0</v>
      </c>
      <c r="AA52" s="50">
        <v>0</v>
      </c>
      <c r="AB52" s="49">
        <v>2</v>
      </c>
      <c r="AC52" s="50">
        <v>66.66666666666667</v>
      </c>
      <c r="AD52" s="49">
        <v>3</v>
      </c>
    </row>
    <row r="53" spans="1:30" ht="15">
      <c r="A53" s="65" t="s">
        <v>355</v>
      </c>
      <c r="B53" s="65" t="s">
        <v>360</v>
      </c>
      <c r="C53" s="66" t="s">
        <v>1297</v>
      </c>
      <c r="D53" s="67">
        <v>3</v>
      </c>
      <c r="E53" s="68"/>
      <c r="F53" s="69">
        <v>70</v>
      </c>
      <c r="G53" s="66"/>
      <c r="H53" s="70"/>
      <c r="I53" s="71"/>
      <c r="J53" s="71"/>
      <c r="K53" s="35" t="s">
        <v>65</v>
      </c>
      <c r="L53" s="79">
        <v>53</v>
      </c>
      <c r="M53" s="79"/>
      <c r="N53" s="73"/>
      <c r="O53" s="81" t="s">
        <v>444</v>
      </c>
      <c r="P53" s="81">
        <v>1</v>
      </c>
      <c r="Q53" s="81" t="s">
        <v>445</v>
      </c>
      <c r="R53" s="81" t="s">
        <v>481</v>
      </c>
      <c r="S53" s="81">
        <v>193814</v>
      </c>
      <c r="T53" s="80" t="str">
        <f>REPLACE(INDEX(GroupVertices[Group],MATCH(Edges[[#This Row],[Vertex 1]],GroupVertices[Vertex],0)),1,1,"")</f>
        <v>2</v>
      </c>
      <c r="U53" s="80" t="str">
        <f>REPLACE(INDEX(GroupVertices[Group],MATCH(Edges[[#This Row],[Vertex 2]],GroupVertices[Vertex],0)),1,1,"")</f>
        <v>7</v>
      </c>
      <c r="V53" s="49">
        <v>0</v>
      </c>
      <c r="W53" s="50">
        <v>0</v>
      </c>
      <c r="X53" s="49">
        <v>0</v>
      </c>
      <c r="Y53" s="50">
        <v>0</v>
      </c>
      <c r="Z53" s="49">
        <v>0</v>
      </c>
      <c r="AA53" s="50">
        <v>0</v>
      </c>
      <c r="AB53" s="49">
        <v>11</v>
      </c>
      <c r="AC53" s="50">
        <v>100</v>
      </c>
      <c r="AD53" s="49">
        <v>11</v>
      </c>
    </row>
    <row r="54" spans="1:30" ht="15">
      <c r="A54" s="65" t="s">
        <v>361</v>
      </c>
      <c r="B54" s="65" t="s">
        <v>346</v>
      </c>
      <c r="C54" s="66" t="s">
        <v>1297</v>
      </c>
      <c r="D54" s="67">
        <v>3</v>
      </c>
      <c r="E54" s="68"/>
      <c r="F54" s="69">
        <v>70</v>
      </c>
      <c r="G54" s="66"/>
      <c r="H54" s="70"/>
      <c r="I54" s="71"/>
      <c r="J54" s="71"/>
      <c r="K54" s="35" t="s">
        <v>65</v>
      </c>
      <c r="L54" s="79">
        <v>54</v>
      </c>
      <c r="M54" s="79"/>
      <c r="N54" s="73"/>
      <c r="O54" s="81" t="s">
        <v>444</v>
      </c>
      <c r="P54" s="81">
        <v>1</v>
      </c>
      <c r="Q54" s="81" t="s">
        <v>445</v>
      </c>
      <c r="R54" s="81" t="s">
        <v>482</v>
      </c>
      <c r="S54" s="81">
        <v>194372</v>
      </c>
      <c r="T54" s="80" t="str">
        <f>REPLACE(INDEX(GroupVertices[Group],MATCH(Edges[[#This Row],[Vertex 1]],GroupVertices[Vertex],0)),1,1,"")</f>
        <v>2</v>
      </c>
      <c r="U54" s="80" t="str">
        <f>REPLACE(INDEX(GroupVertices[Group],MATCH(Edges[[#This Row],[Vertex 2]],GroupVertices[Vertex],0)),1,1,"")</f>
        <v>2</v>
      </c>
      <c r="V54" s="49">
        <v>2</v>
      </c>
      <c r="W54" s="50">
        <v>20</v>
      </c>
      <c r="X54" s="49">
        <v>1</v>
      </c>
      <c r="Y54" s="50">
        <v>10</v>
      </c>
      <c r="Z54" s="49">
        <v>0</v>
      </c>
      <c r="AA54" s="50">
        <v>0</v>
      </c>
      <c r="AB54" s="49">
        <v>7</v>
      </c>
      <c r="AC54" s="50">
        <v>70</v>
      </c>
      <c r="AD54" s="49">
        <v>10</v>
      </c>
    </row>
    <row r="55" spans="1:30" ht="15">
      <c r="A55" s="65" t="s">
        <v>361</v>
      </c>
      <c r="B55" s="65" t="s">
        <v>361</v>
      </c>
      <c r="C55" s="66" t="s">
        <v>1297</v>
      </c>
      <c r="D55" s="67">
        <v>3</v>
      </c>
      <c r="E55" s="68"/>
      <c r="F55" s="69">
        <v>70</v>
      </c>
      <c r="G55" s="66"/>
      <c r="H55" s="70"/>
      <c r="I55" s="71"/>
      <c r="J55" s="71"/>
      <c r="K55" s="35" t="s">
        <v>65</v>
      </c>
      <c r="L55" s="79">
        <v>55</v>
      </c>
      <c r="M55" s="79"/>
      <c r="N55" s="73"/>
      <c r="O55" s="81" t="s">
        <v>444</v>
      </c>
      <c r="P55" s="81">
        <v>1</v>
      </c>
      <c r="Q55" s="81" t="s">
        <v>445</v>
      </c>
      <c r="R55" s="81" t="s">
        <v>482</v>
      </c>
      <c r="S55" s="81">
        <v>194373</v>
      </c>
      <c r="T55" s="80" t="str">
        <f>REPLACE(INDEX(GroupVertices[Group],MATCH(Edges[[#This Row],[Vertex 1]],GroupVertices[Vertex],0)),1,1,"")</f>
        <v>2</v>
      </c>
      <c r="U55" s="80" t="str">
        <f>REPLACE(INDEX(GroupVertices[Group],MATCH(Edges[[#This Row],[Vertex 2]],GroupVertices[Vertex],0)),1,1,"")</f>
        <v>2</v>
      </c>
      <c r="V55" s="49">
        <v>2</v>
      </c>
      <c r="W55" s="50">
        <v>20</v>
      </c>
      <c r="X55" s="49">
        <v>1</v>
      </c>
      <c r="Y55" s="50">
        <v>10</v>
      </c>
      <c r="Z55" s="49">
        <v>0</v>
      </c>
      <c r="AA55" s="50">
        <v>0</v>
      </c>
      <c r="AB55" s="49">
        <v>7</v>
      </c>
      <c r="AC55" s="50">
        <v>70</v>
      </c>
      <c r="AD55" s="49">
        <v>10</v>
      </c>
    </row>
    <row r="56" spans="1:30" ht="15">
      <c r="A56" s="65" t="s">
        <v>362</v>
      </c>
      <c r="B56" s="65" t="s">
        <v>361</v>
      </c>
      <c r="C56" s="66" t="s">
        <v>1297</v>
      </c>
      <c r="D56" s="67">
        <v>3</v>
      </c>
      <c r="E56" s="68"/>
      <c r="F56" s="69">
        <v>70</v>
      </c>
      <c r="G56" s="66"/>
      <c r="H56" s="70"/>
      <c r="I56" s="71"/>
      <c r="J56" s="71"/>
      <c r="K56" s="35" t="s">
        <v>65</v>
      </c>
      <c r="L56" s="79">
        <v>56</v>
      </c>
      <c r="M56" s="79"/>
      <c r="N56" s="73"/>
      <c r="O56" s="81" t="s">
        <v>444</v>
      </c>
      <c r="P56" s="81">
        <v>1</v>
      </c>
      <c r="Q56" s="81" t="s">
        <v>445</v>
      </c>
      <c r="R56" s="81" t="s">
        <v>483</v>
      </c>
      <c r="S56" s="81">
        <v>194649</v>
      </c>
      <c r="T56" s="80" t="str">
        <f>REPLACE(INDEX(GroupVertices[Group],MATCH(Edges[[#This Row],[Vertex 1]],GroupVertices[Vertex],0)),1,1,"")</f>
        <v>2</v>
      </c>
      <c r="U56" s="80" t="str">
        <f>REPLACE(INDEX(GroupVertices[Group],MATCH(Edges[[#This Row],[Vertex 2]],GroupVertices[Vertex],0)),1,1,"")</f>
        <v>2</v>
      </c>
      <c r="V56" s="49">
        <v>1</v>
      </c>
      <c r="W56" s="50">
        <v>14.285714285714286</v>
      </c>
      <c r="X56" s="49">
        <v>0</v>
      </c>
      <c r="Y56" s="50">
        <v>0</v>
      </c>
      <c r="Z56" s="49">
        <v>0</v>
      </c>
      <c r="AA56" s="50">
        <v>0</v>
      </c>
      <c r="AB56" s="49">
        <v>6</v>
      </c>
      <c r="AC56" s="50">
        <v>85.71428571428571</v>
      </c>
      <c r="AD56" s="49">
        <v>7</v>
      </c>
    </row>
    <row r="57" spans="1:30" ht="15">
      <c r="A57" s="65" t="s">
        <v>341</v>
      </c>
      <c r="B57" s="65" t="s">
        <v>346</v>
      </c>
      <c r="C57" s="66" t="s">
        <v>1297</v>
      </c>
      <c r="D57" s="67">
        <v>3</v>
      </c>
      <c r="E57" s="68"/>
      <c r="F57" s="69">
        <v>70</v>
      </c>
      <c r="G57" s="66"/>
      <c r="H57" s="70"/>
      <c r="I57" s="71"/>
      <c r="J57" s="71"/>
      <c r="K57" s="35" t="s">
        <v>65</v>
      </c>
      <c r="L57" s="79">
        <v>57</v>
      </c>
      <c r="M57" s="79"/>
      <c r="N57" s="73"/>
      <c r="O57" s="81" t="s">
        <v>444</v>
      </c>
      <c r="P57" s="81">
        <v>1</v>
      </c>
      <c r="Q57" s="81" t="s">
        <v>445</v>
      </c>
      <c r="R57" s="81" t="s">
        <v>459</v>
      </c>
      <c r="S57" s="81">
        <v>192142</v>
      </c>
      <c r="T57" s="80" t="str">
        <f>REPLACE(INDEX(GroupVertices[Group],MATCH(Edges[[#This Row],[Vertex 1]],GroupVertices[Vertex],0)),1,1,"")</f>
        <v>2</v>
      </c>
      <c r="U57" s="80" t="str">
        <f>REPLACE(INDEX(GroupVertices[Group],MATCH(Edges[[#This Row],[Vertex 2]],GroupVertices[Vertex],0)),1,1,"")</f>
        <v>2</v>
      </c>
      <c r="V57" s="49">
        <v>0</v>
      </c>
      <c r="W57" s="50">
        <v>0</v>
      </c>
      <c r="X57" s="49">
        <v>1</v>
      </c>
      <c r="Y57" s="50">
        <v>20</v>
      </c>
      <c r="Z57" s="49">
        <v>0</v>
      </c>
      <c r="AA57" s="50">
        <v>0</v>
      </c>
      <c r="AB57" s="49">
        <v>4</v>
      </c>
      <c r="AC57" s="50">
        <v>80</v>
      </c>
      <c r="AD57" s="49">
        <v>5</v>
      </c>
    </row>
    <row r="58" spans="1:30" ht="15">
      <c r="A58" s="65" t="s">
        <v>346</v>
      </c>
      <c r="B58" s="65" t="s">
        <v>355</v>
      </c>
      <c r="C58" s="66" t="s">
        <v>1297</v>
      </c>
      <c r="D58" s="67">
        <v>3</v>
      </c>
      <c r="E58" s="68"/>
      <c r="F58" s="69">
        <v>70</v>
      </c>
      <c r="G58" s="66"/>
      <c r="H58" s="70"/>
      <c r="I58" s="71"/>
      <c r="J58" s="71"/>
      <c r="K58" s="35" t="s">
        <v>65</v>
      </c>
      <c r="L58" s="79">
        <v>58</v>
      </c>
      <c r="M58" s="79"/>
      <c r="N58" s="73"/>
      <c r="O58" s="81" t="s">
        <v>444</v>
      </c>
      <c r="P58" s="81">
        <v>1</v>
      </c>
      <c r="Q58" s="81" t="s">
        <v>445</v>
      </c>
      <c r="R58" s="81" t="s">
        <v>484</v>
      </c>
      <c r="S58" s="81">
        <v>194012</v>
      </c>
      <c r="T58" s="80" t="str">
        <f>REPLACE(INDEX(GroupVertices[Group],MATCH(Edges[[#This Row],[Vertex 1]],GroupVertices[Vertex],0)),1,1,"")</f>
        <v>2</v>
      </c>
      <c r="U58" s="80" t="str">
        <f>REPLACE(INDEX(GroupVertices[Group],MATCH(Edges[[#This Row],[Vertex 2]],GroupVertices[Vertex],0)),1,1,"")</f>
        <v>2</v>
      </c>
      <c r="V58" s="49">
        <v>0</v>
      </c>
      <c r="W58" s="50">
        <v>0</v>
      </c>
      <c r="X58" s="49">
        <v>0</v>
      </c>
      <c r="Y58" s="50">
        <v>0</v>
      </c>
      <c r="Z58" s="49">
        <v>0</v>
      </c>
      <c r="AA58" s="50">
        <v>0</v>
      </c>
      <c r="AB58" s="49">
        <v>5</v>
      </c>
      <c r="AC58" s="50">
        <v>100</v>
      </c>
      <c r="AD58" s="49">
        <v>5</v>
      </c>
    </row>
    <row r="59" spans="1:30" ht="15">
      <c r="A59" s="65" t="s">
        <v>346</v>
      </c>
      <c r="B59" s="65" t="s">
        <v>346</v>
      </c>
      <c r="C59" s="66" t="s">
        <v>1297</v>
      </c>
      <c r="D59" s="67">
        <v>3</v>
      </c>
      <c r="E59" s="68"/>
      <c r="F59" s="69">
        <v>70</v>
      </c>
      <c r="G59" s="66"/>
      <c r="H59" s="70"/>
      <c r="I59" s="71"/>
      <c r="J59" s="71"/>
      <c r="K59" s="35" t="s">
        <v>65</v>
      </c>
      <c r="L59" s="79">
        <v>59</v>
      </c>
      <c r="M59" s="79"/>
      <c r="N59" s="73"/>
      <c r="O59" s="81" t="s">
        <v>444</v>
      </c>
      <c r="P59" s="81">
        <v>1</v>
      </c>
      <c r="Q59" s="81" t="s">
        <v>445</v>
      </c>
      <c r="R59" s="81" t="s">
        <v>485</v>
      </c>
      <c r="S59" s="81">
        <v>194165</v>
      </c>
      <c r="T59" s="80" t="str">
        <f>REPLACE(INDEX(GroupVertices[Group],MATCH(Edges[[#This Row],[Vertex 1]],GroupVertices[Vertex],0)),1,1,"")</f>
        <v>2</v>
      </c>
      <c r="U59" s="80" t="str">
        <f>REPLACE(INDEX(GroupVertices[Group],MATCH(Edges[[#This Row],[Vertex 2]],GroupVertices[Vertex],0)),1,1,"")</f>
        <v>2</v>
      </c>
      <c r="V59" s="49">
        <v>0</v>
      </c>
      <c r="W59" s="50">
        <v>0</v>
      </c>
      <c r="X59" s="49">
        <v>0</v>
      </c>
      <c r="Y59" s="50">
        <v>0</v>
      </c>
      <c r="Z59" s="49">
        <v>0</v>
      </c>
      <c r="AA59" s="50">
        <v>0</v>
      </c>
      <c r="AB59" s="49">
        <v>5</v>
      </c>
      <c r="AC59" s="50">
        <v>100</v>
      </c>
      <c r="AD59" s="49">
        <v>5</v>
      </c>
    </row>
    <row r="60" spans="1:30" ht="15">
      <c r="A60" s="65" t="s">
        <v>346</v>
      </c>
      <c r="B60" s="65" t="s">
        <v>356</v>
      </c>
      <c r="C60" s="66" t="s">
        <v>1297</v>
      </c>
      <c r="D60" s="67">
        <v>3</v>
      </c>
      <c r="E60" s="68"/>
      <c r="F60" s="69">
        <v>70</v>
      </c>
      <c r="G60" s="66"/>
      <c r="H60" s="70"/>
      <c r="I60" s="71"/>
      <c r="J60" s="71"/>
      <c r="K60" s="35" t="s">
        <v>65</v>
      </c>
      <c r="L60" s="79">
        <v>60</v>
      </c>
      <c r="M60" s="79"/>
      <c r="N60" s="73"/>
      <c r="O60" s="81" t="s">
        <v>444</v>
      </c>
      <c r="P60" s="81">
        <v>1</v>
      </c>
      <c r="Q60" s="81" t="s">
        <v>445</v>
      </c>
      <c r="R60" s="81" t="s">
        <v>486</v>
      </c>
      <c r="S60" s="81">
        <v>195517</v>
      </c>
      <c r="T60" s="80" t="str">
        <f>REPLACE(INDEX(GroupVertices[Group],MATCH(Edges[[#This Row],[Vertex 1]],GroupVertices[Vertex],0)),1,1,"")</f>
        <v>2</v>
      </c>
      <c r="U60" s="80" t="str">
        <f>REPLACE(INDEX(GroupVertices[Group],MATCH(Edges[[#This Row],[Vertex 2]],GroupVertices[Vertex],0)),1,1,"")</f>
        <v>2</v>
      </c>
      <c r="V60" s="49">
        <v>0</v>
      </c>
      <c r="W60" s="50">
        <v>0</v>
      </c>
      <c r="X60" s="49">
        <v>0</v>
      </c>
      <c r="Y60" s="50">
        <v>0</v>
      </c>
      <c r="Z60" s="49">
        <v>0</v>
      </c>
      <c r="AA60" s="50">
        <v>0</v>
      </c>
      <c r="AB60" s="49">
        <v>4</v>
      </c>
      <c r="AC60" s="50">
        <v>100</v>
      </c>
      <c r="AD60" s="49">
        <v>4</v>
      </c>
    </row>
    <row r="61" spans="1:30" ht="15">
      <c r="A61" s="65" t="s">
        <v>363</v>
      </c>
      <c r="B61" s="65" t="s">
        <v>346</v>
      </c>
      <c r="C61" s="66" t="s">
        <v>1297</v>
      </c>
      <c r="D61" s="67">
        <v>3</v>
      </c>
      <c r="E61" s="68"/>
      <c r="F61" s="69">
        <v>70</v>
      </c>
      <c r="G61" s="66"/>
      <c r="H61" s="70"/>
      <c r="I61" s="71"/>
      <c r="J61" s="71"/>
      <c r="K61" s="35" t="s">
        <v>65</v>
      </c>
      <c r="L61" s="79">
        <v>61</v>
      </c>
      <c r="M61" s="79"/>
      <c r="N61" s="73"/>
      <c r="O61" s="81" t="s">
        <v>444</v>
      </c>
      <c r="P61" s="81">
        <v>1</v>
      </c>
      <c r="Q61" s="81" t="s">
        <v>445</v>
      </c>
      <c r="R61" s="81" t="s">
        <v>487</v>
      </c>
      <c r="S61" s="81">
        <v>195920</v>
      </c>
      <c r="T61" s="80" t="str">
        <f>REPLACE(INDEX(GroupVertices[Group],MATCH(Edges[[#This Row],[Vertex 1]],GroupVertices[Vertex],0)),1,1,"")</f>
        <v>5</v>
      </c>
      <c r="U61" s="80" t="str">
        <f>REPLACE(INDEX(GroupVertices[Group],MATCH(Edges[[#This Row],[Vertex 2]],GroupVertices[Vertex],0)),1,1,"")</f>
        <v>2</v>
      </c>
      <c r="V61" s="49">
        <v>0</v>
      </c>
      <c r="W61" s="50">
        <v>0</v>
      </c>
      <c r="X61" s="49">
        <v>0</v>
      </c>
      <c r="Y61" s="50">
        <v>0</v>
      </c>
      <c r="Z61" s="49">
        <v>0</v>
      </c>
      <c r="AA61" s="50">
        <v>0</v>
      </c>
      <c r="AB61" s="49">
        <v>18</v>
      </c>
      <c r="AC61" s="50">
        <v>100</v>
      </c>
      <c r="AD61" s="49">
        <v>18</v>
      </c>
    </row>
    <row r="62" spans="1:30" ht="15">
      <c r="A62" s="65" t="s">
        <v>364</v>
      </c>
      <c r="B62" s="65" t="s">
        <v>413</v>
      </c>
      <c r="C62" s="66" t="s">
        <v>1297</v>
      </c>
      <c r="D62" s="67">
        <v>3</v>
      </c>
      <c r="E62" s="68"/>
      <c r="F62" s="69">
        <v>70</v>
      </c>
      <c r="G62" s="66"/>
      <c r="H62" s="70"/>
      <c r="I62" s="71"/>
      <c r="J62" s="71"/>
      <c r="K62" s="35" t="s">
        <v>65</v>
      </c>
      <c r="L62" s="79">
        <v>62</v>
      </c>
      <c r="M62" s="79"/>
      <c r="N62" s="73"/>
      <c r="O62" s="81" t="s">
        <v>444</v>
      </c>
      <c r="P62" s="81">
        <v>1</v>
      </c>
      <c r="Q62" s="81" t="s">
        <v>445</v>
      </c>
      <c r="R62" s="81" t="s">
        <v>488</v>
      </c>
      <c r="S62" s="81">
        <v>129229</v>
      </c>
      <c r="T62" s="80" t="str">
        <f>REPLACE(INDEX(GroupVertices[Group],MATCH(Edges[[#This Row],[Vertex 1]],GroupVertices[Vertex],0)),1,1,"")</f>
        <v>7</v>
      </c>
      <c r="U62" s="80" t="str">
        <f>REPLACE(INDEX(GroupVertices[Group],MATCH(Edges[[#This Row],[Vertex 2]],GroupVertices[Vertex],0)),1,1,"")</f>
        <v>7</v>
      </c>
      <c r="V62" s="49">
        <v>0</v>
      </c>
      <c r="W62" s="50">
        <v>0</v>
      </c>
      <c r="X62" s="49">
        <v>0</v>
      </c>
      <c r="Y62" s="50">
        <v>0</v>
      </c>
      <c r="Z62" s="49">
        <v>0</v>
      </c>
      <c r="AA62" s="50">
        <v>0</v>
      </c>
      <c r="AB62" s="49">
        <v>1</v>
      </c>
      <c r="AC62" s="50">
        <v>100</v>
      </c>
      <c r="AD62" s="49">
        <v>1</v>
      </c>
    </row>
    <row r="63" spans="1:30" ht="15">
      <c r="A63" s="65" t="s">
        <v>365</v>
      </c>
      <c r="B63" s="65" t="s">
        <v>364</v>
      </c>
      <c r="C63" s="66" t="s">
        <v>1297</v>
      </c>
      <c r="D63" s="67">
        <v>3</v>
      </c>
      <c r="E63" s="68"/>
      <c r="F63" s="69">
        <v>70</v>
      </c>
      <c r="G63" s="66"/>
      <c r="H63" s="70"/>
      <c r="I63" s="71"/>
      <c r="J63" s="71"/>
      <c r="K63" s="35" t="s">
        <v>65</v>
      </c>
      <c r="L63" s="79">
        <v>63</v>
      </c>
      <c r="M63" s="79"/>
      <c r="N63" s="73"/>
      <c r="O63" s="81" t="s">
        <v>444</v>
      </c>
      <c r="P63" s="81">
        <v>1</v>
      </c>
      <c r="Q63" s="81" t="s">
        <v>445</v>
      </c>
      <c r="R63" s="81" t="s">
        <v>489</v>
      </c>
      <c r="S63" s="81">
        <v>199276</v>
      </c>
      <c r="T63" s="80" t="str">
        <f>REPLACE(INDEX(GroupVertices[Group],MATCH(Edges[[#This Row],[Vertex 1]],GroupVertices[Vertex],0)),1,1,"")</f>
        <v>7</v>
      </c>
      <c r="U63" s="80" t="str">
        <f>REPLACE(INDEX(GroupVertices[Group],MATCH(Edges[[#This Row],[Vertex 2]],GroupVertices[Vertex],0)),1,1,"")</f>
        <v>7</v>
      </c>
      <c r="V63" s="49">
        <v>0</v>
      </c>
      <c r="W63" s="50">
        <v>0</v>
      </c>
      <c r="X63" s="49">
        <v>0</v>
      </c>
      <c r="Y63" s="50">
        <v>0</v>
      </c>
      <c r="Z63" s="49">
        <v>0</v>
      </c>
      <c r="AA63" s="50">
        <v>0</v>
      </c>
      <c r="AB63" s="49">
        <v>5</v>
      </c>
      <c r="AC63" s="50">
        <v>100</v>
      </c>
      <c r="AD63" s="49">
        <v>5</v>
      </c>
    </row>
    <row r="64" spans="1:30" ht="15">
      <c r="A64" s="65" t="s">
        <v>366</v>
      </c>
      <c r="B64" s="65" t="s">
        <v>365</v>
      </c>
      <c r="C64" s="66" t="s">
        <v>1297</v>
      </c>
      <c r="D64" s="67">
        <v>3</v>
      </c>
      <c r="E64" s="68"/>
      <c r="F64" s="69">
        <v>70</v>
      </c>
      <c r="G64" s="66"/>
      <c r="H64" s="70"/>
      <c r="I64" s="71"/>
      <c r="J64" s="71"/>
      <c r="K64" s="35" t="s">
        <v>65</v>
      </c>
      <c r="L64" s="79">
        <v>64</v>
      </c>
      <c r="M64" s="79"/>
      <c r="N64" s="73"/>
      <c r="O64" s="81" t="s">
        <v>444</v>
      </c>
      <c r="P64" s="81">
        <v>1</v>
      </c>
      <c r="Q64" s="81" t="s">
        <v>445</v>
      </c>
      <c r="R64" s="81" t="s">
        <v>490</v>
      </c>
      <c r="S64" s="81">
        <v>199849</v>
      </c>
      <c r="T64" s="80" t="str">
        <f>REPLACE(INDEX(GroupVertices[Group],MATCH(Edges[[#This Row],[Vertex 1]],GroupVertices[Vertex],0)),1,1,"")</f>
        <v>1</v>
      </c>
      <c r="U64" s="80" t="str">
        <f>REPLACE(INDEX(GroupVertices[Group],MATCH(Edges[[#This Row],[Vertex 2]],GroupVertices[Vertex],0)),1,1,"")</f>
        <v>7</v>
      </c>
      <c r="V64" s="49">
        <v>0</v>
      </c>
      <c r="W64" s="50">
        <v>0</v>
      </c>
      <c r="X64" s="49">
        <v>0</v>
      </c>
      <c r="Y64" s="50">
        <v>0</v>
      </c>
      <c r="Z64" s="49">
        <v>0</v>
      </c>
      <c r="AA64" s="50">
        <v>0</v>
      </c>
      <c r="AB64" s="49">
        <v>4</v>
      </c>
      <c r="AC64" s="50">
        <v>100</v>
      </c>
      <c r="AD64" s="49">
        <v>4</v>
      </c>
    </row>
    <row r="65" spans="1:30" ht="15">
      <c r="A65" s="65" t="s">
        <v>367</v>
      </c>
      <c r="B65" s="65" t="s">
        <v>366</v>
      </c>
      <c r="C65" s="66" t="s">
        <v>1297</v>
      </c>
      <c r="D65" s="67">
        <v>3</v>
      </c>
      <c r="E65" s="68"/>
      <c r="F65" s="69">
        <v>70</v>
      </c>
      <c r="G65" s="66"/>
      <c r="H65" s="70"/>
      <c r="I65" s="71"/>
      <c r="J65" s="71"/>
      <c r="K65" s="35" t="s">
        <v>65</v>
      </c>
      <c r="L65" s="79">
        <v>65</v>
      </c>
      <c r="M65" s="79"/>
      <c r="N65" s="73"/>
      <c r="O65" s="81" t="s">
        <v>444</v>
      </c>
      <c r="P65" s="81">
        <v>1</v>
      </c>
      <c r="Q65" s="81" t="s">
        <v>445</v>
      </c>
      <c r="R65" s="81" t="s">
        <v>491</v>
      </c>
      <c r="S65" s="81">
        <v>200517</v>
      </c>
      <c r="T65" s="80" t="str">
        <f>REPLACE(INDEX(GroupVertices[Group],MATCH(Edges[[#This Row],[Vertex 1]],GroupVertices[Vertex],0)),1,1,"")</f>
        <v>1</v>
      </c>
      <c r="U65" s="80" t="str">
        <f>REPLACE(INDEX(GroupVertices[Group],MATCH(Edges[[#This Row],[Vertex 2]],GroupVertices[Vertex],0)),1,1,"")</f>
        <v>1</v>
      </c>
      <c r="V65" s="49">
        <v>1</v>
      </c>
      <c r="W65" s="50">
        <v>11.11111111111111</v>
      </c>
      <c r="X65" s="49">
        <v>0</v>
      </c>
      <c r="Y65" s="50">
        <v>0</v>
      </c>
      <c r="Z65" s="49">
        <v>0</v>
      </c>
      <c r="AA65" s="50">
        <v>0</v>
      </c>
      <c r="AB65" s="49">
        <v>8</v>
      </c>
      <c r="AC65" s="50">
        <v>88.88888888888889</v>
      </c>
      <c r="AD65" s="49">
        <v>9</v>
      </c>
    </row>
    <row r="66" spans="1:30" ht="15">
      <c r="A66" s="65" t="s">
        <v>331</v>
      </c>
      <c r="B66" s="65" t="s">
        <v>367</v>
      </c>
      <c r="C66" s="66" t="s">
        <v>1297</v>
      </c>
      <c r="D66" s="67">
        <v>3</v>
      </c>
      <c r="E66" s="68"/>
      <c r="F66" s="69">
        <v>70</v>
      </c>
      <c r="G66" s="66"/>
      <c r="H66" s="70"/>
      <c r="I66" s="71"/>
      <c r="J66" s="71"/>
      <c r="K66" s="35" t="s">
        <v>65</v>
      </c>
      <c r="L66" s="79">
        <v>66</v>
      </c>
      <c r="M66" s="79"/>
      <c r="N66" s="73"/>
      <c r="O66" s="81" t="s">
        <v>444</v>
      </c>
      <c r="P66" s="81">
        <v>1</v>
      </c>
      <c r="Q66" s="81" t="s">
        <v>445</v>
      </c>
      <c r="R66" s="81" t="s">
        <v>492</v>
      </c>
      <c r="S66" s="81">
        <v>200829</v>
      </c>
      <c r="T66" s="80" t="str">
        <f>REPLACE(INDEX(GroupVertices[Group],MATCH(Edges[[#This Row],[Vertex 1]],GroupVertices[Vertex],0)),1,1,"")</f>
        <v>1</v>
      </c>
      <c r="U66" s="80" t="str">
        <f>REPLACE(INDEX(GroupVertices[Group],MATCH(Edges[[#This Row],[Vertex 2]],GroupVertices[Vertex],0)),1,1,"")</f>
        <v>1</v>
      </c>
      <c r="V66" s="49">
        <v>1</v>
      </c>
      <c r="W66" s="50">
        <v>6.666666666666667</v>
      </c>
      <c r="X66" s="49">
        <v>0</v>
      </c>
      <c r="Y66" s="50">
        <v>0</v>
      </c>
      <c r="Z66" s="49">
        <v>0</v>
      </c>
      <c r="AA66" s="50">
        <v>0</v>
      </c>
      <c r="AB66" s="49">
        <v>14</v>
      </c>
      <c r="AC66" s="50">
        <v>93.33333333333333</v>
      </c>
      <c r="AD66" s="49">
        <v>15</v>
      </c>
    </row>
    <row r="67" spans="1:30" ht="15">
      <c r="A67" s="65" t="s">
        <v>368</v>
      </c>
      <c r="B67" s="65" t="s">
        <v>366</v>
      </c>
      <c r="C67" s="66" t="s">
        <v>1297</v>
      </c>
      <c r="D67" s="67">
        <v>3</v>
      </c>
      <c r="E67" s="68"/>
      <c r="F67" s="69">
        <v>70</v>
      </c>
      <c r="G67" s="66"/>
      <c r="H67" s="70"/>
      <c r="I67" s="71"/>
      <c r="J67" s="71"/>
      <c r="K67" s="35" t="s">
        <v>65</v>
      </c>
      <c r="L67" s="79">
        <v>67</v>
      </c>
      <c r="M67" s="79"/>
      <c r="N67" s="73"/>
      <c r="O67" s="81" t="s">
        <v>444</v>
      </c>
      <c r="P67" s="81">
        <v>1</v>
      </c>
      <c r="Q67" s="81" t="s">
        <v>445</v>
      </c>
      <c r="R67" s="81" t="s">
        <v>493</v>
      </c>
      <c r="S67" s="81">
        <v>201179</v>
      </c>
      <c r="T67" s="80" t="str">
        <f>REPLACE(INDEX(GroupVertices[Group],MATCH(Edges[[#This Row],[Vertex 1]],GroupVertices[Vertex],0)),1,1,"")</f>
        <v>1</v>
      </c>
      <c r="U67" s="80" t="str">
        <f>REPLACE(INDEX(GroupVertices[Group],MATCH(Edges[[#This Row],[Vertex 2]],GroupVertices[Vertex],0)),1,1,"")</f>
        <v>1</v>
      </c>
      <c r="V67" s="49">
        <v>1</v>
      </c>
      <c r="W67" s="50">
        <v>14.285714285714286</v>
      </c>
      <c r="X67" s="49">
        <v>0</v>
      </c>
      <c r="Y67" s="50">
        <v>0</v>
      </c>
      <c r="Z67" s="49">
        <v>0</v>
      </c>
      <c r="AA67" s="50">
        <v>0</v>
      </c>
      <c r="AB67" s="49">
        <v>6</v>
      </c>
      <c r="AC67" s="50">
        <v>85.71428571428571</v>
      </c>
      <c r="AD67" s="49">
        <v>7</v>
      </c>
    </row>
    <row r="68" spans="1:30" ht="15">
      <c r="A68" s="65" t="s">
        <v>341</v>
      </c>
      <c r="B68" s="65" t="s">
        <v>368</v>
      </c>
      <c r="C68" s="66" t="s">
        <v>1297</v>
      </c>
      <c r="D68" s="67">
        <v>3</v>
      </c>
      <c r="E68" s="68"/>
      <c r="F68" s="69">
        <v>70</v>
      </c>
      <c r="G68" s="66"/>
      <c r="H68" s="70"/>
      <c r="I68" s="71"/>
      <c r="J68" s="71"/>
      <c r="K68" s="35" t="s">
        <v>65</v>
      </c>
      <c r="L68" s="79">
        <v>68</v>
      </c>
      <c r="M68" s="79"/>
      <c r="N68" s="73"/>
      <c r="O68" s="81" t="s">
        <v>444</v>
      </c>
      <c r="P68" s="81">
        <v>1</v>
      </c>
      <c r="Q68" s="81" t="s">
        <v>445</v>
      </c>
      <c r="R68" s="81" t="s">
        <v>480</v>
      </c>
      <c r="S68" s="81">
        <v>201654</v>
      </c>
      <c r="T68" s="80" t="str">
        <f>REPLACE(INDEX(GroupVertices[Group],MATCH(Edges[[#This Row],[Vertex 1]],GroupVertices[Vertex],0)),1,1,"")</f>
        <v>2</v>
      </c>
      <c r="U68" s="80" t="str">
        <f>REPLACE(INDEX(GroupVertices[Group],MATCH(Edges[[#This Row],[Vertex 2]],GroupVertices[Vertex],0)),1,1,"")</f>
        <v>1</v>
      </c>
      <c r="V68" s="49">
        <v>0</v>
      </c>
      <c r="W68" s="50">
        <v>0</v>
      </c>
      <c r="X68" s="49">
        <v>1</v>
      </c>
      <c r="Y68" s="50">
        <v>33.333333333333336</v>
      </c>
      <c r="Z68" s="49">
        <v>0</v>
      </c>
      <c r="AA68" s="50">
        <v>0</v>
      </c>
      <c r="AB68" s="49">
        <v>2</v>
      </c>
      <c r="AC68" s="50">
        <v>66.66666666666667</v>
      </c>
      <c r="AD68" s="49">
        <v>3</v>
      </c>
    </row>
    <row r="69" spans="1:30" ht="15">
      <c r="A69" s="65" t="s">
        <v>369</v>
      </c>
      <c r="B69" s="65" t="s">
        <v>348</v>
      </c>
      <c r="C69" s="66" t="s">
        <v>1297</v>
      </c>
      <c r="D69" s="67">
        <v>3</v>
      </c>
      <c r="E69" s="68"/>
      <c r="F69" s="69">
        <v>70</v>
      </c>
      <c r="G69" s="66"/>
      <c r="H69" s="70"/>
      <c r="I69" s="71"/>
      <c r="J69" s="71"/>
      <c r="K69" s="35" t="s">
        <v>65</v>
      </c>
      <c r="L69" s="79">
        <v>69</v>
      </c>
      <c r="M69" s="79"/>
      <c r="N69" s="73"/>
      <c r="O69" s="81" t="s">
        <v>444</v>
      </c>
      <c r="P69" s="81">
        <v>1</v>
      </c>
      <c r="Q69" s="81" t="s">
        <v>445</v>
      </c>
      <c r="R69" s="81" t="s">
        <v>494</v>
      </c>
      <c r="S69" s="81">
        <v>208754</v>
      </c>
      <c r="T69" s="80" t="str">
        <f>REPLACE(INDEX(GroupVertices[Group],MATCH(Edges[[#This Row],[Vertex 1]],GroupVertices[Vertex],0)),1,1,"")</f>
        <v>3</v>
      </c>
      <c r="U69" s="80" t="str">
        <f>REPLACE(INDEX(GroupVertices[Group],MATCH(Edges[[#This Row],[Vertex 2]],GroupVertices[Vertex],0)),1,1,"")</f>
        <v>3</v>
      </c>
      <c r="V69" s="49">
        <v>0</v>
      </c>
      <c r="W69" s="50">
        <v>0</v>
      </c>
      <c r="X69" s="49">
        <v>0</v>
      </c>
      <c r="Y69" s="50">
        <v>0</v>
      </c>
      <c r="Z69" s="49">
        <v>0</v>
      </c>
      <c r="AA69" s="50">
        <v>0</v>
      </c>
      <c r="AB69" s="49">
        <v>7</v>
      </c>
      <c r="AC69" s="50">
        <v>100</v>
      </c>
      <c r="AD69" s="49">
        <v>7</v>
      </c>
    </row>
    <row r="70" spans="1:30" ht="15">
      <c r="A70" s="65" t="s">
        <v>369</v>
      </c>
      <c r="B70" s="65" t="s">
        <v>369</v>
      </c>
      <c r="C70" s="66" t="s">
        <v>1297</v>
      </c>
      <c r="D70" s="67">
        <v>3</v>
      </c>
      <c r="E70" s="68"/>
      <c r="F70" s="69">
        <v>70</v>
      </c>
      <c r="G70" s="66"/>
      <c r="H70" s="70"/>
      <c r="I70" s="71"/>
      <c r="J70" s="71"/>
      <c r="K70" s="35" t="s">
        <v>65</v>
      </c>
      <c r="L70" s="79">
        <v>70</v>
      </c>
      <c r="M70" s="79"/>
      <c r="N70" s="73"/>
      <c r="O70" s="81" t="s">
        <v>444</v>
      </c>
      <c r="P70" s="81">
        <v>1</v>
      </c>
      <c r="Q70" s="81" t="s">
        <v>445</v>
      </c>
      <c r="R70" s="81" t="s">
        <v>476</v>
      </c>
      <c r="S70" s="81">
        <v>208941</v>
      </c>
      <c r="T70" s="80" t="str">
        <f>REPLACE(INDEX(GroupVertices[Group],MATCH(Edges[[#This Row],[Vertex 1]],GroupVertices[Vertex],0)),1,1,"")</f>
        <v>3</v>
      </c>
      <c r="U70" s="80" t="str">
        <f>REPLACE(INDEX(GroupVertices[Group],MATCH(Edges[[#This Row],[Vertex 2]],GroupVertices[Vertex],0)),1,1,"")</f>
        <v>3</v>
      </c>
      <c r="V70" s="49">
        <v>1</v>
      </c>
      <c r="W70" s="50">
        <v>50</v>
      </c>
      <c r="X70" s="49">
        <v>0</v>
      </c>
      <c r="Y70" s="50">
        <v>0</v>
      </c>
      <c r="Z70" s="49">
        <v>0</v>
      </c>
      <c r="AA70" s="50">
        <v>0</v>
      </c>
      <c r="AB70" s="49">
        <v>1</v>
      </c>
      <c r="AC70" s="50">
        <v>50</v>
      </c>
      <c r="AD70" s="49">
        <v>2</v>
      </c>
    </row>
    <row r="71" spans="1:30" ht="15">
      <c r="A71" s="65" t="s">
        <v>370</v>
      </c>
      <c r="B71" s="65" t="s">
        <v>369</v>
      </c>
      <c r="C71" s="66" t="s">
        <v>1297</v>
      </c>
      <c r="D71" s="67">
        <v>3</v>
      </c>
      <c r="E71" s="68"/>
      <c r="F71" s="69">
        <v>70</v>
      </c>
      <c r="G71" s="66"/>
      <c r="H71" s="70"/>
      <c r="I71" s="71"/>
      <c r="J71" s="71"/>
      <c r="K71" s="35" t="s">
        <v>65</v>
      </c>
      <c r="L71" s="79">
        <v>71</v>
      </c>
      <c r="M71" s="79"/>
      <c r="N71" s="73"/>
      <c r="O71" s="81" t="s">
        <v>444</v>
      </c>
      <c r="P71" s="81">
        <v>1</v>
      </c>
      <c r="Q71" s="81" t="s">
        <v>445</v>
      </c>
      <c r="R71" s="81" t="s">
        <v>493</v>
      </c>
      <c r="S71" s="81">
        <v>209147</v>
      </c>
      <c r="T71" s="80" t="str">
        <f>REPLACE(INDEX(GroupVertices[Group],MATCH(Edges[[#This Row],[Vertex 1]],GroupVertices[Vertex],0)),1,1,"")</f>
        <v>3</v>
      </c>
      <c r="U71" s="80" t="str">
        <f>REPLACE(INDEX(GroupVertices[Group],MATCH(Edges[[#This Row],[Vertex 2]],GroupVertices[Vertex],0)),1,1,"")</f>
        <v>3</v>
      </c>
      <c r="V71" s="49">
        <v>1</v>
      </c>
      <c r="W71" s="50">
        <v>14.285714285714286</v>
      </c>
      <c r="X71" s="49">
        <v>0</v>
      </c>
      <c r="Y71" s="50">
        <v>0</v>
      </c>
      <c r="Z71" s="49">
        <v>0</v>
      </c>
      <c r="AA71" s="50">
        <v>0</v>
      </c>
      <c r="AB71" s="49">
        <v>6</v>
      </c>
      <c r="AC71" s="50">
        <v>85.71428571428571</v>
      </c>
      <c r="AD71" s="49">
        <v>7</v>
      </c>
    </row>
    <row r="72" spans="1:30" ht="15">
      <c r="A72" s="65" t="s">
        <v>370</v>
      </c>
      <c r="B72" s="65" t="s">
        <v>370</v>
      </c>
      <c r="C72" s="66" t="s">
        <v>1297</v>
      </c>
      <c r="D72" s="67">
        <v>3</v>
      </c>
      <c r="E72" s="68"/>
      <c r="F72" s="69">
        <v>70</v>
      </c>
      <c r="G72" s="66"/>
      <c r="H72" s="70"/>
      <c r="I72" s="71"/>
      <c r="J72" s="71"/>
      <c r="K72" s="35" t="s">
        <v>65</v>
      </c>
      <c r="L72" s="79">
        <v>72</v>
      </c>
      <c r="M72" s="79"/>
      <c r="N72" s="73"/>
      <c r="O72" s="81" t="s">
        <v>444</v>
      </c>
      <c r="P72" s="81">
        <v>1</v>
      </c>
      <c r="Q72" s="81" t="s">
        <v>445</v>
      </c>
      <c r="R72" s="81" t="s">
        <v>479</v>
      </c>
      <c r="S72" s="81">
        <v>209550</v>
      </c>
      <c r="T72" s="80" t="str">
        <f>REPLACE(INDEX(GroupVertices[Group],MATCH(Edges[[#This Row],[Vertex 1]],GroupVertices[Vertex],0)),1,1,"")</f>
        <v>3</v>
      </c>
      <c r="U72" s="80" t="str">
        <f>REPLACE(INDEX(GroupVertices[Group],MATCH(Edges[[#This Row],[Vertex 2]],GroupVertices[Vertex],0)),1,1,"")</f>
        <v>3</v>
      </c>
      <c r="V72" s="49">
        <v>1</v>
      </c>
      <c r="W72" s="50">
        <v>11.11111111111111</v>
      </c>
      <c r="X72" s="49">
        <v>1</v>
      </c>
      <c r="Y72" s="50">
        <v>11.11111111111111</v>
      </c>
      <c r="Z72" s="49">
        <v>0</v>
      </c>
      <c r="AA72" s="50">
        <v>0</v>
      </c>
      <c r="AB72" s="49">
        <v>7</v>
      </c>
      <c r="AC72" s="50">
        <v>77.77777777777777</v>
      </c>
      <c r="AD72" s="49">
        <v>9</v>
      </c>
    </row>
    <row r="73" spans="1:30" ht="15">
      <c r="A73" s="65" t="s">
        <v>371</v>
      </c>
      <c r="B73" s="65" t="s">
        <v>370</v>
      </c>
      <c r="C73" s="66" t="s">
        <v>1297</v>
      </c>
      <c r="D73" s="67">
        <v>3</v>
      </c>
      <c r="E73" s="68"/>
      <c r="F73" s="69">
        <v>70</v>
      </c>
      <c r="G73" s="66"/>
      <c r="H73" s="70"/>
      <c r="I73" s="71"/>
      <c r="J73" s="71"/>
      <c r="K73" s="35" t="s">
        <v>65</v>
      </c>
      <c r="L73" s="79">
        <v>73</v>
      </c>
      <c r="M73" s="79"/>
      <c r="N73" s="73"/>
      <c r="O73" s="81" t="s">
        <v>444</v>
      </c>
      <c r="P73" s="81">
        <v>1</v>
      </c>
      <c r="Q73" s="81" t="s">
        <v>445</v>
      </c>
      <c r="R73" s="81" t="s">
        <v>476</v>
      </c>
      <c r="S73" s="81">
        <v>209923</v>
      </c>
      <c r="T73" s="80" t="str">
        <f>REPLACE(INDEX(GroupVertices[Group],MATCH(Edges[[#This Row],[Vertex 1]],GroupVertices[Vertex],0)),1,1,"")</f>
        <v>3</v>
      </c>
      <c r="U73" s="80" t="str">
        <f>REPLACE(INDEX(GroupVertices[Group],MATCH(Edges[[#This Row],[Vertex 2]],GroupVertices[Vertex],0)),1,1,"")</f>
        <v>3</v>
      </c>
      <c r="V73" s="49">
        <v>1</v>
      </c>
      <c r="W73" s="50">
        <v>50</v>
      </c>
      <c r="X73" s="49">
        <v>0</v>
      </c>
      <c r="Y73" s="50">
        <v>0</v>
      </c>
      <c r="Z73" s="49">
        <v>0</v>
      </c>
      <c r="AA73" s="50">
        <v>0</v>
      </c>
      <c r="AB73" s="49">
        <v>1</v>
      </c>
      <c r="AC73" s="50">
        <v>50</v>
      </c>
      <c r="AD73" s="49">
        <v>2</v>
      </c>
    </row>
    <row r="74" spans="1:30" ht="15">
      <c r="A74" s="65" t="s">
        <v>355</v>
      </c>
      <c r="B74" s="65" t="s">
        <v>371</v>
      </c>
      <c r="C74" s="66" t="s">
        <v>1297</v>
      </c>
      <c r="D74" s="67">
        <v>3</v>
      </c>
      <c r="E74" s="68"/>
      <c r="F74" s="69">
        <v>70</v>
      </c>
      <c r="G74" s="66"/>
      <c r="H74" s="70"/>
      <c r="I74" s="71"/>
      <c r="J74" s="71"/>
      <c r="K74" s="35" t="s">
        <v>65</v>
      </c>
      <c r="L74" s="79">
        <v>74</v>
      </c>
      <c r="M74" s="79"/>
      <c r="N74" s="73"/>
      <c r="O74" s="81" t="s">
        <v>444</v>
      </c>
      <c r="P74" s="81">
        <v>1</v>
      </c>
      <c r="Q74" s="81" t="s">
        <v>445</v>
      </c>
      <c r="R74" s="81" t="s">
        <v>495</v>
      </c>
      <c r="S74" s="81">
        <v>208018</v>
      </c>
      <c r="T74" s="80" t="str">
        <f>REPLACE(INDEX(GroupVertices[Group],MATCH(Edges[[#This Row],[Vertex 1]],GroupVertices[Vertex],0)),1,1,"")</f>
        <v>2</v>
      </c>
      <c r="U74" s="80" t="str">
        <f>REPLACE(INDEX(GroupVertices[Group],MATCH(Edges[[#This Row],[Vertex 2]],GroupVertices[Vertex],0)),1,1,"")</f>
        <v>3</v>
      </c>
      <c r="V74" s="49">
        <v>0</v>
      </c>
      <c r="W74" s="50">
        <v>0</v>
      </c>
      <c r="X74" s="49">
        <v>0</v>
      </c>
      <c r="Y74" s="50">
        <v>0</v>
      </c>
      <c r="Z74" s="49">
        <v>0</v>
      </c>
      <c r="AA74" s="50">
        <v>0</v>
      </c>
      <c r="AB74" s="49">
        <v>11</v>
      </c>
      <c r="AC74" s="50">
        <v>100</v>
      </c>
      <c r="AD74" s="49">
        <v>11</v>
      </c>
    </row>
    <row r="75" spans="1:30" ht="15">
      <c r="A75" s="65" t="s">
        <v>372</v>
      </c>
      <c r="B75" s="65" t="s">
        <v>355</v>
      </c>
      <c r="C75" s="66" t="s">
        <v>1297</v>
      </c>
      <c r="D75" s="67">
        <v>3</v>
      </c>
      <c r="E75" s="68"/>
      <c r="F75" s="69">
        <v>70</v>
      </c>
      <c r="G75" s="66"/>
      <c r="H75" s="70"/>
      <c r="I75" s="71"/>
      <c r="J75" s="71"/>
      <c r="K75" s="35" t="s">
        <v>65</v>
      </c>
      <c r="L75" s="79">
        <v>75</v>
      </c>
      <c r="M75" s="79"/>
      <c r="N75" s="73"/>
      <c r="O75" s="81" t="s">
        <v>444</v>
      </c>
      <c r="P75" s="81">
        <v>1</v>
      </c>
      <c r="Q75" s="81" t="s">
        <v>445</v>
      </c>
      <c r="R75" s="81" t="s">
        <v>496</v>
      </c>
      <c r="S75" s="81">
        <v>208618</v>
      </c>
      <c r="T75" s="80" t="str">
        <f>REPLACE(INDEX(GroupVertices[Group],MATCH(Edges[[#This Row],[Vertex 1]],GroupVertices[Vertex],0)),1,1,"")</f>
        <v>2</v>
      </c>
      <c r="U75" s="80" t="str">
        <f>REPLACE(INDEX(GroupVertices[Group],MATCH(Edges[[#This Row],[Vertex 2]],GroupVertices[Vertex],0)),1,1,"")</f>
        <v>2</v>
      </c>
      <c r="V75" s="49">
        <v>0</v>
      </c>
      <c r="W75" s="50">
        <v>0</v>
      </c>
      <c r="X75" s="49">
        <v>0</v>
      </c>
      <c r="Y75" s="50">
        <v>0</v>
      </c>
      <c r="Z75" s="49">
        <v>0</v>
      </c>
      <c r="AA75" s="50">
        <v>0</v>
      </c>
      <c r="AB75" s="49">
        <v>11</v>
      </c>
      <c r="AC75" s="50">
        <v>100</v>
      </c>
      <c r="AD75" s="49">
        <v>11</v>
      </c>
    </row>
    <row r="76" spans="1:30" ht="15">
      <c r="A76" s="65" t="s">
        <v>354</v>
      </c>
      <c r="B76" s="65" t="s">
        <v>372</v>
      </c>
      <c r="C76" s="66" t="s">
        <v>1297</v>
      </c>
      <c r="D76" s="67">
        <v>3</v>
      </c>
      <c r="E76" s="68"/>
      <c r="F76" s="69">
        <v>70</v>
      </c>
      <c r="G76" s="66"/>
      <c r="H76" s="70"/>
      <c r="I76" s="71"/>
      <c r="J76" s="71"/>
      <c r="K76" s="35" t="s">
        <v>65</v>
      </c>
      <c r="L76" s="79">
        <v>76</v>
      </c>
      <c r="M76" s="79"/>
      <c r="N76" s="73"/>
      <c r="O76" s="81" t="s">
        <v>444</v>
      </c>
      <c r="P76" s="81">
        <v>1</v>
      </c>
      <c r="Q76" s="81" t="s">
        <v>445</v>
      </c>
      <c r="R76" s="81" t="s">
        <v>497</v>
      </c>
      <c r="S76" s="81">
        <v>208018</v>
      </c>
      <c r="T76" s="80" t="str">
        <f>REPLACE(INDEX(GroupVertices[Group],MATCH(Edges[[#This Row],[Vertex 1]],GroupVertices[Vertex],0)),1,1,"")</f>
        <v>2</v>
      </c>
      <c r="U76" s="80" t="str">
        <f>REPLACE(INDEX(GroupVertices[Group],MATCH(Edges[[#This Row],[Vertex 2]],GroupVertices[Vertex],0)),1,1,"")</f>
        <v>2</v>
      </c>
      <c r="V76" s="49">
        <v>1</v>
      </c>
      <c r="W76" s="50">
        <v>5</v>
      </c>
      <c r="X76" s="49">
        <v>0</v>
      </c>
      <c r="Y76" s="50">
        <v>0</v>
      </c>
      <c r="Z76" s="49">
        <v>0</v>
      </c>
      <c r="AA76" s="50">
        <v>0</v>
      </c>
      <c r="AB76" s="49">
        <v>19</v>
      </c>
      <c r="AC76" s="50">
        <v>95</v>
      </c>
      <c r="AD76" s="49">
        <v>20</v>
      </c>
    </row>
    <row r="77" spans="1:30" ht="15">
      <c r="A77" s="65" t="s">
        <v>373</v>
      </c>
      <c r="B77" s="65" t="s">
        <v>354</v>
      </c>
      <c r="C77" s="66" t="s">
        <v>1297</v>
      </c>
      <c r="D77" s="67">
        <v>3</v>
      </c>
      <c r="E77" s="68"/>
      <c r="F77" s="69">
        <v>70</v>
      </c>
      <c r="G77" s="66"/>
      <c r="H77" s="70"/>
      <c r="I77" s="71"/>
      <c r="J77" s="71"/>
      <c r="K77" s="35" t="s">
        <v>66</v>
      </c>
      <c r="L77" s="79">
        <v>77</v>
      </c>
      <c r="M77" s="79"/>
      <c r="N77" s="73"/>
      <c r="O77" s="81" t="s">
        <v>444</v>
      </c>
      <c r="P77" s="81">
        <v>1</v>
      </c>
      <c r="Q77" s="81" t="s">
        <v>445</v>
      </c>
      <c r="R77" s="81" t="s">
        <v>479</v>
      </c>
      <c r="S77" s="81">
        <v>208167</v>
      </c>
      <c r="T77" s="80" t="str">
        <f>REPLACE(INDEX(GroupVertices[Group],MATCH(Edges[[#This Row],[Vertex 1]],GroupVertices[Vertex],0)),1,1,"")</f>
        <v>2</v>
      </c>
      <c r="U77" s="80" t="str">
        <f>REPLACE(INDEX(GroupVertices[Group],MATCH(Edges[[#This Row],[Vertex 2]],GroupVertices[Vertex],0)),1,1,"")</f>
        <v>2</v>
      </c>
      <c r="V77" s="49">
        <v>1</v>
      </c>
      <c r="W77" s="50">
        <v>11.11111111111111</v>
      </c>
      <c r="X77" s="49">
        <v>1</v>
      </c>
      <c r="Y77" s="50">
        <v>11.11111111111111</v>
      </c>
      <c r="Z77" s="49">
        <v>0</v>
      </c>
      <c r="AA77" s="50">
        <v>0</v>
      </c>
      <c r="AB77" s="49">
        <v>7</v>
      </c>
      <c r="AC77" s="50">
        <v>77.77777777777777</v>
      </c>
      <c r="AD77" s="49">
        <v>9</v>
      </c>
    </row>
    <row r="78" spans="1:30" ht="15">
      <c r="A78" s="65" t="s">
        <v>354</v>
      </c>
      <c r="B78" s="65" t="s">
        <v>373</v>
      </c>
      <c r="C78" s="66" t="s">
        <v>1297</v>
      </c>
      <c r="D78" s="67">
        <v>3</v>
      </c>
      <c r="E78" s="68"/>
      <c r="F78" s="69">
        <v>70</v>
      </c>
      <c r="G78" s="66"/>
      <c r="H78" s="70"/>
      <c r="I78" s="71"/>
      <c r="J78" s="71"/>
      <c r="K78" s="35" t="s">
        <v>66</v>
      </c>
      <c r="L78" s="79">
        <v>78</v>
      </c>
      <c r="M78" s="79"/>
      <c r="N78" s="73"/>
      <c r="O78" s="81" t="s">
        <v>444</v>
      </c>
      <c r="P78" s="81">
        <v>1</v>
      </c>
      <c r="Q78" s="81" t="s">
        <v>445</v>
      </c>
      <c r="R78" s="81" t="s">
        <v>498</v>
      </c>
      <c r="S78" s="81">
        <v>208264</v>
      </c>
      <c r="T78" s="80" t="str">
        <f>REPLACE(INDEX(GroupVertices[Group],MATCH(Edges[[#This Row],[Vertex 1]],GroupVertices[Vertex],0)),1,1,"")</f>
        <v>2</v>
      </c>
      <c r="U78" s="80" t="str">
        <f>REPLACE(INDEX(GroupVertices[Group],MATCH(Edges[[#This Row],[Vertex 2]],GroupVertices[Vertex],0)),1,1,"")</f>
        <v>2</v>
      </c>
      <c r="V78" s="49">
        <v>0</v>
      </c>
      <c r="W78" s="50">
        <v>0</v>
      </c>
      <c r="X78" s="49">
        <v>0</v>
      </c>
      <c r="Y78" s="50">
        <v>0</v>
      </c>
      <c r="Z78" s="49">
        <v>0</v>
      </c>
      <c r="AA78" s="50">
        <v>0</v>
      </c>
      <c r="AB78" s="49">
        <v>4</v>
      </c>
      <c r="AC78" s="50">
        <v>100</v>
      </c>
      <c r="AD78" s="49">
        <v>4</v>
      </c>
    </row>
    <row r="79" spans="1:30" ht="15">
      <c r="A79" s="65" t="s">
        <v>374</v>
      </c>
      <c r="B79" s="65" t="s">
        <v>348</v>
      </c>
      <c r="C79" s="66" t="s">
        <v>1297</v>
      </c>
      <c r="D79" s="67">
        <v>3</v>
      </c>
      <c r="E79" s="68"/>
      <c r="F79" s="69">
        <v>70</v>
      </c>
      <c r="G79" s="66"/>
      <c r="H79" s="70"/>
      <c r="I79" s="71"/>
      <c r="J79" s="71"/>
      <c r="K79" s="35" t="s">
        <v>65</v>
      </c>
      <c r="L79" s="79">
        <v>79</v>
      </c>
      <c r="M79" s="79"/>
      <c r="N79" s="73"/>
      <c r="O79" s="81" t="s">
        <v>444</v>
      </c>
      <c r="P79" s="81">
        <v>1</v>
      </c>
      <c r="Q79" s="81" t="s">
        <v>445</v>
      </c>
      <c r="R79" s="81" t="s">
        <v>499</v>
      </c>
      <c r="S79" s="81">
        <v>207875</v>
      </c>
      <c r="T79" s="80" t="str">
        <f>REPLACE(INDEX(GroupVertices[Group],MATCH(Edges[[#This Row],[Vertex 1]],GroupVertices[Vertex],0)),1,1,"")</f>
        <v>3</v>
      </c>
      <c r="U79" s="80" t="str">
        <f>REPLACE(INDEX(GroupVertices[Group],MATCH(Edges[[#This Row],[Vertex 2]],GroupVertices[Vertex],0)),1,1,"")</f>
        <v>3</v>
      </c>
      <c r="V79" s="49">
        <v>0</v>
      </c>
      <c r="W79" s="50">
        <v>0</v>
      </c>
      <c r="X79" s="49">
        <v>0</v>
      </c>
      <c r="Y79" s="50">
        <v>0</v>
      </c>
      <c r="Z79" s="49">
        <v>0</v>
      </c>
      <c r="AA79" s="50">
        <v>0</v>
      </c>
      <c r="AB79" s="49">
        <v>2</v>
      </c>
      <c r="AC79" s="50">
        <v>100</v>
      </c>
      <c r="AD79" s="49">
        <v>2</v>
      </c>
    </row>
    <row r="80" spans="1:30" ht="15">
      <c r="A80" s="65" t="s">
        <v>375</v>
      </c>
      <c r="B80" s="65" t="s">
        <v>374</v>
      </c>
      <c r="C80" s="66" t="s">
        <v>1297</v>
      </c>
      <c r="D80" s="67">
        <v>3</v>
      </c>
      <c r="E80" s="68"/>
      <c r="F80" s="69">
        <v>70</v>
      </c>
      <c r="G80" s="66"/>
      <c r="H80" s="70"/>
      <c r="I80" s="71"/>
      <c r="J80" s="71"/>
      <c r="K80" s="35" t="s">
        <v>65</v>
      </c>
      <c r="L80" s="79">
        <v>80</v>
      </c>
      <c r="M80" s="79"/>
      <c r="N80" s="73"/>
      <c r="O80" s="81" t="s">
        <v>444</v>
      </c>
      <c r="P80" s="81">
        <v>1</v>
      </c>
      <c r="Q80" s="81" t="s">
        <v>445</v>
      </c>
      <c r="R80" s="81" t="s">
        <v>500</v>
      </c>
      <c r="S80" s="81">
        <v>208616</v>
      </c>
      <c r="T80" s="80" t="str">
        <f>REPLACE(INDEX(GroupVertices[Group],MATCH(Edges[[#This Row],[Vertex 1]],GroupVertices[Vertex],0)),1,1,"")</f>
        <v>3</v>
      </c>
      <c r="U80" s="80" t="str">
        <f>REPLACE(INDEX(GroupVertices[Group],MATCH(Edges[[#This Row],[Vertex 2]],GroupVertices[Vertex],0)),1,1,"")</f>
        <v>3</v>
      </c>
      <c r="V80" s="49">
        <v>0</v>
      </c>
      <c r="W80" s="50">
        <v>0</v>
      </c>
      <c r="X80" s="49">
        <v>0</v>
      </c>
      <c r="Y80" s="50">
        <v>0</v>
      </c>
      <c r="Z80" s="49">
        <v>0</v>
      </c>
      <c r="AA80" s="50">
        <v>0</v>
      </c>
      <c r="AB80" s="49">
        <v>16</v>
      </c>
      <c r="AC80" s="50">
        <v>100</v>
      </c>
      <c r="AD80" s="49">
        <v>16</v>
      </c>
    </row>
    <row r="81" spans="1:30" ht="15">
      <c r="A81" s="65" t="s">
        <v>355</v>
      </c>
      <c r="B81" s="65" t="s">
        <v>375</v>
      </c>
      <c r="C81" s="66" t="s">
        <v>1297</v>
      </c>
      <c r="D81" s="67">
        <v>3</v>
      </c>
      <c r="E81" s="68"/>
      <c r="F81" s="69">
        <v>70</v>
      </c>
      <c r="G81" s="66"/>
      <c r="H81" s="70"/>
      <c r="I81" s="71"/>
      <c r="J81" s="71"/>
      <c r="K81" s="35" t="s">
        <v>65</v>
      </c>
      <c r="L81" s="79">
        <v>81</v>
      </c>
      <c r="M81" s="79"/>
      <c r="N81" s="73"/>
      <c r="O81" s="81" t="s">
        <v>444</v>
      </c>
      <c r="P81" s="81">
        <v>1</v>
      </c>
      <c r="Q81" s="81" t="s">
        <v>445</v>
      </c>
      <c r="R81" s="81" t="s">
        <v>501</v>
      </c>
      <c r="S81" s="81">
        <v>203246</v>
      </c>
      <c r="T81" s="80" t="str">
        <f>REPLACE(INDEX(GroupVertices[Group],MATCH(Edges[[#This Row],[Vertex 1]],GroupVertices[Vertex],0)),1,1,"")</f>
        <v>2</v>
      </c>
      <c r="U81" s="80" t="str">
        <f>REPLACE(INDEX(GroupVertices[Group],MATCH(Edges[[#This Row],[Vertex 2]],GroupVertices[Vertex],0)),1,1,"")</f>
        <v>3</v>
      </c>
      <c r="V81" s="49">
        <v>0</v>
      </c>
      <c r="W81" s="50">
        <v>0</v>
      </c>
      <c r="X81" s="49">
        <v>0</v>
      </c>
      <c r="Y81" s="50">
        <v>0</v>
      </c>
      <c r="Z81" s="49">
        <v>0</v>
      </c>
      <c r="AA81" s="50">
        <v>0</v>
      </c>
      <c r="AB81" s="49">
        <v>11</v>
      </c>
      <c r="AC81" s="50">
        <v>100</v>
      </c>
      <c r="AD81" s="49">
        <v>11</v>
      </c>
    </row>
    <row r="82" spans="1:30" ht="15">
      <c r="A82" s="65" t="s">
        <v>329</v>
      </c>
      <c r="B82" s="65" t="s">
        <v>376</v>
      </c>
      <c r="C82" s="66" t="s">
        <v>1297</v>
      </c>
      <c r="D82" s="67">
        <v>3</v>
      </c>
      <c r="E82" s="68"/>
      <c r="F82" s="69">
        <v>70</v>
      </c>
      <c r="G82" s="66"/>
      <c r="H82" s="70"/>
      <c r="I82" s="71"/>
      <c r="J82" s="71"/>
      <c r="K82" s="35" t="s">
        <v>66</v>
      </c>
      <c r="L82" s="79">
        <v>82</v>
      </c>
      <c r="M82" s="79"/>
      <c r="N82" s="73"/>
      <c r="O82" s="81" t="s">
        <v>444</v>
      </c>
      <c r="P82" s="81">
        <v>1</v>
      </c>
      <c r="Q82" s="81" t="s">
        <v>445</v>
      </c>
      <c r="R82" s="81" t="s">
        <v>447</v>
      </c>
      <c r="S82" s="81">
        <v>214351</v>
      </c>
      <c r="T82" s="80" t="str">
        <f>REPLACE(INDEX(GroupVertices[Group],MATCH(Edges[[#This Row],[Vertex 1]],GroupVertices[Vertex],0)),1,1,"")</f>
        <v>4</v>
      </c>
      <c r="U82" s="80" t="str">
        <f>REPLACE(INDEX(GroupVertices[Group],MATCH(Edges[[#This Row],[Vertex 2]],GroupVertices[Vertex],0)),1,1,"")</f>
        <v>4</v>
      </c>
      <c r="V82" s="49">
        <v>1</v>
      </c>
      <c r="W82" s="50">
        <v>5.2631578947368425</v>
      </c>
      <c r="X82" s="49">
        <v>2</v>
      </c>
      <c r="Y82" s="50">
        <v>10.526315789473685</v>
      </c>
      <c r="Z82" s="49">
        <v>0</v>
      </c>
      <c r="AA82" s="50">
        <v>0</v>
      </c>
      <c r="AB82" s="49">
        <v>16</v>
      </c>
      <c r="AC82" s="50">
        <v>84.21052631578948</v>
      </c>
      <c r="AD82" s="49">
        <v>19</v>
      </c>
    </row>
    <row r="83" spans="1:30" ht="15">
      <c r="A83" s="65" t="s">
        <v>376</v>
      </c>
      <c r="B83" s="65" t="s">
        <v>355</v>
      </c>
      <c r="C83" s="66" t="s">
        <v>1298</v>
      </c>
      <c r="D83" s="67">
        <v>10</v>
      </c>
      <c r="E83" s="68"/>
      <c r="F83" s="69">
        <v>40</v>
      </c>
      <c r="G83" s="66"/>
      <c r="H83" s="70"/>
      <c r="I83" s="71"/>
      <c r="J83" s="71"/>
      <c r="K83" s="35" t="s">
        <v>66</v>
      </c>
      <c r="L83" s="79">
        <v>83</v>
      </c>
      <c r="M83" s="79"/>
      <c r="N83" s="73"/>
      <c r="O83" s="81" t="s">
        <v>444</v>
      </c>
      <c r="P83" s="81">
        <v>2</v>
      </c>
      <c r="Q83" s="81" t="s">
        <v>445</v>
      </c>
      <c r="R83" s="81" t="s">
        <v>502</v>
      </c>
      <c r="S83" s="81">
        <v>203743</v>
      </c>
      <c r="T83" s="80" t="str">
        <f>REPLACE(INDEX(GroupVertices[Group],MATCH(Edges[[#This Row],[Vertex 1]],GroupVertices[Vertex],0)),1,1,"")</f>
        <v>4</v>
      </c>
      <c r="U83" s="80" t="str">
        <f>REPLACE(INDEX(GroupVertices[Group],MATCH(Edges[[#This Row],[Vertex 2]],GroupVertices[Vertex],0)),1,1,"")</f>
        <v>2</v>
      </c>
      <c r="V83" s="49">
        <v>0</v>
      </c>
      <c r="W83" s="50">
        <v>0</v>
      </c>
      <c r="X83" s="49">
        <v>2</v>
      </c>
      <c r="Y83" s="50">
        <v>25</v>
      </c>
      <c r="Z83" s="49">
        <v>0</v>
      </c>
      <c r="AA83" s="50">
        <v>0</v>
      </c>
      <c r="AB83" s="49">
        <v>6</v>
      </c>
      <c r="AC83" s="50">
        <v>75</v>
      </c>
      <c r="AD83" s="49">
        <v>8</v>
      </c>
    </row>
    <row r="84" spans="1:30" ht="15">
      <c r="A84" s="65" t="s">
        <v>377</v>
      </c>
      <c r="B84" s="65" t="s">
        <v>376</v>
      </c>
      <c r="C84" s="66" t="s">
        <v>1297</v>
      </c>
      <c r="D84" s="67">
        <v>3</v>
      </c>
      <c r="E84" s="68"/>
      <c r="F84" s="69">
        <v>70</v>
      </c>
      <c r="G84" s="66"/>
      <c r="H84" s="70"/>
      <c r="I84" s="71"/>
      <c r="J84" s="71"/>
      <c r="K84" s="35" t="s">
        <v>65</v>
      </c>
      <c r="L84" s="79">
        <v>84</v>
      </c>
      <c r="M84" s="79"/>
      <c r="N84" s="73"/>
      <c r="O84" s="81" t="s">
        <v>444</v>
      </c>
      <c r="P84" s="81">
        <v>1</v>
      </c>
      <c r="Q84" s="81" t="s">
        <v>445</v>
      </c>
      <c r="R84" s="81" t="s">
        <v>503</v>
      </c>
      <c r="S84" s="81">
        <v>204322</v>
      </c>
      <c r="T84" s="80" t="str">
        <f>REPLACE(INDEX(GroupVertices[Group],MATCH(Edges[[#This Row],[Vertex 1]],GroupVertices[Vertex],0)),1,1,"")</f>
        <v>4</v>
      </c>
      <c r="U84" s="80" t="str">
        <f>REPLACE(INDEX(GroupVertices[Group],MATCH(Edges[[#This Row],[Vertex 2]],GroupVertices[Vertex],0)),1,1,"")</f>
        <v>4</v>
      </c>
      <c r="V84" s="49">
        <v>0</v>
      </c>
      <c r="W84" s="50">
        <v>0</v>
      </c>
      <c r="X84" s="49">
        <v>2</v>
      </c>
      <c r="Y84" s="50">
        <v>33.333333333333336</v>
      </c>
      <c r="Z84" s="49">
        <v>0</v>
      </c>
      <c r="AA84" s="50">
        <v>0</v>
      </c>
      <c r="AB84" s="49">
        <v>4</v>
      </c>
      <c r="AC84" s="50">
        <v>66.66666666666667</v>
      </c>
      <c r="AD84" s="49">
        <v>6</v>
      </c>
    </row>
    <row r="85" spans="1:30" ht="15">
      <c r="A85" s="65" t="s">
        <v>376</v>
      </c>
      <c r="B85" s="65" t="s">
        <v>329</v>
      </c>
      <c r="C85" s="66" t="s">
        <v>1298</v>
      </c>
      <c r="D85" s="67">
        <v>10</v>
      </c>
      <c r="E85" s="68"/>
      <c r="F85" s="69">
        <v>40</v>
      </c>
      <c r="G85" s="66"/>
      <c r="H85" s="70"/>
      <c r="I85" s="71"/>
      <c r="J85" s="71"/>
      <c r="K85" s="35" t="s">
        <v>66</v>
      </c>
      <c r="L85" s="79">
        <v>85</v>
      </c>
      <c r="M85" s="79"/>
      <c r="N85" s="73"/>
      <c r="O85" s="81" t="s">
        <v>444</v>
      </c>
      <c r="P85" s="81">
        <v>2</v>
      </c>
      <c r="Q85" s="81" t="s">
        <v>445</v>
      </c>
      <c r="R85" s="81" t="s">
        <v>504</v>
      </c>
      <c r="S85" s="81">
        <v>205024</v>
      </c>
      <c r="T85" s="80" t="str">
        <f>REPLACE(INDEX(GroupVertices[Group],MATCH(Edges[[#This Row],[Vertex 1]],GroupVertices[Vertex],0)),1,1,"")</f>
        <v>4</v>
      </c>
      <c r="U85" s="80" t="str">
        <f>REPLACE(INDEX(GroupVertices[Group],MATCH(Edges[[#This Row],[Vertex 2]],GroupVertices[Vertex],0)),1,1,"")</f>
        <v>4</v>
      </c>
      <c r="V85" s="49">
        <v>0</v>
      </c>
      <c r="W85" s="50">
        <v>0</v>
      </c>
      <c r="X85" s="49">
        <v>2</v>
      </c>
      <c r="Y85" s="50">
        <v>11.11111111111111</v>
      </c>
      <c r="Z85" s="49">
        <v>0</v>
      </c>
      <c r="AA85" s="50">
        <v>0</v>
      </c>
      <c r="AB85" s="49">
        <v>16</v>
      </c>
      <c r="AC85" s="50">
        <v>88.88888888888889</v>
      </c>
      <c r="AD85" s="49">
        <v>18</v>
      </c>
    </row>
    <row r="86" spans="1:30" ht="15">
      <c r="A86" s="65" t="s">
        <v>355</v>
      </c>
      <c r="B86" s="65" t="s">
        <v>376</v>
      </c>
      <c r="C86" s="66" t="s">
        <v>1297</v>
      </c>
      <c r="D86" s="67">
        <v>3</v>
      </c>
      <c r="E86" s="68"/>
      <c r="F86" s="69">
        <v>70</v>
      </c>
      <c r="G86" s="66"/>
      <c r="H86" s="70"/>
      <c r="I86" s="71"/>
      <c r="J86" s="71"/>
      <c r="K86" s="35" t="s">
        <v>66</v>
      </c>
      <c r="L86" s="79">
        <v>86</v>
      </c>
      <c r="M86" s="79"/>
      <c r="N86" s="73"/>
      <c r="O86" s="81" t="s">
        <v>444</v>
      </c>
      <c r="P86" s="81">
        <v>1</v>
      </c>
      <c r="Q86" s="81" t="s">
        <v>445</v>
      </c>
      <c r="R86" s="81" t="s">
        <v>481</v>
      </c>
      <c r="S86" s="81">
        <v>186086</v>
      </c>
      <c r="T86" s="80" t="str">
        <f>REPLACE(INDEX(GroupVertices[Group],MATCH(Edges[[#This Row],[Vertex 1]],GroupVertices[Vertex],0)),1,1,"")</f>
        <v>2</v>
      </c>
      <c r="U86" s="80" t="str">
        <f>REPLACE(INDEX(GroupVertices[Group],MATCH(Edges[[#This Row],[Vertex 2]],GroupVertices[Vertex],0)),1,1,"")</f>
        <v>4</v>
      </c>
      <c r="V86" s="49">
        <v>0</v>
      </c>
      <c r="W86" s="50">
        <v>0</v>
      </c>
      <c r="X86" s="49">
        <v>0</v>
      </c>
      <c r="Y86" s="50">
        <v>0</v>
      </c>
      <c r="Z86" s="49">
        <v>0</v>
      </c>
      <c r="AA86" s="50">
        <v>0</v>
      </c>
      <c r="AB86" s="49">
        <v>11</v>
      </c>
      <c r="AC86" s="50">
        <v>100</v>
      </c>
      <c r="AD86" s="49">
        <v>11</v>
      </c>
    </row>
    <row r="87" spans="1:30" ht="15">
      <c r="A87" s="65" t="s">
        <v>378</v>
      </c>
      <c r="B87" s="65" t="s">
        <v>348</v>
      </c>
      <c r="C87" s="66" t="s">
        <v>1297</v>
      </c>
      <c r="D87" s="67">
        <v>3</v>
      </c>
      <c r="E87" s="68"/>
      <c r="F87" s="69">
        <v>70</v>
      </c>
      <c r="G87" s="66"/>
      <c r="H87" s="70"/>
      <c r="I87" s="71"/>
      <c r="J87" s="71"/>
      <c r="K87" s="35" t="s">
        <v>65</v>
      </c>
      <c r="L87" s="79">
        <v>87</v>
      </c>
      <c r="M87" s="79"/>
      <c r="N87" s="73"/>
      <c r="O87" s="81" t="s">
        <v>444</v>
      </c>
      <c r="P87" s="81">
        <v>1</v>
      </c>
      <c r="Q87" s="81" t="s">
        <v>445</v>
      </c>
      <c r="R87" s="81" t="s">
        <v>503</v>
      </c>
      <c r="S87" s="81">
        <v>187086</v>
      </c>
      <c r="T87" s="80" t="str">
        <f>REPLACE(INDEX(GroupVertices[Group],MATCH(Edges[[#This Row],[Vertex 1]],GroupVertices[Vertex],0)),1,1,"")</f>
        <v>3</v>
      </c>
      <c r="U87" s="80" t="str">
        <f>REPLACE(INDEX(GroupVertices[Group],MATCH(Edges[[#This Row],[Vertex 2]],GroupVertices[Vertex],0)),1,1,"")</f>
        <v>3</v>
      </c>
      <c r="V87" s="49">
        <v>0</v>
      </c>
      <c r="W87" s="50">
        <v>0</v>
      </c>
      <c r="X87" s="49">
        <v>2</v>
      </c>
      <c r="Y87" s="50">
        <v>33.333333333333336</v>
      </c>
      <c r="Z87" s="49">
        <v>0</v>
      </c>
      <c r="AA87" s="50">
        <v>0</v>
      </c>
      <c r="AB87" s="49">
        <v>4</v>
      </c>
      <c r="AC87" s="50">
        <v>66.66666666666667</v>
      </c>
      <c r="AD87" s="49">
        <v>6</v>
      </c>
    </row>
    <row r="88" spans="1:30" ht="15">
      <c r="A88" s="65" t="s">
        <v>378</v>
      </c>
      <c r="B88" s="65" t="s">
        <v>378</v>
      </c>
      <c r="C88" s="66" t="s">
        <v>1298</v>
      </c>
      <c r="D88" s="67">
        <v>10</v>
      </c>
      <c r="E88" s="68"/>
      <c r="F88" s="69">
        <v>40</v>
      </c>
      <c r="G88" s="66"/>
      <c r="H88" s="70"/>
      <c r="I88" s="71"/>
      <c r="J88" s="71"/>
      <c r="K88" s="35" t="s">
        <v>65</v>
      </c>
      <c r="L88" s="79">
        <v>88</v>
      </c>
      <c r="M88" s="79"/>
      <c r="N88" s="73"/>
      <c r="O88" s="81" t="s">
        <v>444</v>
      </c>
      <c r="P88" s="81">
        <v>4</v>
      </c>
      <c r="Q88" s="81" t="s">
        <v>445</v>
      </c>
      <c r="R88" s="81" t="s">
        <v>476</v>
      </c>
      <c r="S88" s="81">
        <v>180648</v>
      </c>
      <c r="T88" s="80" t="str">
        <f>REPLACE(INDEX(GroupVertices[Group],MATCH(Edges[[#This Row],[Vertex 1]],GroupVertices[Vertex],0)),1,1,"")</f>
        <v>3</v>
      </c>
      <c r="U88" s="80" t="str">
        <f>REPLACE(INDEX(GroupVertices[Group],MATCH(Edges[[#This Row],[Vertex 2]],GroupVertices[Vertex],0)),1,1,"")</f>
        <v>3</v>
      </c>
      <c r="V88" s="49">
        <v>1</v>
      </c>
      <c r="W88" s="50">
        <v>50</v>
      </c>
      <c r="X88" s="49">
        <v>0</v>
      </c>
      <c r="Y88" s="50">
        <v>0</v>
      </c>
      <c r="Z88" s="49">
        <v>0</v>
      </c>
      <c r="AA88" s="50">
        <v>0</v>
      </c>
      <c r="AB88" s="49">
        <v>1</v>
      </c>
      <c r="AC88" s="50">
        <v>50</v>
      </c>
      <c r="AD88" s="49">
        <v>2</v>
      </c>
    </row>
    <row r="89" spans="1:30" ht="15">
      <c r="A89" s="65" t="s">
        <v>379</v>
      </c>
      <c r="B89" s="65" t="s">
        <v>378</v>
      </c>
      <c r="C89" s="66" t="s">
        <v>1297</v>
      </c>
      <c r="D89" s="67">
        <v>3</v>
      </c>
      <c r="E89" s="68"/>
      <c r="F89" s="69">
        <v>70</v>
      </c>
      <c r="G89" s="66"/>
      <c r="H89" s="70"/>
      <c r="I89" s="71"/>
      <c r="J89" s="71"/>
      <c r="K89" s="35" t="s">
        <v>65</v>
      </c>
      <c r="L89" s="79">
        <v>89</v>
      </c>
      <c r="M89" s="79"/>
      <c r="N89" s="73"/>
      <c r="O89" s="81" t="s">
        <v>444</v>
      </c>
      <c r="P89" s="81">
        <v>1</v>
      </c>
      <c r="Q89" s="81" t="s">
        <v>445</v>
      </c>
      <c r="R89" s="81" t="s">
        <v>505</v>
      </c>
      <c r="S89" s="81">
        <v>179194</v>
      </c>
      <c r="T89" s="80" t="str">
        <f>REPLACE(INDEX(GroupVertices[Group],MATCH(Edges[[#This Row],[Vertex 1]],GroupVertices[Vertex],0)),1,1,"")</f>
        <v>1</v>
      </c>
      <c r="U89" s="80" t="str">
        <f>REPLACE(INDEX(GroupVertices[Group],MATCH(Edges[[#This Row],[Vertex 2]],GroupVertices[Vertex],0)),1,1,"")</f>
        <v>3</v>
      </c>
      <c r="V89" s="49">
        <v>0</v>
      </c>
      <c r="W89" s="50">
        <v>0</v>
      </c>
      <c r="X89" s="49">
        <v>0</v>
      </c>
      <c r="Y89" s="50">
        <v>0</v>
      </c>
      <c r="Z89" s="49">
        <v>0</v>
      </c>
      <c r="AA89" s="50">
        <v>0</v>
      </c>
      <c r="AB89" s="49">
        <v>34</v>
      </c>
      <c r="AC89" s="50">
        <v>100</v>
      </c>
      <c r="AD89" s="49">
        <v>34</v>
      </c>
    </row>
    <row r="90" spans="1:30" ht="15">
      <c r="A90" s="65" t="s">
        <v>380</v>
      </c>
      <c r="B90" s="65" t="s">
        <v>355</v>
      </c>
      <c r="C90" s="66" t="s">
        <v>1297</v>
      </c>
      <c r="D90" s="67">
        <v>3</v>
      </c>
      <c r="E90" s="68"/>
      <c r="F90" s="69">
        <v>70</v>
      </c>
      <c r="G90" s="66"/>
      <c r="H90" s="70"/>
      <c r="I90" s="71"/>
      <c r="J90" s="71"/>
      <c r="K90" s="35" t="s">
        <v>65</v>
      </c>
      <c r="L90" s="79">
        <v>90</v>
      </c>
      <c r="M90" s="79"/>
      <c r="N90" s="73"/>
      <c r="O90" s="81" t="s">
        <v>444</v>
      </c>
      <c r="P90" s="81">
        <v>1</v>
      </c>
      <c r="Q90" s="81" t="s">
        <v>445</v>
      </c>
      <c r="R90" s="81" t="s">
        <v>493</v>
      </c>
      <c r="S90" s="81">
        <v>140427</v>
      </c>
      <c r="T90" s="80" t="str">
        <f>REPLACE(INDEX(GroupVertices[Group],MATCH(Edges[[#This Row],[Vertex 1]],GroupVertices[Vertex],0)),1,1,"")</f>
        <v>2</v>
      </c>
      <c r="U90" s="80" t="str">
        <f>REPLACE(INDEX(GroupVertices[Group],MATCH(Edges[[#This Row],[Vertex 2]],GroupVertices[Vertex],0)),1,1,"")</f>
        <v>2</v>
      </c>
      <c r="V90" s="49">
        <v>1</v>
      </c>
      <c r="W90" s="50">
        <v>14.285714285714286</v>
      </c>
      <c r="X90" s="49">
        <v>0</v>
      </c>
      <c r="Y90" s="50">
        <v>0</v>
      </c>
      <c r="Z90" s="49">
        <v>0</v>
      </c>
      <c r="AA90" s="50">
        <v>0</v>
      </c>
      <c r="AB90" s="49">
        <v>6</v>
      </c>
      <c r="AC90" s="50">
        <v>85.71428571428571</v>
      </c>
      <c r="AD90" s="49">
        <v>7</v>
      </c>
    </row>
    <row r="91" spans="1:30" ht="15">
      <c r="A91" s="65" t="s">
        <v>331</v>
      </c>
      <c r="B91" s="65" t="s">
        <v>380</v>
      </c>
      <c r="C91" s="66" t="s">
        <v>1297</v>
      </c>
      <c r="D91" s="67">
        <v>3</v>
      </c>
      <c r="E91" s="68"/>
      <c r="F91" s="69">
        <v>70</v>
      </c>
      <c r="G91" s="66"/>
      <c r="H91" s="70"/>
      <c r="I91" s="71"/>
      <c r="J91" s="71"/>
      <c r="K91" s="35" t="s">
        <v>65</v>
      </c>
      <c r="L91" s="79">
        <v>91</v>
      </c>
      <c r="M91" s="79"/>
      <c r="N91" s="73"/>
      <c r="O91" s="81" t="s">
        <v>444</v>
      </c>
      <c r="P91" s="81">
        <v>1</v>
      </c>
      <c r="Q91" s="81" t="s">
        <v>445</v>
      </c>
      <c r="R91" s="81" t="s">
        <v>506</v>
      </c>
      <c r="S91" s="81">
        <v>140779</v>
      </c>
      <c r="T91" s="80" t="str">
        <f>REPLACE(INDEX(GroupVertices[Group],MATCH(Edges[[#This Row],[Vertex 1]],GroupVertices[Vertex],0)),1,1,"")</f>
        <v>1</v>
      </c>
      <c r="U91" s="80" t="str">
        <f>REPLACE(INDEX(GroupVertices[Group],MATCH(Edges[[#This Row],[Vertex 2]],GroupVertices[Vertex],0)),1,1,"")</f>
        <v>2</v>
      </c>
      <c r="V91" s="49">
        <v>1</v>
      </c>
      <c r="W91" s="50">
        <v>5.882352941176471</v>
      </c>
      <c r="X91" s="49">
        <v>0</v>
      </c>
      <c r="Y91" s="50">
        <v>0</v>
      </c>
      <c r="Z91" s="49">
        <v>0</v>
      </c>
      <c r="AA91" s="50">
        <v>0</v>
      </c>
      <c r="AB91" s="49">
        <v>16</v>
      </c>
      <c r="AC91" s="50">
        <v>94.11764705882354</v>
      </c>
      <c r="AD91" s="49">
        <v>17</v>
      </c>
    </row>
    <row r="92" spans="1:30" ht="15">
      <c r="A92" s="65" t="s">
        <v>381</v>
      </c>
      <c r="B92" s="65" t="s">
        <v>382</v>
      </c>
      <c r="C92" s="66" t="s">
        <v>1297</v>
      </c>
      <c r="D92" s="67">
        <v>3</v>
      </c>
      <c r="E92" s="68"/>
      <c r="F92" s="69">
        <v>70</v>
      </c>
      <c r="G92" s="66"/>
      <c r="H92" s="70"/>
      <c r="I92" s="71"/>
      <c r="J92" s="71"/>
      <c r="K92" s="35" t="s">
        <v>65</v>
      </c>
      <c r="L92" s="79">
        <v>92</v>
      </c>
      <c r="M92" s="79"/>
      <c r="N92" s="73"/>
      <c r="O92" s="81" t="s">
        <v>444</v>
      </c>
      <c r="P92" s="81">
        <v>1</v>
      </c>
      <c r="Q92" s="81" t="s">
        <v>445</v>
      </c>
      <c r="R92" s="81" t="s">
        <v>507</v>
      </c>
      <c r="S92" s="81">
        <v>213338</v>
      </c>
      <c r="T92" s="80" t="str">
        <f>REPLACE(INDEX(GroupVertices[Group],MATCH(Edges[[#This Row],[Vertex 1]],GroupVertices[Vertex],0)),1,1,"")</f>
        <v>1</v>
      </c>
      <c r="U92" s="80" t="str">
        <f>REPLACE(INDEX(GroupVertices[Group],MATCH(Edges[[#This Row],[Vertex 2]],GroupVertices[Vertex],0)),1,1,"")</f>
        <v>1</v>
      </c>
      <c r="V92" s="49">
        <v>1</v>
      </c>
      <c r="W92" s="50">
        <v>11.11111111111111</v>
      </c>
      <c r="X92" s="49">
        <v>2</v>
      </c>
      <c r="Y92" s="50">
        <v>22.22222222222222</v>
      </c>
      <c r="Z92" s="49">
        <v>0</v>
      </c>
      <c r="AA92" s="50">
        <v>0</v>
      </c>
      <c r="AB92" s="49">
        <v>6</v>
      </c>
      <c r="AC92" s="50">
        <v>66.66666666666667</v>
      </c>
      <c r="AD92" s="49">
        <v>9</v>
      </c>
    </row>
    <row r="93" spans="1:30" ht="15">
      <c r="A93" s="65" t="s">
        <v>382</v>
      </c>
      <c r="B93" s="65" t="s">
        <v>331</v>
      </c>
      <c r="C93" s="66" t="s">
        <v>1297</v>
      </c>
      <c r="D93" s="67">
        <v>3</v>
      </c>
      <c r="E93" s="68"/>
      <c r="F93" s="69">
        <v>70</v>
      </c>
      <c r="G93" s="66"/>
      <c r="H93" s="70"/>
      <c r="I93" s="71"/>
      <c r="J93" s="71"/>
      <c r="K93" s="35" t="s">
        <v>65</v>
      </c>
      <c r="L93" s="79">
        <v>93</v>
      </c>
      <c r="M93" s="79"/>
      <c r="N93" s="73"/>
      <c r="O93" s="81" t="s">
        <v>444</v>
      </c>
      <c r="P93" s="81">
        <v>1</v>
      </c>
      <c r="Q93" s="81" t="s">
        <v>445</v>
      </c>
      <c r="R93" s="81" t="s">
        <v>508</v>
      </c>
      <c r="S93" s="81">
        <v>140372</v>
      </c>
      <c r="T93" s="80" t="str">
        <f>REPLACE(INDEX(GroupVertices[Group],MATCH(Edges[[#This Row],[Vertex 1]],GroupVertices[Vertex],0)),1,1,"")</f>
        <v>1</v>
      </c>
      <c r="U93" s="80" t="str">
        <f>REPLACE(INDEX(GroupVertices[Group],MATCH(Edges[[#This Row],[Vertex 2]],GroupVertices[Vertex],0)),1,1,"")</f>
        <v>1</v>
      </c>
      <c r="V93" s="49">
        <v>1</v>
      </c>
      <c r="W93" s="50">
        <v>5.555555555555555</v>
      </c>
      <c r="X93" s="49">
        <v>0</v>
      </c>
      <c r="Y93" s="50">
        <v>0</v>
      </c>
      <c r="Z93" s="49">
        <v>0</v>
      </c>
      <c r="AA93" s="50">
        <v>0</v>
      </c>
      <c r="AB93" s="49">
        <v>17</v>
      </c>
      <c r="AC93" s="50">
        <v>94.44444444444444</v>
      </c>
      <c r="AD93" s="49">
        <v>18</v>
      </c>
    </row>
    <row r="94" spans="1:30" ht="15">
      <c r="A94" s="65" t="s">
        <v>383</v>
      </c>
      <c r="B94" s="65" t="s">
        <v>382</v>
      </c>
      <c r="C94" s="66" t="s">
        <v>1297</v>
      </c>
      <c r="D94" s="67">
        <v>3</v>
      </c>
      <c r="E94" s="68"/>
      <c r="F94" s="69">
        <v>70</v>
      </c>
      <c r="G94" s="66"/>
      <c r="H94" s="70"/>
      <c r="I94" s="71"/>
      <c r="J94" s="71"/>
      <c r="K94" s="35" t="s">
        <v>65</v>
      </c>
      <c r="L94" s="79">
        <v>94</v>
      </c>
      <c r="M94" s="79"/>
      <c r="N94" s="73"/>
      <c r="O94" s="81" t="s">
        <v>444</v>
      </c>
      <c r="P94" s="81">
        <v>1</v>
      </c>
      <c r="Q94" s="81" t="s">
        <v>445</v>
      </c>
      <c r="R94" s="81" t="s">
        <v>509</v>
      </c>
      <c r="S94" s="81">
        <v>141122</v>
      </c>
      <c r="T94" s="80" t="str">
        <f>REPLACE(INDEX(GroupVertices[Group],MATCH(Edges[[#This Row],[Vertex 1]],GroupVertices[Vertex],0)),1,1,"")</f>
        <v>1</v>
      </c>
      <c r="U94" s="80" t="str">
        <f>REPLACE(INDEX(GroupVertices[Group],MATCH(Edges[[#This Row],[Vertex 2]],GroupVertices[Vertex],0)),1,1,"")</f>
        <v>1</v>
      </c>
      <c r="V94" s="49">
        <v>0</v>
      </c>
      <c r="W94" s="50">
        <v>0</v>
      </c>
      <c r="X94" s="49">
        <v>0</v>
      </c>
      <c r="Y94" s="50">
        <v>0</v>
      </c>
      <c r="Z94" s="49">
        <v>0</v>
      </c>
      <c r="AA94" s="50">
        <v>0</v>
      </c>
      <c r="AB94" s="49">
        <v>11</v>
      </c>
      <c r="AC94" s="50">
        <v>100</v>
      </c>
      <c r="AD94" s="49">
        <v>11</v>
      </c>
    </row>
    <row r="95" spans="1:30" ht="15">
      <c r="A95" s="65" t="s">
        <v>354</v>
      </c>
      <c r="B95" s="65" t="s">
        <v>383</v>
      </c>
      <c r="C95" s="66" t="s">
        <v>1297</v>
      </c>
      <c r="D95" s="67">
        <v>3</v>
      </c>
      <c r="E95" s="68"/>
      <c r="F95" s="69">
        <v>70</v>
      </c>
      <c r="G95" s="66"/>
      <c r="H95" s="70"/>
      <c r="I95" s="71"/>
      <c r="J95" s="71"/>
      <c r="K95" s="35" t="s">
        <v>65</v>
      </c>
      <c r="L95" s="79">
        <v>95</v>
      </c>
      <c r="M95" s="79"/>
      <c r="N95" s="73"/>
      <c r="O95" s="81" t="s">
        <v>444</v>
      </c>
      <c r="P95" s="81">
        <v>1</v>
      </c>
      <c r="Q95" s="81" t="s">
        <v>445</v>
      </c>
      <c r="R95" s="81" t="s">
        <v>510</v>
      </c>
      <c r="S95" s="81">
        <v>140372</v>
      </c>
      <c r="T95" s="80" t="str">
        <f>REPLACE(INDEX(GroupVertices[Group],MATCH(Edges[[#This Row],[Vertex 1]],GroupVertices[Vertex],0)),1,1,"")</f>
        <v>2</v>
      </c>
      <c r="U95" s="80" t="str">
        <f>REPLACE(INDEX(GroupVertices[Group],MATCH(Edges[[#This Row],[Vertex 2]],GroupVertices[Vertex],0)),1,1,"")</f>
        <v>1</v>
      </c>
      <c r="V95" s="49">
        <v>0</v>
      </c>
      <c r="W95" s="50">
        <v>0</v>
      </c>
      <c r="X95" s="49">
        <v>0</v>
      </c>
      <c r="Y95" s="50">
        <v>0</v>
      </c>
      <c r="Z95" s="49">
        <v>0</v>
      </c>
      <c r="AA95" s="50">
        <v>0</v>
      </c>
      <c r="AB95" s="49">
        <v>2</v>
      </c>
      <c r="AC95" s="50">
        <v>100</v>
      </c>
      <c r="AD95" s="49">
        <v>2</v>
      </c>
    </row>
    <row r="96" spans="1:30" ht="15">
      <c r="A96" s="65" t="s">
        <v>384</v>
      </c>
      <c r="B96" s="65" t="s">
        <v>354</v>
      </c>
      <c r="C96" s="66" t="s">
        <v>1297</v>
      </c>
      <c r="D96" s="67">
        <v>3</v>
      </c>
      <c r="E96" s="68"/>
      <c r="F96" s="69">
        <v>70</v>
      </c>
      <c r="G96" s="66"/>
      <c r="H96" s="70"/>
      <c r="I96" s="71"/>
      <c r="J96" s="71"/>
      <c r="K96" s="35" t="s">
        <v>66</v>
      </c>
      <c r="L96" s="79">
        <v>96</v>
      </c>
      <c r="M96" s="79"/>
      <c r="N96" s="73"/>
      <c r="O96" s="81" t="s">
        <v>444</v>
      </c>
      <c r="P96" s="81">
        <v>1</v>
      </c>
      <c r="Q96" s="81" t="s">
        <v>445</v>
      </c>
      <c r="R96" s="81" t="s">
        <v>509</v>
      </c>
      <c r="S96" s="81">
        <v>140653</v>
      </c>
      <c r="T96" s="80" t="str">
        <f>REPLACE(INDEX(GroupVertices[Group],MATCH(Edges[[#This Row],[Vertex 1]],GroupVertices[Vertex],0)),1,1,"")</f>
        <v>2</v>
      </c>
      <c r="U96" s="80" t="str">
        <f>REPLACE(INDEX(GroupVertices[Group],MATCH(Edges[[#This Row],[Vertex 2]],GroupVertices[Vertex],0)),1,1,"")</f>
        <v>2</v>
      </c>
      <c r="V96" s="49">
        <v>0</v>
      </c>
      <c r="W96" s="50">
        <v>0</v>
      </c>
      <c r="X96" s="49">
        <v>0</v>
      </c>
      <c r="Y96" s="50">
        <v>0</v>
      </c>
      <c r="Z96" s="49">
        <v>0</v>
      </c>
      <c r="AA96" s="50">
        <v>0</v>
      </c>
      <c r="AB96" s="49">
        <v>11</v>
      </c>
      <c r="AC96" s="50">
        <v>100</v>
      </c>
      <c r="AD96" s="49">
        <v>11</v>
      </c>
    </row>
    <row r="97" spans="1:30" ht="15">
      <c r="A97" s="65" t="s">
        <v>354</v>
      </c>
      <c r="B97" s="65" t="s">
        <v>384</v>
      </c>
      <c r="C97" s="66" t="s">
        <v>1297</v>
      </c>
      <c r="D97" s="67">
        <v>3</v>
      </c>
      <c r="E97" s="68"/>
      <c r="F97" s="69">
        <v>70</v>
      </c>
      <c r="G97" s="66"/>
      <c r="H97" s="70"/>
      <c r="I97" s="71"/>
      <c r="J97" s="71"/>
      <c r="K97" s="35" t="s">
        <v>66</v>
      </c>
      <c r="L97" s="79">
        <v>97</v>
      </c>
      <c r="M97" s="79"/>
      <c r="N97" s="73"/>
      <c r="O97" s="81" t="s">
        <v>444</v>
      </c>
      <c r="P97" s="81">
        <v>1</v>
      </c>
      <c r="Q97" s="81" t="s">
        <v>445</v>
      </c>
      <c r="R97" s="81" t="s">
        <v>511</v>
      </c>
      <c r="S97" s="81">
        <v>140812</v>
      </c>
      <c r="T97" s="80" t="str">
        <f>REPLACE(INDEX(GroupVertices[Group],MATCH(Edges[[#This Row],[Vertex 1]],GroupVertices[Vertex],0)),1,1,"")</f>
        <v>2</v>
      </c>
      <c r="U97" s="80" t="str">
        <f>REPLACE(INDEX(GroupVertices[Group],MATCH(Edges[[#This Row],[Vertex 2]],GroupVertices[Vertex],0)),1,1,"")</f>
        <v>2</v>
      </c>
      <c r="V97" s="49">
        <v>0</v>
      </c>
      <c r="W97" s="50">
        <v>0</v>
      </c>
      <c r="X97" s="49">
        <v>0</v>
      </c>
      <c r="Y97" s="50">
        <v>0</v>
      </c>
      <c r="Z97" s="49">
        <v>0</v>
      </c>
      <c r="AA97" s="50">
        <v>0</v>
      </c>
      <c r="AB97" s="49">
        <v>10</v>
      </c>
      <c r="AC97" s="50">
        <v>100</v>
      </c>
      <c r="AD97" s="49">
        <v>10</v>
      </c>
    </row>
    <row r="98" spans="1:30" ht="15">
      <c r="A98" s="65" t="s">
        <v>385</v>
      </c>
      <c r="B98" s="65" t="s">
        <v>386</v>
      </c>
      <c r="C98" s="66" t="s">
        <v>1297</v>
      </c>
      <c r="D98" s="67">
        <v>3</v>
      </c>
      <c r="E98" s="68"/>
      <c r="F98" s="69">
        <v>70</v>
      </c>
      <c r="G98" s="66"/>
      <c r="H98" s="70"/>
      <c r="I98" s="71"/>
      <c r="J98" s="71"/>
      <c r="K98" s="35" t="s">
        <v>66</v>
      </c>
      <c r="L98" s="79">
        <v>98</v>
      </c>
      <c r="M98" s="79"/>
      <c r="N98" s="73"/>
      <c r="O98" s="81" t="s">
        <v>444</v>
      </c>
      <c r="P98" s="81">
        <v>1</v>
      </c>
      <c r="Q98" s="81" t="s">
        <v>445</v>
      </c>
      <c r="R98" s="81" t="s">
        <v>512</v>
      </c>
      <c r="S98" s="81">
        <v>121761</v>
      </c>
      <c r="T98" s="80" t="str">
        <f>REPLACE(INDEX(GroupVertices[Group],MATCH(Edges[[#This Row],[Vertex 1]],GroupVertices[Vertex],0)),1,1,"")</f>
        <v>2</v>
      </c>
      <c r="U98" s="80" t="str">
        <f>REPLACE(INDEX(GroupVertices[Group],MATCH(Edges[[#This Row],[Vertex 2]],GroupVertices[Vertex],0)),1,1,"")</f>
        <v>2</v>
      </c>
      <c r="V98" s="49">
        <v>0</v>
      </c>
      <c r="W98" s="50">
        <v>0</v>
      </c>
      <c r="X98" s="49">
        <v>0</v>
      </c>
      <c r="Y98" s="50">
        <v>0</v>
      </c>
      <c r="Z98" s="49">
        <v>0</v>
      </c>
      <c r="AA98" s="50">
        <v>0</v>
      </c>
      <c r="AB98" s="49">
        <v>16</v>
      </c>
      <c r="AC98" s="50">
        <v>100</v>
      </c>
      <c r="AD98" s="49">
        <v>16</v>
      </c>
    </row>
    <row r="99" spans="1:30" ht="15">
      <c r="A99" s="65" t="s">
        <v>386</v>
      </c>
      <c r="B99" s="65" t="s">
        <v>385</v>
      </c>
      <c r="C99" s="66" t="s">
        <v>1297</v>
      </c>
      <c r="D99" s="67">
        <v>3</v>
      </c>
      <c r="E99" s="68"/>
      <c r="F99" s="69">
        <v>70</v>
      </c>
      <c r="G99" s="66"/>
      <c r="H99" s="70"/>
      <c r="I99" s="71"/>
      <c r="J99" s="71"/>
      <c r="K99" s="35" t="s">
        <v>66</v>
      </c>
      <c r="L99" s="79">
        <v>99</v>
      </c>
      <c r="M99" s="79"/>
      <c r="N99" s="73"/>
      <c r="O99" s="81" t="s">
        <v>444</v>
      </c>
      <c r="P99" s="81">
        <v>1</v>
      </c>
      <c r="Q99" s="81" t="s">
        <v>445</v>
      </c>
      <c r="R99" s="81" t="s">
        <v>513</v>
      </c>
      <c r="S99" s="81">
        <v>119817</v>
      </c>
      <c r="T99" s="80" t="str">
        <f>REPLACE(INDEX(GroupVertices[Group],MATCH(Edges[[#This Row],[Vertex 1]],GroupVertices[Vertex],0)),1,1,"")</f>
        <v>2</v>
      </c>
      <c r="U99" s="80" t="str">
        <f>REPLACE(INDEX(GroupVertices[Group],MATCH(Edges[[#This Row],[Vertex 2]],GroupVertices[Vertex],0)),1,1,"")</f>
        <v>2</v>
      </c>
      <c r="V99" s="49">
        <v>0</v>
      </c>
      <c r="W99" s="50">
        <v>0</v>
      </c>
      <c r="X99" s="49">
        <v>0</v>
      </c>
      <c r="Y99" s="50">
        <v>0</v>
      </c>
      <c r="Z99" s="49">
        <v>0</v>
      </c>
      <c r="AA99" s="50">
        <v>0</v>
      </c>
      <c r="AB99" s="49">
        <v>13</v>
      </c>
      <c r="AC99" s="50">
        <v>100</v>
      </c>
      <c r="AD99" s="49">
        <v>13</v>
      </c>
    </row>
    <row r="100" spans="1:30" ht="15">
      <c r="A100" s="65" t="s">
        <v>386</v>
      </c>
      <c r="B100" s="65" t="s">
        <v>341</v>
      </c>
      <c r="C100" s="66" t="s">
        <v>1297</v>
      </c>
      <c r="D100" s="67">
        <v>3</v>
      </c>
      <c r="E100" s="68"/>
      <c r="F100" s="69">
        <v>70</v>
      </c>
      <c r="G100" s="66"/>
      <c r="H100" s="70"/>
      <c r="I100" s="71"/>
      <c r="J100" s="71"/>
      <c r="K100" s="35" t="s">
        <v>65</v>
      </c>
      <c r="L100" s="79">
        <v>100</v>
      </c>
      <c r="M100" s="79"/>
      <c r="N100" s="73"/>
      <c r="O100" s="81" t="s">
        <v>444</v>
      </c>
      <c r="P100" s="81">
        <v>1</v>
      </c>
      <c r="Q100" s="81" t="s">
        <v>445</v>
      </c>
      <c r="R100" s="81" t="s">
        <v>514</v>
      </c>
      <c r="S100" s="81">
        <v>216039</v>
      </c>
      <c r="T100" s="80" t="str">
        <f>REPLACE(INDEX(GroupVertices[Group],MATCH(Edges[[#This Row],[Vertex 1]],GroupVertices[Vertex],0)),1,1,"")</f>
        <v>2</v>
      </c>
      <c r="U100" s="80" t="str">
        <f>REPLACE(INDEX(GroupVertices[Group],MATCH(Edges[[#This Row],[Vertex 2]],GroupVertices[Vertex],0)),1,1,"")</f>
        <v>2</v>
      </c>
      <c r="V100" s="49">
        <v>0</v>
      </c>
      <c r="W100" s="50">
        <v>0</v>
      </c>
      <c r="X100" s="49">
        <v>0</v>
      </c>
      <c r="Y100" s="50">
        <v>0</v>
      </c>
      <c r="Z100" s="49">
        <v>0</v>
      </c>
      <c r="AA100" s="50">
        <v>0</v>
      </c>
      <c r="AB100" s="49">
        <v>1</v>
      </c>
      <c r="AC100" s="50">
        <v>100</v>
      </c>
      <c r="AD100" s="49">
        <v>1</v>
      </c>
    </row>
    <row r="101" spans="1:30" ht="15">
      <c r="A101" s="65" t="s">
        <v>386</v>
      </c>
      <c r="B101" s="65" t="s">
        <v>363</v>
      </c>
      <c r="C101" s="66" t="s">
        <v>1297</v>
      </c>
      <c r="D101" s="67">
        <v>3</v>
      </c>
      <c r="E101" s="68"/>
      <c r="F101" s="69">
        <v>70</v>
      </c>
      <c r="G101" s="66"/>
      <c r="H101" s="70"/>
      <c r="I101" s="71"/>
      <c r="J101" s="71"/>
      <c r="K101" s="35" t="s">
        <v>65</v>
      </c>
      <c r="L101" s="79">
        <v>101</v>
      </c>
      <c r="M101" s="79"/>
      <c r="N101" s="73"/>
      <c r="O101" s="81" t="s">
        <v>444</v>
      </c>
      <c r="P101" s="81">
        <v>1</v>
      </c>
      <c r="Q101" s="81" t="s">
        <v>445</v>
      </c>
      <c r="R101" s="81" t="s">
        <v>515</v>
      </c>
      <c r="S101" s="81">
        <v>121788</v>
      </c>
      <c r="T101" s="80" t="str">
        <f>REPLACE(INDEX(GroupVertices[Group],MATCH(Edges[[#This Row],[Vertex 1]],GroupVertices[Vertex],0)),1,1,"")</f>
        <v>2</v>
      </c>
      <c r="U101" s="80" t="str">
        <f>REPLACE(INDEX(GroupVertices[Group],MATCH(Edges[[#This Row],[Vertex 2]],GroupVertices[Vertex],0)),1,1,"")</f>
        <v>5</v>
      </c>
      <c r="V101" s="49">
        <v>0</v>
      </c>
      <c r="W101" s="50">
        <v>0</v>
      </c>
      <c r="X101" s="49">
        <v>0</v>
      </c>
      <c r="Y101" s="50">
        <v>0</v>
      </c>
      <c r="Z101" s="49">
        <v>0</v>
      </c>
      <c r="AA101" s="50">
        <v>0</v>
      </c>
      <c r="AB101" s="49">
        <v>17</v>
      </c>
      <c r="AC101" s="50">
        <v>100</v>
      </c>
      <c r="AD101" s="49">
        <v>17</v>
      </c>
    </row>
    <row r="102" spans="1:30" ht="15">
      <c r="A102" s="65" t="s">
        <v>386</v>
      </c>
      <c r="B102" s="65" t="s">
        <v>386</v>
      </c>
      <c r="C102" s="66" t="s">
        <v>1297</v>
      </c>
      <c r="D102" s="67">
        <v>3</v>
      </c>
      <c r="E102" s="68"/>
      <c r="F102" s="69">
        <v>70</v>
      </c>
      <c r="G102" s="66"/>
      <c r="H102" s="70"/>
      <c r="I102" s="71"/>
      <c r="J102" s="71"/>
      <c r="K102" s="35" t="s">
        <v>65</v>
      </c>
      <c r="L102" s="79">
        <v>102</v>
      </c>
      <c r="M102" s="79"/>
      <c r="N102" s="73"/>
      <c r="O102" s="81" t="s">
        <v>444</v>
      </c>
      <c r="P102" s="81">
        <v>1</v>
      </c>
      <c r="Q102" s="81" t="s">
        <v>445</v>
      </c>
      <c r="R102" s="81" t="s">
        <v>513</v>
      </c>
      <c r="S102" s="81">
        <v>117793</v>
      </c>
      <c r="T102" s="80" t="str">
        <f>REPLACE(INDEX(GroupVertices[Group],MATCH(Edges[[#This Row],[Vertex 1]],GroupVertices[Vertex],0)),1,1,"")</f>
        <v>2</v>
      </c>
      <c r="U102" s="80" t="str">
        <f>REPLACE(INDEX(GroupVertices[Group],MATCH(Edges[[#This Row],[Vertex 2]],GroupVertices[Vertex],0)),1,1,"")</f>
        <v>2</v>
      </c>
      <c r="V102" s="49">
        <v>0</v>
      </c>
      <c r="W102" s="50">
        <v>0</v>
      </c>
      <c r="X102" s="49">
        <v>0</v>
      </c>
      <c r="Y102" s="50">
        <v>0</v>
      </c>
      <c r="Z102" s="49">
        <v>0</v>
      </c>
      <c r="AA102" s="50">
        <v>0</v>
      </c>
      <c r="AB102" s="49">
        <v>13</v>
      </c>
      <c r="AC102" s="50">
        <v>100</v>
      </c>
      <c r="AD102" s="49">
        <v>13</v>
      </c>
    </row>
    <row r="103" spans="1:30" ht="15">
      <c r="A103" s="65" t="s">
        <v>355</v>
      </c>
      <c r="B103" s="65" t="s">
        <v>386</v>
      </c>
      <c r="C103" s="66" t="s">
        <v>1298</v>
      </c>
      <c r="D103" s="67">
        <v>10</v>
      </c>
      <c r="E103" s="68"/>
      <c r="F103" s="69">
        <v>40</v>
      </c>
      <c r="G103" s="66"/>
      <c r="H103" s="70"/>
      <c r="I103" s="71"/>
      <c r="J103" s="71"/>
      <c r="K103" s="35" t="s">
        <v>65</v>
      </c>
      <c r="L103" s="79">
        <v>103</v>
      </c>
      <c r="M103" s="79"/>
      <c r="N103" s="73"/>
      <c r="O103" s="81" t="s">
        <v>444</v>
      </c>
      <c r="P103" s="81">
        <v>2</v>
      </c>
      <c r="Q103" s="81" t="s">
        <v>445</v>
      </c>
      <c r="R103" s="81" t="s">
        <v>501</v>
      </c>
      <c r="S103" s="81">
        <v>108428</v>
      </c>
      <c r="T103" s="80" t="str">
        <f>REPLACE(INDEX(GroupVertices[Group],MATCH(Edges[[#This Row],[Vertex 1]],GroupVertices[Vertex],0)),1,1,"")</f>
        <v>2</v>
      </c>
      <c r="U103" s="80" t="str">
        <f>REPLACE(INDEX(GroupVertices[Group],MATCH(Edges[[#This Row],[Vertex 2]],GroupVertices[Vertex],0)),1,1,"")</f>
        <v>2</v>
      </c>
      <c r="V103" s="49">
        <v>0</v>
      </c>
      <c r="W103" s="50">
        <v>0</v>
      </c>
      <c r="X103" s="49">
        <v>0</v>
      </c>
      <c r="Y103" s="50">
        <v>0</v>
      </c>
      <c r="Z103" s="49">
        <v>0</v>
      </c>
      <c r="AA103" s="50">
        <v>0</v>
      </c>
      <c r="AB103" s="49">
        <v>11</v>
      </c>
      <c r="AC103" s="50">
        <v>100</v>
      </c>
      <c r="AD103" s="49">
        <v>11</v>
      </c>
    </row>
    <row r="104" spans="1:30" ht="15">
      <c r="A104" s="65" t="s">
        <v>387</v>
      </c>
      <c r="B104" s="65" t="s">
        <v>355</v>
      </c>
      <c r="C104" s="66" t="s">
        <v>1297</v>
      </c>
      <c r="D104" s="67">
        <v>3</v>
      </c>
      <c r="E104" s="68"/>
      <c r="F104" s="69">
        <v>70</v>
      </c>
      <c r="G104" s="66"/>
      <c r="H104" s="70"/>
      <c r="I104" s="71"/>
      <c r="J104" s="71"/>
      <c r="K104" s="35" t="s">
        <v>65</v>
      </c>
      <c r="L104" s="79">
        <v>104</v>
      </c>
      <c r="M104" s="79"/>
      <c r="N104" s="73"/>
      <c r="O104" s="81" t="s">
        <v>444</v>
      </c>
      <c r="P104" s="81">
        <v>1</v>
      </c>
      <c r="Q104" s="81" t="s">
        <v>445</v>
      </c>
      <c r="R104" s="81" t="s">
        <v>516</v>
      </c>
      <c r="S104" s="81">
        <v>108713</v>
      </c>
      <c r="T104" s="80" t="str">
        <f>REPLACE(INDEX(GroupVertices[Group],MATCH(Edges[[#This Row],[Vertex 1]],GroupVertices[Vertex],0)),1,1,"")</f>
        <v>8</v>
      </c>
      <c r="U104" s="80" t="str">
        <f>REPLACE(INDEX(GroupVertices[Group],MATCH(Edges[[#This Row],[Vertex 2]],GroupVertices[Vertex],0)),1,1,"")</f>
        <v>2</v>
      </c>
      <c r="V104" s="49">
        <v>0</v>
      </c>
      <c r="W104" s="50">
        <v>0</v>
      </c>
      <c r="X104" s="49">
        <v>0</v>
      </c>
      <c r="Y104" s="50">
        <v>0</v>
      </c>
      <c r="Z104" s="49">
        <v>0</v>
      </c>
      <c r="AA104" s="50">
        <v>0</v>
      </c>
      <c r="AB104" s="49">
        <v>6</v>
      </c>
      <c r="AC104" s="50">
        <v>100</v>
      </c>
      <c r="AD104" s="49">
        <v>6</v>
      </c>
    </row>
    <row r="105" spans="1:30" ht="15">
      <c r="A105" s="65" t="s">
        <v>388</v>
      </c>
      <c r="B105" s="65" t="s">
        <v>387</v>
      </c>
      <c r="C105" s="66" t="s">
        <v>1297</v>
      </c>
      <c r="D105" s="67">
        <v>3</v>
      </c>
      <c r="E105" s="68"/>
      <c r="F105" s="69">
        <v>70</v>
      </c>
      <c r="G105" s="66"/>
      <c r="H105" s="70"/>
      <c r="I105" s="71"/>
      <c r="J105" s="71"/>
      <c r="K105" s="35" t="s">
        <v>65</v>
      </c>
      <c r="L105" s="79">
        <v>105</v>
      </c>
      <c r="M105" s="79"/>
      <c r="N105" s="73"/>
      <c r="O105" s="81" t="s">
        <v>444</v>
      </c>
      <c r="P105" s="81">
        <v>1</v>
      </c>
      <c r="Q105" s="81" t="s">
        <v>445</v>
      </c>
      <c r="R105" s="81" t="s">
        <v>517</v>
      </c>
      <c r="S105" s="81">
        <v>108984</v>
      </c>
      <c r="T105" s="80" t="str">
        <f>REPLACE(INDEX(GroupVertices[Group],MATCH(Edges[[#This Row],[Vertex 1]],GroupVertices[Vertex],0)),1,1,"")</f>
        <v>8</v>
      </c>
      <c r="U105" s="80" t="str">
        <f>REPLACE(INDEX(GroupVertices[Group],MATCH(Edges[[#This Row],[Vertex 2]],GroupVertices[Vertex],0)),1,1,"")</f>
        <v>8</v>
      </c>
      <c r="V105" s="49">
        <v>0</v>
      </c>
      <c r="W105" s="50">
        <v>0</v>
      </c>
      <c r="X105" s="49">
        <v>0</v>
      </c>
      <c r="Y105" s="50">
        <v>0</v>
      </c>
      <c r="Z105" s="49">
        <v>0</v>
      </c>
      <c r="AA105" s="50">
        <v>0</v>
      </c>
      <c r="AB105" s="49">
        <v>11</v>
      </c>
      <c r="AC105" s="50">
        <v>100</v>
      </c>
      <c r="AD105" s="49">
        <v>11</v>
      </c>
    </row>
    <row r="106" spans="1:30" ht="15">
      <c r="A106" s="65" t="s">
        <v>389</v>
      </c>
      <c r="B106" s="65" t="s">
        <v>388</v>
      </c>
      <c r="C106" s="66" t="s">
        <v>1297</v>
      </c>
      <c r="D106" s="67">
        <v>3</v>
      </c>
      <c r="E106" s="68"/>
      <c r="F106" s="69">
        <v>70</v>
      </c>
      <c r="G106" s="66"/>
      <c r="H106" s="70"/>
      <c r="I106" s="71"/>
      <c r="J106" s="71"/>
      <c r="K106" s="35" t="s">
        <v>65</v>
      </c>
      <c r="L106" s="79">
        <v>106</v>
      </c>
      <c r="M106" s="79"/>
      <c r="N106" s="73"/>
      <c r="O106" s="81" t="s">
        <v>444</v>
      </c>
      <c r="P106" s="81">
        <v>1</v>
      </c>
      <c r="Q106" s="81" t="s">
        <v>445</v>
      </c>
      <c r="R106" s="81" t="s">
        <v>518</v>
      </c>
      <c r="S106" s="81">
        <v>109460</v>
      </c>
      <c r="T106" s="80" t="str">
        <f>REPLACE(INDEX(GroupVertices[Group],MATCH(Edges[[#This Row],[Vertex 1]],GroupVertices[Vertex],0)),1,1,"")</f>
        <v>8</v>
      </c>
      <c r="U106" s="80" t="str">
        <f>REPLACE(INDEX(GroupVertices[Group],MATCH(Edges[[#This Row],[Vertex 2]],GroupVertices[Vertex],0)),1,1,"")</f>
        <v>8</v>
      </c>
      <c r="V106" s="49">
        <v>1</v>
      </c>
      <c r="W106" s="50">
        <v>4.761904761904762</v>
      </c>
      <c r="X106" s="49">
        <v>0</v>
      </c>
      <c r="Y106" s="50">
        <v>0</v>
      </c>
      <c r="Z106" s="49">
        <v>0</v>
      </c>
      <c r="AA106" s="50">
        <v>0</v>
      </c>
      <c r="AB106" s="49">
        <v>20</v>
      </c>
      <c r="AC106" s="50">
        <v>95.23809523809524</v>
      </c>
      <c r="AD106" s="49">
        <v>21</v>
      </c>
    </row>
    <row r="107" spans="1:30" ht="15">
      <c r="A107" s="65" t="s">
        <v>390</v>
      </c>
      <c r="B107" s="65" t="s">
        <v>389</v>
      </c>
      <c r="C107" s="66" t="s">
        <v>1297</v>
      </c>
      <c r="D107" s="67">
        <v>3</v>
      </c>
      <c r="E107" s="68"/>
      <c r="F107" s="69">
        <v>70</v>
      </c>
      <c r="G107" s="66"/>
      <c r="H107" s="70"/>
      <c r="I107" s="71"/>
      <c r="J107" s="71"/>
      <c r="K107" s="35" t="s">
        <v>65</v>
      </c>
      <c r="L107" s="79">
        <v>107</v>
      </c>
      <c r="M107" s="79"/>
      <c r="N107" s="73"/>
      <c r="O107" s="81" t="s">
        <v>444</v>
      </c>
      <c r="P107" s="81">
        <v>1</v>
      </c>
      <c r="Q107" s="81" t="s">
        <v>445</v>
      </c>
      <c r="R107" s="81" t="s">
        <v>519</v>
      </c>
      <c r="S107" s="81">
        <v>109984</v>
      </c>
      <c r="T107" s="80" t="str">
        <f>REPLACE(INDEX(GroupVertices[Group],MATCH(Edges[[#This Row],[Vertex 1]],GroupVertices[Vertex],0)),1,1,"")</f>
        <v>8</v>
      </c>
      <c r="U107" s="80" t="str">
        <f>REPLACE(INDEX(GroupVertices[Group],MATCH(Edges[[#This Row],[Vertex 2]],GroupVertices[Vertex],0)),1,1,"")</f>
        <v>8</v>
      </c>
      <c r="V107" s="49">
        <v>0</v>
      </c>
      <c r="W107" s="50">
        <v>0</v>
      </c>
      <c r="X107" s="49">
        <v>0</v>
      </c>
      <c r="Y107" s="50">
        <v>0</v>
      </c>
      <c r="Z107" s="49">
        <v>0</v>
      </c>
      <c r="AA107" s="50">
        <v>0</v>
      </c>
      <c r="AB107" s="49">
        <v>18</v>
      </c>
      <c r="AC107" s="50">
        <v>100</v>
      </c>
      <c r="AD107" s="49">
        <v>18</v>
      </c>
    </row>
    <row r="108" spans="1:30" ht="15">
      <c r="A108" s="65" t="s">
        <v>390</v>
      </c>
      <c r="B108" s="65" t="s">
        <v>390</v>
      </c>
      <c r="C108" s="66" t="s">
        <v>1297</v>
      </c>
      <c r="D108" s="67">
        <v>3</v>
      </c>
      <c r="E108" s="68"/>
      <c r="F108" s="69">
        <v>70</v>
      </c>
      <c r="G108" s="66"/>
      <c r="H108" s="70"/>
      <c r="I108" s="71"/>
      <c r="J108" s="71"/>
      <c r="K108" s="35" t="s">
        <v>65</v>
      </c>
      <c r="L108" s="79">
        <v>108</v>
      </c>
      <c r="M108" s="79"/>
      <c r="N108" s="73"/>
      <c r="O108" s="81" t="s">
        <v>444</v>
      </c>
      <c r="P108" s="81">
        <v>1</v>
      </c>
      <c r="Q108" s="81" t="s">
        <v>445</v>
      </c>
      <c r="R108" s="81" t="s">
        <v>520</v>
      </c>
      <c r="S108" s="81">
        <v>110135</v>
      </c>
      <c r="T108" s="80" t="str">
        <f>REPLACE(INDEX(GroupVertices[Group],MATCH(Edges[[#This Row],[Vertex 1]],GroupVertices[Vertex],0)),1,1,"")</f>
        <v>8</v>
      </c>
      <c r="U108" s="80" t="str">
        <f>REPLACE(INDEX(GroupVertices[Group],MATCH(Edges[[#This Row],[Vertex 2]],GroupVertices[Vertex],0)),1,1,"")</f>
        <v>8</v>
      </c>
      <c r="V108" s="49">
        <v>0</v>
      </c>
      <c r="W108" s="50">
        <v>0</v>
      </c>
      <c r="X108" s="49">
        <v>0</v>
      </c>
      <c r="Y108" s="50">
        <v>0</v>
      </c>
      <c r="Z108" s="49">
        <v>0</v>
      </c>
      <c r="AA108" s="50">
        <v>0</v>
      </c>
      <c r="AB108" s="49">
        <v>16</v>
      </c>
      <c r="AC108" s="50">
        <v>100</v>
      </c>
      <c r="AD108" s="49">
        <v>16</v>
      </c>
    </row>
    <row r="109" spans="1:30" ht="15">
      <c r="A109" s="65" t="s">
        <v>391</v>
      </c>
      <c r="B109" s="65" t="s">
        <v>390</v>
      </c>
      <c r="C109" s="66" t="s">
        <v>1297</v>
      </c>
      <c r="D109" s="67">
        <v>3</v>
      </c>
      <c r="E109" s="68"/>
      <c r="F109" s="69">
        <v>70</v>
      </c>
      <c r="G109" s="66"/>
      <c r="H109" s="70"/>
      <c r="I109" s="71"/>
      <c r="J109" s="71"/>
      <c r="K109" s="35" t="s">
        <v>65</v>
      </c>
      <c r="L109" s="79">
        <v>109</v>
      </c>
      <c r="M109" s="79"/>
      <c r="N109" s="73"/>
      <c r="O109" s="81" t="s">
        <v>444</v>
      </c>
      <c r="P109" s="81">
        <v>1</v>
      </c>
      <c r="Q109" s="81" t="s">
        <v>445</v>
      </c>
      <c r="R109" s="81" t="s">
        <v>479</v>
      </c>
      <c r="S109" s="81">
        <v>110253</v>
      </c>
      <c r="T109" s="80" t="str">
        <f>REPLACE(INDEX(GroupVertices[Group],MATCH(Edges[[#This Row],[Vertex 1]],GroupVertices[Vertex],0)),1,1,"")</f>
        <v>8</v>
      </c>
      <c r="U109" s="80" t="str">
        <f>REPLACE(INDEX(GroupVertices[Group],MATCH(Edges[[#This Row],[Vertex 2]],GroupVertices[Vertex],0)),1,1,"")</f>
        <v>8</v>
      </c>
      <c r="V109" s="49">
        <v>1</v>
      </c>
      <c r="W109" s="50">
        <v>11.11111111111111</v>
      </c>
      <c r="X109" s="49">
        <v>1</v>
      </c>
      <c r="Y109" s="50">
        <v>11.11111111111111</v>
      </c>
      <c r="Z109" s="49">
        <v>0</v>
      </c>
      <c r="AA109" s="50">
        <v>0</v>
      </c>
      <c r="AB109" s="49">
        <v>7</v>
      </c>
      <c r="AC109" s="50">
        <v>77.77777777777777</v>
      </c>
      <c r="AD109" s="49">
        <v>9</v>
      </c>
    </row>
    <row r="110" spans="1:30" ht="15">
      <c r="A110" s="65" t="s">
        <v>391</v>
      </c>
      <c r="B110" s="65" t="s">
        <v>335</v>
      </c>
      <c r="C110" s="66" t="s">
        <v>1297</v>
      </c>
      <c r="D110" s="67">
        <v>3</v>
      </c>
      <c r="E110" s="68"/>
      <c r="F110" s="69">
        <v>70</v>
      </c>
      <c r="G110" s="66"/>
      <c r="H110" s="70"/>
      <c r="I110" s="71"/>
      <c r="J110" s="71"/>
      <c r="K110" s="35" t="s">
        <v>66</v>
      </c>
      <c r="L110" s="79">
        <v>110</v>
      </c>
      <c r="M110" s="79"/>
      <c r="N110" s="73"/>
      <c r="O110" s="81" t="s">
        <v>444</v>
      </c>
      <c r="P110" s="81">
        <v>1</v>
      </c>
      <c r="Q110" s="81" t="s">
        <v>445</v>
      </c>
      <c r="R110" s="81" t="s">
        <v>521</v>
      </c>
      <c r="S110" s="81">
        <v>231741</v>
      </c>
      <c r="T110" s="80" t="str">
        <f>REPLACE(INDEX(GroupVertices[Group],MATCH(Edges[[#This Row],[Vertex 1]],GroupVertices[Vertex],0)),1,1,"")</f>
        <v>8</v>
      </c>
      <c r="U110" s="80" t="str">
        <f>REPLACE(INDEX(GroupVertices[Group],MATCH(Edges[[#This Row],[Vertex 2]],GroupVertices[Vertex],0)),1,1,"")</f>
        <v>1</v>
      </c>
      <c r="V110" s="49">
        <v>1</v>
      </c>
      <c r="W110" s="50">
        <v>16.666666666666668</v>
      </c>
      <c r="X110" s="49">
        <v>0</v>
      </c>
      <c r="Y110" s="50">
        <v>0</v>
      </c>
      <c r="Z110" s="49">
        <v>0</v>
      </c>
      <c r="AA110" s="50">
        <v>0</v>
      </c>
      <c r="AB110" s="49">
        <v>5</v>
      </c>
      <c r="AC110" s="50">
        <v>83.33333333333333</v>
      </c>
      <c r="AD110" s="49">
        <v>6</v>
      </c>
    </row>
    <row r="111" spans="1:30" ht="15">
      <c r="A111" s="65" t="s">
        <v>335</v>
      </c>
      <c r="B111" s="65" t="s">
        <v>391</v>
      </c>
      <c r="C111" s="66" t="s">
        <v>1297</v>
      </c>
      <c r="D111" s="67">
        <v>3</v>
      </c>
      <c r="E111" s="68"/>
      <c r="F111" s="69">
        <v>70</v>
      </c>
      <c r="G111" s="66"/>
      <c r="H111" s="70"/>
      <c r="I111" s="71"/>
      <c r="J111" s="71"/>
      <c r="K111" s="35" t="s">
        <v>66</v>
      </c>
      <c r="L111" s="79">
        <v>111</v>
      </c>
      <c r="M111" s="79"/>
      <c r="N111" s="73"/>
      <c r="O111" s="81" t="s">
        <v>444</v>
      </c>
      <c r="P111" s="81">
        <v>1</v>
      </c>
      <c r="Q111" s="81" t="s">
        <v>445</v>
      </c>
      <c r="R111" s="81" t="s">
        <v>522</v>
      </c>
      <c r="S111" s="81">
        <v>232000</v>
      </c>
      <c r="T111" s="80" t="str">
        <f>REPLACE(INDEX(GroupVertices[Group],MATCH(Edges[[#This Row],[Vertex 1]],GroupVertices[Vertex],0)),1,1,"")</f>
        <v>1</v>
      </c>
      <c r="U111" s="80" t="str">
        <f>REPLACE(INDEX(GroupVertices[Group],MATCH(Edges[[#This Row],[Vertex 2]],GroupVertices[Vertex],0)),1,1,"")</f>
        <v>8</v>
      </c>
      <c r="V111" s="49">
        <v>1</v>
      </c>
      <c r="W111" s="50">
        <v>25</v>
      </c>
      <c r="X111" s="49">
        <v>0</v>
      </c>
      <c r="Y111" s="50">
        <v>0</v>
      </c>
      <c r="Z111" s="49">
        <v>0</v>
      </c>
      <c r="AA111" s="50">
        <v>0</v>
      </c>
      <c r="AB111" s="49">
        <v>3</v>
      </c>
      <c r="AC111" s="50">
        <v>75</v>
      </c>
      <c r="AD111" s="49">
        <v>4</v>
      </c>
    </row>
    <row r="112" spans="1:30" ht="15">
      <c r="A112" s="65" t="s">
        <v>392</v>
      </c>
      <c r="B112" s="65" t="s">
        <v>391</v>
      </c>
      <c r="C112" s="66" t="s">
        <v>1297</v>
      </c>
      <c r="D112" s="67">
        <v>3</v>
      </c>
      <c r="E112" s="68"/>
      <c r="F112" s="69">
        <v>70</v>
      </c>
      <c r="G112" s="66"/>
      <c r="H112" s="70"/>
      <c r="I112" s="71"/>
      <c r="J112" s="71"/>
      <c r="K112" s="35" t="s">
        <v>65</v>
      </c>
      <c r="L112" s="79">
        <v>112</v>
      </c>
      <c r="M112" s="79"/>
      <c r="N112" s="73"/>
      <c r="O112" s="81" t="s">
        <v>444</v>
      </c>
      <c r="P112" s="81">
        <v>1</v>
      </c>
      <c r="Q112" s="81" t="s">
        <v>445</v>
      </c>
      <c r="R112" s="81" t="s">
        <v>523</v>
      </c>
      <c r="S112" s="81">
        <v>113905</v>
      </c>
      <c r="T112" s="80" t="str">
        <f>REPLACE(INDEX(GroupVertices[Group],MATCH(Edges[[#This Row],[Vertex 1]],GroupVertices[Vertex],0)),1,1,"")</f>
        <v>5</v>
      </c>
      <c r="U112" s="80" t="str">
        <f>REPLACE(INDEX(GroupVertices[Group],MATCH(Edges[[#This Row],[Vertex 2]],GroupVertices[Vertex],0)),1,1,"")</f>
        <v>8</v>
      </c>
      <c r="V112" s="49">
        <v>0</v>
      </c>
      <c r="W112" s="50">
        <v>0</v>
      </c>
      <c r="X112" s="49">
        <v>0</v>
      </c>
      <c r="Y112" s="50">
        <v>0</v>
      </c>
      <c r="Z112" s="49">
        <v>0</v>
      </c>
      <c r="AA112" s="50">
        <v>0</v>
      </c>
      <c r="AB112" s="49">
        <v>22</v>
      </c>
      <c r="AC112" s="50">
        <v>100</v>
      </c>
      <c r="AD112" s="49">
        <v>22</v>
      </c>
    </row>
    <row r="113" spans="1:30" ht="15">
      <c r="A113" s="65" t="s">
        <v>393</v>
      </c>
      <c r="B113" s="65" t="s">
        <v>399</v>
      </c>
      <c r="C113" s="66" t="s">
        <v>1297</v>
      </c>
      <c r="D113" s="67">
        <v>3</v>
      </c>
      <c r="E113" s="68"/>
      <c r="F113" s="69">
        <v>70</v>
      </c>
      <c r="G113" s="66"/>
      <c r="H113" s="70"/>
      <c r="I113" s="71"/>
      <c r="J113" s="71"/>
      <c r="K113" s="35" t="s">
        <v>65</v>
      </c>
      <c r="L113" s="79">
        <v>113</v>
      </c>
      <c r="M113" s="79"/>
      <c r="N113" s="73"/>
      <c r="O113" s="81" t="s">
        <v>444</v>
      </c>
      <c r="P113" s="81">
        <v>1</v>
      </c>
      <c r="Q113" s="81" t="s">
        <v>445</v>
      </c>
      <c r="R113" s="81" t="s">
        <v>524</v>
      </c>
      <c r="S113" s="81">
        <v>117659</v>
      </c>
      <c r="T113" s="80" t="str">
        <f>REPLACE(INDEX(GroupVertices[Group],MATCH(Edges[[#This Row],[Vertex 1]],GroupVertices[Vertex],0)),1,1,"")</f>
        <v>3</v>
      </c>
      <c r="U113" s="80" t="str">
        <f>REPLACE(INDEX(GroupVertices[Group],MATCH(Edges[[#This Row],[Vertex 2]],GroupVertices[Vertex],0)),1,1,"")</f>
        <v>3</v>
      </c>
      <c r="V113" s="49">
        <v>0</v>
      </c>
      <c r="W113" s="50">
        <v>0</v>
      </c>
      <c r="X113" s="49">
        <v>0</v>
      </c>
      <c r="Y113" s="50">
        <v>0</v>
      </c>
      <c r="Z113" s="49">
        <v>0</v>
      </c>
      <c r="AA113" s="50">
        <v>0</v>
      </c>
      <c r="AB113" s="49">
        <v>1</v>
      </c>
      <c r="AC113" s="50">
        <v>100</v>
      </c>
      <c r="AD113" s="49">
        <v>1</v>
      </c>
    </row>
    <row r="114" spans="1:30" ht="15">
      <c r="A114" s="65" t="s">
        <v>393</v>
      </c>
      <c r="B114" s="65" t="s">
        <v>393</v>
      </c>
      <c r="C114" s="66" t="s">
        <v>1297</v>
      </c>
      <c r="D114" s="67">
        <v>3</v>
      </c>
      <c r="E114" s="68"/>
      <c r="F114" s="69">
        <v>70</v>
      </c>
      <c r="G114" s="66"/>
      <c r="H114" s="70"/>
      <c r="I114" s="71"/>
      <c r="J114" s="71"/>
      <c r="K114" s="35" t="s">
        <v>65</v>
      </c>
      <c r="L114" s="79">
        <v>114</v>
      </c>
      <c r="M114" s="79"/>
      <c r="N114" s="73"/>
      <c r="O114" s="81" t="s">
        <v>444</v>
      </c>
      <c r="P114" s="81">
        <v>1</v>
      </c>
      <c r="Q114" s="81" t="s">
        <v>445</v>
      </c>
      <c r="R114" s="81" t="s">
        <v>524</v>
      </c>
      <c r="S114" s="81">
        <v>117860</v>
      </c>
      <c r="T114" s="80" t="str">
        <f>REPLACE(INDEX(GroupVertices[Group],MATCH(Edges[[#This Row],[Vertex 1]],GroupVertices[Vertex],0)),1,1,"")</f>
        <v>3</v>
      </c>
      <c r="U114" s="80" t="str">
        <f>REPLACE(INDEX(GroupVertices[Group],MATCH(Edges[[#This Row],[Vertex 2]],GroupVertices[Vertex],0)),1,1,"")</f>
        <v>3</v>
      </c>
      <c r="V114" s="49">
        <v>0</v>
      </c>
      <c r="W114" s="50">
        <v>0</v>
      </c>
      <c r="X114" s="49">
        <v>0</v>
      </c>
      <c r="Y114" s="50">
        <v>0</v>
      </c>
      <c r="Z114" s="49">
        <v>0</v>
      </c>
      <c r="AA114" s="50">
        <v>0</v>
      </c>
      <c r="AB114" s="49">
        <v>1</v>
      </c>
      <c r="AC114" s="50">
        <v>100</v>
      </c>
      <c r="AD114" s="49">
        <v>1</v>
      </c>
    </row>
    <row r="115" spans="1:30" ht="15">
      <c r="A115" s="65" t="s">
        <v>394</v>
      </c>
      <c r="B115" s="65" t="s">
        <v>393</v>
      </c>
      <c r="C115" s="66" t="s">
        <v>1297</v>
      </c>
      <c r="D115" s="67">
        <v>3</v>
      </c>
      <c r="E115" s="68"/>
      <c r="F115" s="69">
        <v>70</v>
      </c>
      <c r="G115" s="66"/>
      <c r="H115" s="70"/>
      <c r="I115" s="71"/>
      <c r="J115" s="71"/>
      <c r="K115" s="35" t="s">
        <v>65</v>
      </c>
      <c r="L115" s="79">
        <v>115</v>
      </c>
      <c r="M115" s="79"/>
      <c r="N115" s="73"/>
      <c r="O115" s="81" t="s">
        <v>444</v>
      </c>
      <c r="P115" s="81">
        <v>1</v>
      </c>
      <c r="Q115" s="81" t="s">
        <v>445</v>
      </c>
      <c r="R115" s="81" t="s">
        <v>525</v>
      </c>
      <c r="S115" s="81">
        <v>117112</v>
      </c>
      <c r="T115" s="80" t="str">
        <f>REPLACE(INDEX(GroupVertices[Group],MATCH(Edges[[#This Row],[Vertex 1]],GroupVertices[Vertex],0)),1,1,"")</f>
        <v>3</v>
      </c>
      <c r="U115" s="80" t="str">
        <f>REPLACE(INDEX(GroupVertices[Group],MATCH(Edges[[#This Row],[Vertex 2]],GroupVertices[Vertex],0)),1,1,"")</f>
        <v>3</v>
      </c>
      <c r="V115" s="49">
        <v>0</v>
      </c>
      <c r="W115" s="50">
        <v>0</v>
      </c>
      <c r="X115" s="49">
        <v>0</v>
      </c>
      <c r="Y115" s="50">
        <v>0</v>
      </c>
      <c r="Z115" s="49">
        <v>0</v>
      </c>
      <c r="AA115" s="50">
        <v>0</v>
      </c>
      <c r="AB115" s="49">
        <v>37</v>
      </c>
      <c r="AC115" s="50">
        <v>100</v>
      </c>
      <c r="AD115" s="49">
        <v>37</v>
      </c>
    </row>
    <row r="116" spans="1:30" ht="15">
      <c r="A116" s="65" t="s">
        <v>394</v>
      </c>
      <c r="B116" s="65" t="s">
        <v>392</v>
      </c>
      <c r="C116" s="66" t="s">
        <v>1297</v>
      </c>
      <c r="D116" s="67">
        <v>3</v>
      </c>
      <c r="E116" s="68"/>
      <c r="F116" s="69">
        <v>70</v>
      </c>
      <c r="G116" s="66"/>
      <c r="H116" s="70"/>
      <c r="I116" s="71"/>
      <c r="J116" s="71"/>
      <c r="K116" s="35" t="s">
        <v>66</v>
      </c>
      <c r="L116" s="79">
        <v>116</v>
      </c>
      <c r="M116" s="79"/>
      <c r="N116" s="73"/>
      <c r="O116" s="81" t="s">
        <v>444</v>
      </c>
      <c r="P116" s="81">
        <v>1</v>
      </c>
      <c r="Q116" s="81" t="s">
        <v>445</v>
      </c>
      <c r="R116" s="81" t="s">
        <v>520</v>
      </c>
      <c r="S116" s="81">
        <v>114131</v>
      </c>
      <c r="T116" s="80" t="str">
        <f>REPLACE(INDEX(GroupVertices[Group],MATCH(Edges[[#This Row],[Vertex 1]],GroupVertices[Vertex],0)),1,1,"")</f>
        <v>3</v>
      </c>
      <c r="U116" s="80" t="str">
        <f>REPLACE(INDEX(GroupVertices[Group],MATCH(Edges[[#This Row],[Vertex 2]],GroupVertices[Vertex],0)),1,1,"")</f>
        <v>5</v>
      </c>
      <c r="V116" s="49">
        <v>0</v>
      </c>
      <c r="W116" s="50">
        <v>0</v>
      </c>
      <c r="X116" s="49">
        <v>0</v>
      </c>
      <c r="Y116" s="50">
        <v>0</v>
      </c>
      <c r="Z116" s="49">
        <v>0</v>
      </c>
      <c r="AA116" s="50">
        <v>0</v>
      </c>
      <c r="AB116" s="49">
        <v>16</v>
      </c>
      <c r="AC116" s="50">
        <v>100</v>
      </c>
      <c r="AD116" s="49">
        <v>16</v>
      </c>
    </row>
    <row r="117" spans="1:30" ht="15">
      <c r="A117" s="65" t="s">
        <v>394</v>
      </c>
      <c r="B117" s="65" t="s">
        <v>394</v>
      </c>
      <c r="C117" s="66" t="s">
        <v>1297</v>
      </c>
      <c r="D117" s="67">
        <v>3</v>
      </c>
      <c r="E117" s="68"/>
      <c r="F117" s="69">
        <v>70</v>
      </c>
      <c r="G117" s="66"/>
      <c r="H117" s="70"/>
      <c r="I117" s="71"/>
      <c r="J117" s="71"/>
      <c r="K117" s="35" t="s">
        <v>65</v>
      </c>
      <c r="L117" s="79">
        <v>117</v>
      </c>
      <c r="M117" s="79"/>
      <c r="N117" s="73"/>
      <c r="O117" s="81" t="s">
        <v>444</v>
      </c>
      <c r="P117" s="81">
        <v>1</v>
      </c>
      <c r="Q117" s="81" t="s">
        <v>445</v>
      </c>
      <c r="R117" s="81" t="s">
        <v>520</v>
      </c>
      <c r="S117" s="81">
        <v>114836</v>
      </c>
      <c r="T117" s="80" t="str">
        <f>REPLACE(INDEX(GroupVertices[Group],MATCH(Edges[[#This Row],[Vertex 1]],GroupVertices[Vertex],0)),1,1,"")</f>
        <v>3</v>
      </c>
      <c r="U117" s="80" t="str">
        <f>REPLACE(INDEX(GroupVertices[Group],MATCH(Edges[[#This Row],[Vertex 2]],GroupVertices[Vertex],0)),1,1,"")</f>
        <v>3</v>
      </c>
      <c r="V117" s="49">
        <v>0</v>
      </c>
      <c r="W117" s="50">
        <v>0</v>
      </c>
      <c r="X117" s="49">
        <v>0</v>
      </c>
      <c r="Y117" s="50">
        <v>0</v>
      </c>
      <c r="Z117" s="49">
        <v>0</v>
      </c>
      <c r="AA117" s="50">
        <v>0</v>
      </c>
      <c r="AB117" s="49">
        <v>16</v>
      </c>
      <c r="AC117" s="50">
        <v>100</v>
      </c>
      <c r="AD117" s="49">
        <v>16</v>
      </c>
    </row>
    <row r="118" spans="1:30" ht="15">
      <c r="A118" s="65" t="s">
        <v>392</v>
      </c>
      <c r="B118" s="65" t="s">
        <v>394</v>
      </c>
      <c r="C118" s="66" t="s">
        <v>1297</v>
      </c>
      <c r="D118" s="67">
        <v>3</v>
      </c>
      <c r="E118" s="68"/>
      <c r="F118" s="69">
        <v>70</v>
      </c>
      <c r="G118" s="66"/>
      <c r="H118" s="70"/>
      <c r="I118" s="71"/>
      <c r="J118" s="71"/>
      <c r="K118" s="35" t="s">
        <v>66</v>
      </c>
      <c r="L118" s="79">
        <v>118</v>
      </c>
      <c r="M118" s="79"/>
      <c r="N118" s="73"/>
      <c r="O118" s="81" t="s">
        <v>444</v>
      </c>
      <c r="P118" s="81">
        <v>1</v>
      </c>
      <c r="Q118" s="81" t="s">
        <v>445</v>
      </c>
      <c r="R118" s="81" t="s">
        <v>526</v>
      </c>
      <c r="S118" s="81">
        <v>115136</v>
      </c>
      <c r="T118" s="80" t="str">
        <f>REPLACE(INDEX(GroupVertices[Group],MATCH(Edges[[#This Row],[Vertex 1]],GroupVertices[Vertex],0)),1,1,"")</f>
        <v>5</v>
      </c>
      <c r="U118" s="80" t="str">
        <f>REPLACE(INDEX(GroupVertices[Group],MATCH(Edges[[#This Row],[Vertex 2]],GroupVertices[Vertex],0)),1,1,"")</f>
        <v>3</v>
      </c>
      <c r="V118" s="49">
        <v>0</v>
      </c>
      <c r="W118" s="50">
        <v>0</v>
      </c>
      <c r="X118" s="49">
        <v>0</v>
      </c>
      <c r="Y118" s="50">
        <v>0</v>
      </c>
      <c r="Z118" s="49">
        <v>0</v>
      </c>
      <c r="AA118" s="50">
        <v>0</v>
      </c>
      <c r="AB118" s="49">
        <v>17</v>
      </c>
      <c r="AC118" s="50">
        <v>100</v>
      </c>
      <c r="AD118" s="49">
        <v>17</v>
      </c>
    </row>
    <row r="119" spans="1:30" ht="15">
      <c r="A119" s="65" t="s">
        <v>348</v>
      </c>
      <c r="B119" s="65" t="s">
        <v>394</v>
      </c>
      <c r="C119" s="66" t="s">
        <v>1297</v>
      </c>
      <c r="D119" s="67">
        <v>3</v>
      </c>
      <c r="E119" s="68"/>
      <c r="F119" s="69">
        <v>70</v>
      </c>
      <c r="G119" s="66"/>
      <c r="H119" s="70"/>
      <c r="I119" s="71"/>
      <c r="J119" s="71"/>
      <c r="K119" s="35" t="s">
        <v>65</v>
      </c>
      <c r="L119" s="79">
        <v>119</v>
      </c>
      <c r="M119" s="79"/>
      <c r="N119" s="73"/>
      <c r="O119" s="81" t="s">
        <v>444</v>
      </c>
      <c r="P119" s="81">
        <v>1</v>
      </c>
      <c r="Q119" s="81" t="s">
        <v>445</v>
      </c>
      <c r="R119" s="81" t="s">
        <v>524</v>
      </c>
      <c r="S119" s="81">
        <v>117456</v>
      </c>
      <c r="T119" s="80" t="str">
        <f>REPLACE(INDEX(GroupVertices[Group],MATCH(Edges[[#This Row],[Vertex 1]],GroupVertices[Vertex],0)),1,1,"")</f>
        <v>3</v>
      </c>
      <c r="U119" s="80" t="str">
        <f>REPLACE(INDEX(GroupVertices[Group],MATCH(Edges[[#This Row],[Vertex 2]],GroupVertices[Vertex],0)),1,1,"")</f>
        <v>3</v>
      </c>
      <c r="V119" s="49">
        <v>0</v>
      </c>
      <c r="W119" s="50">
        <v>0</v>
      </c>
      <c r="X119" s="49">
        <v>0</v>
      </c>
      <c r="Y119" s="50">
        <v>0</v>
      </c>
      <c r="Z119" s="49">
        <v>0</v>
      </c>
      <c r="AA119" s="50">
        <v>0</v>
      </c>
      <c r="AB119" s="49">
        <v>1</v>
      </c>
      <c r="AC119" s="50">
        <v>100</v>
      </c>
      <c r="AD119" s="49">
        <v>1</v>
      </c>
    </row>
    <row r="120" spans="1:30" ht="15">
      <c r="A120" s="65" t="s">
        <v>356</v>
      </c>
      <c r="B120" s="65" t="s">
        <v>362</v>
      </c>
      <c r="C120" s="66" t="s">
        <v>1297</v>
      </c>
      <c r="D120" s="67">
        <v>3</v>
      </c>
      <c r="E120" s="68"/>
      <c r="F120" s="69">
        <v>70</v>
      </c>
      <c r="G120" s="66"/>
      <c r="H120" s="70"/>
      <c r="I120" s="71"/>
      <c r="J120" s="71"/>
      <c r="K120" s="35" t="s">
        <v>65</v>
      </c>
      <c r="L120" s="79">
        <v>120</v>
      </c>
      <c r="M120" s="79"/>
      <c r="N120" s="73"/>
      <c r="O120" s="81" t="s">
        <v>444</v>
      </c>
      <c r="P120" s="81">
        <v>1</v>
      </c>
      <c r="Q120" s="81" t="s">
        <v>445</v>
      </c>
      <c r="R120" s="81" t="s">
        <v>527</v>
      </c>
      <c r="S120" s="81">
        <v>195490</v>
      </c>
      <c r="T120" s="80" t="str">
        <f>REPLACE(INDEX(GroupVertices[Group],MATCH(Edges[[#This Row],[Vertex 1]],GroupVertices[Vertex],0)),1,1,"")</f>
        <v>2</v>
      </c>
      <c r="U120" s="80" t="str">
        <f>REPLACE(INDEX(GroupVertices[Group],MATCH(Edges[[#This Row],[Vertex 2]],GroupVertices[Vertex],0)),1,1,"")</f>
        <v>2</v>
      </c>
      <c r="V120" s="49">
        <v>1</v>
      </c>
      <c r="W120" s="50">
        <v>4.761904761904762</v>
      </c>
      <c r="X120" s="49">
        <v>1</v>
      </c>
      <c r="Y120" s="50">
        <v>4.761904761904762</v>
      </c>
      <c r="Z120" s="49">
        <v>0</v>
      </c>
      <c r="AA120" s="50">
        <v>0</v>
      </c>
      <c r="AB120" s="49">
        <v>19</v>
      </c>
      <c r="AC120" s="50">
        <v>90.47619047619048</v>
      </c>
      <c r="AD120" s="49">
        <v>21</v>
      </c>
    </row>
    <row r="121" spans="1:30" ht="15">
      <c r="A121" s="65" t="s">
        <v>362</v>
      </c>
      <c r="B121" s="65" t="s">
        <v>355</v>
      </c>
      <c r="C121" s="66" t="s">
        <v>1297</v>
      </c>
      <c r="D121" s="67">
        <v>3</v>
      </c>
      <c r="E121" s="68"/>
      <c r="F121" s="69">
        <v>70</v>
      </c>
      <c r="G121" s="66"/>
      <c r="H121" s="70"/>
      <c r="I121" s="71"/>
      <c r="J121" s="71"/>
      <c r="K121" s="35" t="s">
        <v>65</v>
      </c>
      <c r="L121" s="79">
        <v>121</v>
      </c>
      <c r="M121" s="79"/>
      <c r="N121" s="73"/>
      <c r="O121" s="81" t="s">
        <v>444</v>
      </c>
      <c r="P121" s="81">
        <v>1</v>
      </c>
      <c r="Q121" s="81" t="s">
        <v>445</v>
      </c>
      <c r="R121" s="81" t="s">
        <v>528</v>
      </c>
      <c r="S121" s="81">
        <v>114968</v>
      </c>
      <c r="T121" s="80" t="str">
        <f>REPLACE(INDEX(GroupVertices[Group],MATCH(Edges[[#This Row],[Vertex 1]],GroupVertices[Vertex],0)),1,1,"")</f>
        <v>2</v>
      </c>
      <c r="U121" s="80" t="str">
        <f>REPLACE(INDEX(GroupVertices[Group],MATCH(Edges[[#This Row],[Vertex 2]],GroupVertices[Vertex],0)),1,1,"")</f>
        <v>2</v>
      </c>
      <c r="V121" s="49">
        <v>0</v>
      </c>
      <c r="W121" s="50">
        <v>0</v>
      </c>
      <c r="X121" s="49">
        <v>0</v>
      </c>
      <c r="Y121" s="50">
        <v>0</v>
      </c>
      <c r="Z121" s="49">
        <v>0</v>
      </c>
      <c r="AA121" s="50">
        <v>0</v>
      </c>
      <c r="AB121" s="49">
        <v>4</v>
      </c>
      <c r="AC121" s="50">
        <v>100</v>
      </c>
      <c r="AD121" s="49">
        <v>4</v>
      </c>
    </row>
    <row r="122" spans="1:30" ht="15">
      <c r="A122" s="65" t="s">
        <v>379</v>
      </c>
      <c r="B122" s="65" t="s">
        <v>362</v>
      </c>
      <c r="C122" s="66" t="s">
        <v>1297</v>
      </c>
      <c r="D122" s="67">
        <v>3</v>
      </c>
      <c r="E122" s="68"/>
      <c r="F122" s="69">
        <v>70</v>
      </c>
      <c r="G122" s="66"/>
      <c r="H122" s="70"/>
      <c r="I122" s="71"/>
      <c r="J122" s="71"/>
      <c r="K122" s="35" t="s">
        <v>65</v>
      </c>
      <c r="L122" s="79">
        <v>122</v>
      </c>
      <c r="M122" s="79"/>
      <c r="N122" s="73"/>
      <c r="O122" s="81" t="s">
        <v>444</v>
      </c>
      <c r="P122" s="81">
        <v>1</v>
      </c>
      <c r="Q122" s="81" t="s">
        <v>445</v>
      </c>
      <c r="R122" s="81" t="s">
        <v>529</v>
      </c>
      <c r="S122" s="81">
        <v>114528</v>
      </c>
      <c r="T122" s="80" t="str">
        <f>REPLACE(INDEX(GroupVertices[Group],MATCH(Edges[[#This Row],[Vertex 1]],GroupVertices[Vertex],0)),1,1,"")</f>
        <v>1</v>
      </c>
      <c r="U122" s="80" t="str">
        <f>REPLACE(INDEX(GroupVertices[Group],MATCH(Edges[[#This Row],[Vertex 2]],GroupVertices[Vertex],0)),1,1,"")</f>
        <v>2</v>
      </c>
      <c r="V122" s="49">
        <v>0</v>
      </c>
      <c r="W122" s="50">
        <v>0</v>
      </c>
      <c r="X122" s="49">
        <v>0</v>
      </c>
      <c r="Y122" s="50">
        <v>0</v>
      </c>
      <c r="Z122" s="49">
        <v>0</v>
      </c>
      <c r="AA122" s="50">
        <v>0</v>
      </c>
      <c r="AB122" s="49">
        <v>38</v>
      </c>
      <c r="AC122" s="50">
        <v>100</v>
      </c>
      <c r="AD122" s="49">
        <v>38</v>
      </c>
    </row>
    <row r="123" spans="1:30" ht="15">
      <c r="A123" s="65" t="s">
        <v>395</v>
      </c>
      <c r="B123" s="65" t="s">
        <v>396</v>
      </c>
      <c r="C123" s="66" t="s">
        <v>1297</v>
      </c>
      <c r="D123" s="67">
        <v>3</v>
      </c>
      <c r="E123" s="68"/>
      <c r="F123" s="69">
        <v>70</v>
      </c>
      <c r="G123" s="66"/>
      <c r="H123" s="70"/>
      <c r="I123" s="71"/>
      <c r="J123" s="71"/>
      <c r="K123" s="35" t="s">
        <v>66</v>
      </c>
      <c r="L123" s="79">
        <v>123</v>
      </c>
      <c r="M123" s="79"/>
      <c r="N123" s="73"/>
      <c r="O123" s="81" t="s">
        <v>444</v>
      </c>
      <c r="P123" s="81">
        <v>1</v>
      </c>
      <c r="Q123" s="81" t="s">
        <v>445</v>
      </c>
      <c r="R123" s="81" t="s">
        <v>530</v>
      </c>
      <c r="S123" s="81">
        <v>113388</v>
      </c>
      <c r="T123" s="80" t="str">
        <f>REPLACE(INDEX(GroupVertices[Group],MATCH(Edges[[#This Row],[Vertex 1]],GroupVertices[Vertex],0)),1,1,"")</f>
        <v>4</v>
      </c>
      <c r="U123" s="80" t="str">
        <f>REPLACE(INDEX(GroupVertices[Group],MATCH(Edges[[#This Row],[Vertex 2]],GroupVertices[Vertex],0)),1,1,"")</f>
        <v>4</v>
      </c>
      <c r="V123" s="49">
        <v>0</v>
      </c>
      <c r="W123" s="50">
        <v>0</v>
      </c>
      <c r="X123" s="49">
        <v>0</v>
      </c>
      <c r="Y123" s="50">
        <v>0</v>
      </c>
      <c r="Z123" s="49">
        <v>0</v>
      </c>
      <c r="AA123" s="50">
        <v>0</v>
      </c>
      <c r="AB123" s="49">
        <v>14</v>
      </c>
      <c r="AC123" s="50">
        <v>100</v>
      </c>
      <c r="AD123" s="49">
        <v>14</v>
      </c>
    </row>
    <row r="124" spans="1:30" ht="15">
      <c r="A124" s="65" t="s">
        <v>396</v>
      </c>
      <c r="B124" s="65" t="s">
        <v>395</v>
      </c>
      <c r="C124" s="66" t="s">
        <v>1297</v>
      </c>
      <c r="D124" s="67">
        <v>3</v>
      </c>
      <c r="E124" s="68"/>
      <c r="F124" s="69">
        <v>70</v>
      </c>
      <c r="G124" s="66"/>
      <c r="H124" s="70"/>
      <c r="I124" s="71"/>
      <c r="J124" s="71"/>
      <c r="K124" s="35" t="s">
        <v>66</v>
      </c>
      <c r="L124" s="79">
        <v>124</v>
      </c>
      <c r="M124" s="79"/>
      <c r="N124" s="73"/>
      <c r="O124" s="81" t="s">
        <v>444</v>
      </c>
      <c r="P124" s="81">
        <v>1</v>
      </c>
      <c r="Q124" s="81" t="s">
        <v>445</v>
      </c>
      <c r="R124" s="81" t="s">
        <v>531</v>
      </c>
      <c r="S124" s="81">
        <v>113844</v>
      </c>
      <c r="T124" s="80" t="str">
        <f>REPLACE(INDEX(GroupVertices[Group],MATCH(Edges[[#This Row],[Vertex 1]],GroupVertices[Vertex],0)),1,1,"")</f>
        <v>4</v>
      </c>
      <c r="U124" s="80" t="str">
        <f>REPLACE(INDEX(GroupVertices[Group],MATCH(Edges[[#This Row],[Vertex 2]],GroupVertices[Vertex],0)),1,1,"")</f>
        <v>4</v>
      </c>
      <c r="V124" s="49">
        <v>0</v>
      </c>
      <c r="W124" s="50">
        <v>0</v>
      </c>
      <c r="X124" s="49">
        <v>0</v>
      </c>
      <c r="Y124" s="50">
        <v>0</v>
      </c>
      <c r="Z124" s="49">
        <v>0</v>
      </c>
      <c r="AA124" s="50">
        <v>0</v>
      </c>
      <c r="AB124" s="49">
        <v>17</v>
      </c>
      <c r="AC124" s="50">
        <v>100</v>
      </c>
      <c r="AD124" s="49">
        <v>17</v>
      </c>
    </row>
    <row r="125" spans="1:30" ht="15">
      <c r="A125" s="65" t="s">
        <v>397</v>
      </c>
      <c r="B125" s="65" t="s">
        <v>377</v>
      </c>
      <c r="C125" s="66" t="s">
        <v>1297</v>
      </c>
      <c r="D125" s="67">
        <v>3</v>
      </c>
      <c r="E125" s="68"/>
      <c r="F125" s="69">
        <v>70</v>
      </c>
      <c r="G125" s="66"/>
      <c r="H125" s="70"/>
      <c r="I125" s="71"/>
      <c r="J125" s="71"/>
      <c r="K125" s="35" t="s">
        <v>65</v>
      </c>
      <c r="L125" s="79">
        <v>125</v>
      </c>
      <c r="M125" s="79"/>
      <c r="N125" s="73"/>
      <c r="O125" s="81" t="s">
        <v>444</v>
      </c>
      <c r="P125" s="81">
        <v>1</v>
      </c>
      <c r="Q125" s="81" t="s">
        <v>445</v>
      </c>
      <c r="R125" s="81" t="s">
        <v>532</v>
      </c>
      <c r="S125" s="81">
        <v>117049</v>
      </c>
      <c r="T125" s="80" t="str">
        <f>REPLACE(INDEX(GroupVertices[Group],MATCH(Edges[[#This Row],[Vertex 1]],GroupVertices[Vertex],0)),1,1,"")</f>
        <v>5</v>
      </c>
      <c r="U125" s="80" t="str">
        <f>REPLACE(INDEX(GroupVertices[Group],MATCH(Edges[[#This Row],[Vertex 2]],GroupVertices[Vertex],0)),1,1,"")</f>
        <v>4</v>
      </c>
      <c r="V125" s="49">
        <v>1</v>
      </c>
      <c r="W125" s="50">
        <v>3.4482758620689653</v>
      </c>
      <c r="X125" s="49">
        <v>0</v>
      </c>
      <c r="Y125" s="50">
        <v>0</v>
      </c>
      <c r="Z125" s="49">
        <v>0</v>
      </c>
      <c r="AA125" s="50">
        <v>0</v>
      </c>
      <c r="AB125" s="49">
        <v>28</v>
      </c>
      <c r="AC125" s="50">
        <v>96.55172413793103</v>
      </c>
      <c r="AD125" s="49">
        <v>29</v>
      </c>
    </row>
    <row r="126" spans="1:30" ht="15">
      <c r="A126" s="65" t="s">
        <v>398</v>
      </c>
      <c r="B126" s="65" t="s">
        <v>397</v>
      </c>
      <c r="C126" s="66" t="s">
        <v>1297</v>
      </c>
      <c r="D126" s="67">
        <v>3</v>
      </c>
      <c r="E126" s="68"/>
      <c r="F126" s="69">
        <v>70</v>
      </c>
      <c r="G126" s="66"/>
      <c r="H126" s="70"/>
      <c r="I126" s="71"/>
      <c r="J126" s="71"/>
      <c r="K126" s="35" t="s">
        <v>65</v>
      </c>
      <c r="L126" s="79">
        <v>126</v>
      </c>
      <c r="M126" s="79"/>
      <c r="N126" s="73"/>
      <c r="O126" s="81" t="s">
        <v>444</v>
      </c>
      <c r="P126" s="81">
        <v>1</v>
      </c>
      <c r="Q126" s="81" t="s">
        <v>445</v>
      </c>
      <c r="R126" s="81" t="s">
        <v>520</v>
      </c>
      <c r="S126" s="81">
        <v>117743</v>
      </c>
      <c r="T126" s="80" t="str">
        <f>REPLACE(INDEX(GroupVertices[Group],MATCH(Edges[[#This Row],[Vertex 1]],GroupVertices[Vertex],0)),1,1,"")</f>
        <v>5</v>
      </c>
      <c r="U126" s="80" t="str">
        <f>REPLACE(INDEX(GroupVertices[Group],MATCH(Edges[[#This Row],[Vertex 2]],GroupVertices[Vertex],0)),1,1,"")</f>
        <v>5</v>
      </c>
      <c r="V126" s="49">
        <v>0</v>
      </c>
      <c r="W126" s="50">
        <v>0</v>
      </c>
      <c r="X126" s="49">
        <v>0</v>
      </c>
      <c r="Y126" s="50">
        <v>0</v>
      </c>
      <c r="Z126" s="49">
        <v>0</v>
      </c>
      <c r="AA126" s="50">
        <v>0</v>
      </c>
      <c r="AB126" s="49">
        <v>16</v>
      </c>
      <c r="AC126" s="50">
        <v>100</v>
      </c>
      <c r="AD126" s="49">
        <v>16</v>
      </c>
    </row>
    <row r="127" spans="1:30" ht="15">
      <c r="A127" s="65" t="s">
        <v>396</v>
      </c>
      <c r="B127" s="65" t="s">
        <v>377</v>
      </c>
      <c r="C127" s="66" t="s">
        <v>1297</v>
      </c>
      <c r="D127" s="67">
        <v>3</v>
      </c>
      <c r="E127" s="68"/>
      <c r="F127" s="69">
        <v>70</v>
      </c>
      <c r="G127" s="66"/>
      <c r="H127" s="70"/>
      <c r="I127" s="71"/>
      <c r="J127" s="71"/>
      <c r="K127" s="35" t="s">
        <v>65</v>
      </c>
      <c r="L127" s="79">
        <v>127</v>
      </c>
      <c r="M127" s="79"/>
      <c r="N127" s="73"/>
      <c r="O127" s="81" t="s">
        <v>444</v>
      </c>
      <c r="P127" s="81">
        <v>1</v>
      </c>
      <c r="Q127" s="81" t="s">
        <v>445</v>
      </c>
      <c r="R127" s="81" t="s">
        <v>533</v>
      </c>
      <c r="S127" s="81">
        <v>113158</v>
      </c>
      <c r="T127" s="80" t="str">
        <f>REPLACE(INDEX(GroupVertices[Group],MATCH(Edges[[#This Row],[Vertex 1]],GroupVertices[Vertex],0)),1,1,"")</f>
        <v>4</v>
      </c>
      <c r="U127" s="80" t="str">
        <f>REPLACE(INDEX(GroupVertices[Group],MATCH(Edges[[#This Row],[Vertex 2]],GroupVertices[Vertex],0)),1,1,"")</f>
        <v>4</v>
      </c>
      <c r="V127" s="49">
        <v>0</v>
      </c>
      <c r="W127" s="50">
        <v>0</v>
      </c>
      <c r="X127" s="49">
        <v>0</v>
      </c>
      <c r="Y127" s="50">
        <v>0</v>
      </c>
      <c r="Z127" s="49">
        <v>0</v>
      </c>
      <c r="AA127" s="50">
        <v>0</v>
      </c>
      <c r="AB127" s="49">
        <v>17</v>
      </c>
      <c r="AC127" s="50">
        <v>100</v>
      </c>
      <c r="AD127" s="49">
        <v>17</v>
      </c>
    </row>
    <row r="128" spans="1:30" ht="15">
      <c r="A128" s="65" t="s">
        <v>399</v>
      </c>
      <c r="B128" s="65" t="s">
        <v>396</v>
      </c>
      <c r="C128" s="66" t="s">
        <v>1297</v>
      </c>
      <c r="D128" s="67">
        <v>3</v>
      </c>
      <c r="E128" s="68"/>
      <c r="F128" s="69">
        <v>70</v>
      </c>
      <c r="G128" s="66"/>
      <c r="H128" s="70"/>
      <c r="I128" s="71"/>
      <c r="J128" s="71"/>
      <c r="K128" s="35" t="s">
        <v>65</v>
      </c>
      <c r="L128" s="79">
        <v>128</v>
      </c>
      <c r="M128" s="79"/>
      <c r="N128" s="73"/>
      <c r="O128" s="81" t="s">
        <v>444</v>
      </c>
      <c r="P128" s="81">
        <v>1</v>
      </c>
      <c r="Q128" s="81" t="s">
        <v>445</v>
      </c>
      <c r="R128" s="81" t="s">
        <v>534</v>
      </c>
      <c r="S128" s="81">
        <v>114254</v>
      </c>
      <c r="T128" s="80" t="str">
        <f>REPLACE(INDEX(GroupVertices[Group],MATCH(Edges[[#This Row],[Vertex 1]],GroupVertices[Vertex],0)),1,1,"")</f>
        <v>3</v>
      </c>
      <c r="U128" s="80" t="str">
        <f>REPLACE(INDEX(GroupVertices[Group],MATCH(Edges[[#This Row],[Vertex 2]],GroupVertices[Vertex],0)),1,1,"")</f>
        <v>4</v>
      </c>
      <c r="V128" s="49">
        <v>0</v>
      </c>
      <c r="W128" s="50">
        <v>0</v>
      </c>
      <c r="X128" s="49">
        <v>0</v>
      </c>
      <c r="Y128" s="50">
        <v>0</v>
      </c>
      <c r="Z128" s="49">
        <v>0</v>
      </c>
      <c r="AA128" s="50">
        <v>0</v>
      </c>
      <c r="AB128" s="49">
        <v>2</v>
      </c>
      <c r="AC128" s="50">
        <v>100</v>
      </c>
      <c r="AD128" s="49">
        <v>2</v>
      </c>
    </row>
    <row r="129" spans="1:30" ht="15">
      <c r="A129" s="65" t="s">
        <v>396</v>
      </c>
      <c r="B129" s="65" t="s">
        <v>392</v>
      </c>
      <c r="C129" s="66" t="s">
        <v>1297</v>
      </c>
      <c r="D129" s="67">
        <v>3</v>
      </c>
      <c r="E129" s="68"/>
      <c r="F129" s="69">
        <v>70</v>
      </c>
      <c r="G129" s="66"/>
      <c r="H129" s="70"/>
      <c r="I129" s="71"/>
      <c r="J129" s="71"/>
      <c r="K129" s="35" t="s">
        <v>66</v>
      </c>
      <c r="L129" s="79">
        <v>129</v>
      </c>
      <c r="M129" s="79"/>
      <c r="N129" s="73"/>
      <c r="O129" s="81" t="s">
        <v>444</v>
      </c>
      <c r="P129" s="81">
        <v>1</v>
      </c>
      <c r="Q129" s="81" t="s">
        <v>445</v>
      </c>
      <c r="R129" s="81" t="s">
        <v>535</v>
      </c>
      <c r="S129" s="81">
        <v>115552</v>
      </c>
      <c r="T129" s="80" t="str">
        <f>REPLACE(INDEX(GroupVertices[Group],MATCH(Edges[[#This Row],[Vertex 1]],GroupVertices[Vertex],0)),1,1,"")</f>
        <v>4</v>
      </c>
      <c r="U129" s="80" t="str">
        <f>REPLACE(INDEX(GroupVertices[Group],MATCH(Edges[[#This Row],[Vertex 2]],GroupVertices[Vertex],0)),1,1,"")</f>
        <v>5</v>
      </c>
      <c r="V129" s="49">
        <v>0</v>
      </c>
      <c r="W129" s="50">
        <v>0</v>
      </c>
      <c r="X129" s="49">
        <v>0</v>
      </c>
      <c r="Y129" s="50">
        <v>0</v>
      </c>
      <c r="Z129" s="49">
        <v>0</v>
      </c>
      <c r="AA129" s="50">
        <v>0</v>
      </c>
      <c r="AB129" s="49">
        <v>17</v>
      </c>
      <c r="AC129" s="50">
        <v>100</v>
      </c>
      <c r="AD129" s="49">
        <v>17</v>
      </c>
    </row>
    <row r="130" spans="1:30" ht="15">
      <c r="A130" s="65" t="s">
        <v>396</v>
      </c>
      <c r="B130" s="65" t="s">
        <v>396</v>
      </c>
      <c r="C130" s="66" t="s">
        <v>1297</v>
      </c>
      <c r="D130" s="67">
        <v>3</v>
      </c>
      <c r="E130" s="68"/>
      <c r="F130" s="69">
        <v>70</v>
      </c>
      <c r="G130" s="66"/>
      <c r="H130" s="70"/>
      <c r="I130" s="71"/>
      <c r="J130" s="71"/>
      <c r="K130" s="35" t="s">
        <v>65</v>
      </c>
      <c r="L130" s="79">
        <v>130</v>
      </c>
      <c r="M130" s="79"/>
      <c r="N130" s="73"/>
      <c r="O130" s="81" t="s">
        <v>444</v>
      </c>
      <c r="P130" s="81">
        <v>1</v>
      </c>
      <c r="Q130" s="81" t="s">
        <v>445</v>
      </c>
      <c r="R130" s="81" t="s">
        <v>536</v>
      </c>
      <c r="S130" s="81">
        <v>115675</v>
      </c>
      <c r="T130" s="80" t="str">
        <f>REPLACE(INDEX(GroupVertices[Group],MATCH(Edges[[#This Row],[Vertex 1]],GroupVertices[Vertex],0)),1,1,"")</f>
        <v>4</v>
      </c>
      <c r="U130" s="80" t="str">
        <f>REPLACE(INDEX(GroupVertices[Group],MATCH(Edges[[#This Row],[Vertex 2]],GroupVertices[Vertex],0)),1,1,"")</f>
        <v>4</v>
      </c>
      <c r="V130" s="49">
        <v>0</v>
      </c>
      <c r="W130" s="50">
        <v>0</v>
      </c>
      <c r="X130" s="49">
        <v>1</v>
      </c>
      <c r="Y130" s="50">
        <v>20</v>
      </c>
      <c r="Z130" s="49">
        <v>0</v>
      </c>
      <c r="AA130" s="50">
        <v>0</v>
      </c>
      <c r="AB130" s="49">
        <v>4</v>
      </c>
      <c r="AC130" s="50">
        <v>80</v>
      </c>
      <c r="AD130" s="49">
        <v>5</v>
      </c>
    </row>
    <row r="131" spans="1:30" ht="15">
      <c r="A131" s="65" t="s">
        <v>396</v>
      </c>
      <c r="B131" s="65" t="s">
        <v>335</v>
      </c>
      <c r="C131" s="66" t="s">
        <v>1297</v>
      </c>
      <c r="D131" s="67">
        <v>3</v>
      </c>
      <c r="E131" s="68"/>
      <c r="F131" s="69">
        <v>70</v>
      </c>
      <c r="G131" s="66"/>
      <c r="H131" s="70"/>
      <c r="I131" s="71"/>
      <c r="J131" s="71"/>
      <c r="K131" s="35" t="s">
        <v>65</v>
      </c>
      <c r="L131" s="79">
        <v>131</v>
      </c>
      <c r="M131" s="79"/>
      <c r="N131" s="73"/>
      <c r="O131" s="81" t="s">
        <v>444</v>
      </c>
      <c r="P131" s="81">
        <v>1</v>
      </c>
      <c r="Q131" s="81" t="s">
        <v>445</v>
      </c>
      <c r="R131" s="81" t="s">
        <v>535</v>
      </c>
      <c r="S131" s="81">
        <v>119871</v>
      </c>
      <c r="T131" s="80" t="str">
        <f>REPLACE(INDEX(GroupVertices[Group],MATCH(Edges[[#This Row],[Vertex 1]],GroupVertices[Vertex],0)),1,1,"")</f>
        <v>4</v>
      </c>
      <c r="U131" s="80" t="str">
        <f>REPLACE(INDEX(GroupVertices[Group],MATCH(Edges[[#This Row],[Vertex 2]],GroupVertices[Vertex],0)),1,1,"")</f>
        <v>1</v>
      </c>
      <c r="V131" s="49">
        <v>0</v>
      </c>
      <c r="W131" s="50">
        <v>0</v>
      </c>
      <c r="X131" s="49">
        <v>0</v>
      </c>
      <c r="Y131" s="50">
        <v>0</v>
      </c>
      <c r="Z131" s="49">
        <v>0</v>
      </c>
      <c r="AA131" s="50">
        <v>0</v>
      </c>
      <c r="AB131" s="49">
        <v>17</v>
      </c>
      <c r="AC131" s="50">
        <v>100</v>
      </c>
      <c r="AD131" s="49">
        <v>17</v>
      </c>
    </row>
    <row r="132" spans="1:30" ht="15">
      <c r="A132" s="65" t="s">
        <v>392</v>
      </c>
      <c r="B132" s="65" t="s">
        <v>396</v>
      </c>
      <c r="C132" s="66" t="s">
        <v>1298</v>
      </c>
      <c r="D132" s="67">
        <v>10</v>
      </c>
      <c r="E132" s="68"/>
      <c r="F132" s="69">
        <v>40</v>
      </c>
      <c r="G132" s="66"/>
      <c r="H132" s="70"/>
      <c r="I132" s="71"/>
      <c r="J132" s="71"/>
      <c r="K132" s="35" t="s">
        <v>66</v>
      </c>
      <c r="L132" s="79">
        <v>132</v>
      </c>
      <c r="M132" s="79"/>
      <c r="N132" s="73"/>
      <c r="O132" s="81" t="s">
        <v>444</v>
      </c>
      <c r="P132" s="81">
        <v>2</v>
      </c>
      <c r="Q132" s="81" t="s">
        <v>445</v>
      </c>
      <c r="R132" s="81" t="s">
        <v>537</v>
      </c>
      <c r="S132" s="81">
        <v>119875</v>
      </c>
      <c r="T132" s="80" t="str">
        <f>REPLACE(INDEX(GroupVertices[Group],MATCH(Edges[[#This Row],[Vertex 1]],GroupVertices[Vertex],0)),1,1,"")</f>
        <v>5</v>
      </c>
      <c r="U132" s="80" t="str">
        <f>REPLACE(INDEX(GroupVertices[Group],MATCH(Edges[[#This Row],[Vertex 2]],GroupVertices[Vertex],0)),1,1,"")</f>
        <v>4</v>
      </c>
      <c r="V132" s="49">
        <v>0</v>
      </c>
      <c r="W132" s="50">
        <v>0</v>
      </c>
      <c r="X132" s="49">
        <v>0</v>
      </c>
      <c r="Y132" s="50">
        <v>0</v>
      </c>
      <c r="Z132" s="49">
        <v>0</v>
      </c>
      <c r="AA132" s="50">
        <v>0</v>
      </c>
      <c r="AB132" s="49">
        <v>17</v>
      </c>
      <c r="AC132" s="50">
        <v>100</v>
      </c>
      <c r="AD132" s="49">
        <v>17</v>
      </c>
    </row>
    <row r="133" spans="1:30" ht="15">
      <c r="A133" s="65" t="s">
        <v>400</v>
      </c>
      <c r="B133" s="65" t="s">
        <v>354</v>
      </c>
      <c r="C133" s="66" t="s">
        <v>1297</v>
      </c>
      <c r="D133" s="67">
        <v>3</v>
      </c>
      <c r="E133" s="68"/>
      <c r="F133" s="69">
        <v>70</v>
      </c>
      <c r="G133" s="66"/>
      <c r="H133" s="70"/>
      <c r="I133" s="71"/>
      <c r="J133" s="71"/>
      <c r="K133" s="35" t="s">
        <v>65</v>
      </c>
      <c r="L133" s="79">
        <v>133</v>
      </c>
      <c r="M133" s="79"/>
      <c r="N133" s="73"/>
      <c r="O133" s="81" t="s">
        <v>444</v>
      </c>
      <c r="P133" s="81">
        <v>1</v>
      </c>
      <c r="Q133" s="81" t="s">
        <v>445</v>
      </c>
      <c r="R133" s="81" t="s">
        <v>538</v>
      </c>
      <c r="S133" s="81">
        <v>208143</v>
      </c>
      <c r="T133" s="80" t="str">
        <f>REPLACE(INDEX(GroupVertices[Group],MATCH(Edges[[#This Row],[Vertex 1]],GroupVertices[Vertex],0)),1,1,"")</f>
        <v>3</v>
      </c>
      <c r="U133" s="80" t="str">
        <f>REPLACE(INDEX(GroupVertices[Group],MATCH(Edges[[#This Row],[Vertex 2]],GroupVertices[Vertex],0)),1,1,"")</f>
        <v>2</v>
      </c>
      <c r="V133" s="49">
        <v>0</v>
      </c>
      <c r="W133" s="50">
        <v>0</v>
      </c>
      <c r="X133" s="49">
        <v>0</v>
      </c>
      <c r="Y133" s="50">
        <v>0</v>
      </c>
      <c r="Z133" s="49">
        <v>0</v>
      </c>
      <c r="AA133" s="50">
        <v>0</v>
      </c>
      <c r="AB133" s="49">
        <v>5</v>
      </c>
      <c r="AC133" s="50">
        <v>100</v>
      </c>
      <c r="AD133" s="49">
        <v>5</v>
      </c>
    </row>
    <row r="134" spans="1:30" ht="15">
      <c r="A134" s="65" t="s">
        <v>348</v>
      </c>
      <c r="B134" s="65" t="s">
        <v>400</v>
      </c>
      <c r="C134" s="66" t="s">
        <v>1297</v>
      </c>
      <c r="D134" s="67">
        <v>3</v>
      </c>
      <c r="E134" s="68"/>
      <c r="F134" s="69">
        <v>70</v>
      </c>
      <c r="G134" s="66"/>
      <c r="H134" s="70"/>
      <c r="I134" s="71"/>
      <c r="J134" s="71"/>
      <c r="K134" s="35" t="s">
        <v>65</v>
      </c>
      <c r="L134" s="79">
        <v>134</v>
      </c>
      <c r="M134" s="79"/>
      <c r="N134" s="73"/>
      <c r="O134" s="81" t="s">
        <v>444</v>
      </c>
      <c r="P134" s="81">
        <v>1</v>
      </c>
      <c r="Q134" s="81" t="s">
        <v>445</v>
      </c>
      <c r="R134" s="81" t="s">
        <v>539</v>
      </c>
      <c r="S134" s="81">
        <v>208355</v>
      </c>
      <c r="T134" s="80" t="str">
        <f>REPLACE(INDEX(GroupVertices[Group],MATCH(Edges[[#This Row],[Vertex 1]],GroupVertices[Vertex],0)),1,1,"")</f>
        <v>3</v>
      </c>
      <c r="U134" s="80" t="str">
        <f>REPLACE(INDEX(GroupVertices[Group],MATCH(Edges[[#This Row],[Vertex 2]],GroupVertices[Vertex],0)),1,1,"")</f>
        <v>3</v>
      </c>
      <c r="V134" s="49">
        <v>0</v>
      </c>
      <c r="W134" s="50">
        <v>0</v>
      </c>
      <c r="X134" s="49">
        <v>0</v>
      </c>
      <c r="Y134" s="50">
        <v>0</v>
      </c>
      <c r="Z134" s="49">
        <v>0</v>
      </c>
      <c r="AA134" s="50">
        <v>0</v>
      </c>
      <c r="AB134" s="49">
        <v>4</v>
      </c>
      <c r="AC134" s="50">
        <v>100</v>
      </c>
      <c r="AD134" s="49">
        <v>4</v>
      </c>
    </row>
    <row r="135" spans="1:30" ht="15">
      <c r="A135" s="65" t="s">
        <v>400</v>
      </c>
      <c r="B135" s="65" t="s">
        <v>398</v>
      </c>
      <c r="C135" s="66" t="s">
        <v>1297</v>
      </c>
      <c r="D135" s="67">
        <v>3</v>
      </c>
      <c r="E135" s="68"/>
      <c r="F135" s="69">
        <v>70</v>
      </c>
      <c r="G135" s="66"/>
      <c r="H135" s="70"/>
      <c r="I135" s="71"/>
      <c r="J135" s="71"/>
      <c r="K135" s="35" t="s">
        <v>65</v>
      </c>
      <c r="L135" s="79">
        <v>135</v>
      </c>
      <c r="M135" s="79"/>
      <c r="N135" s="73"/>
      <c r="O135" s="81" t="s">
        <v>444</v>
      </c>
      <c r="P135" s="81">
        <v>1</v>
      </c>
      <c r="Q135" s="81" t="s">
        <v>445</v>
      </c>
      <c r="R135" s="81" t="s">
        <v>520</v>
      </c>
      <c r="S135" s="81">
        <v>120556</v>
      </c>
      <c r="T135" s="80" t="str">
        <f>REPLACE(INDEX(GroupVertices[Group],MATCH(Edges[[#This Row],[Vertex 1]],GroupVertices[Vertex],0)),1,1,"")</f>
        <v>3</v>
      </c>
      <c r="U135" s="80" t="str">
        <f>REPLACE(INDEX(GroupVertices[Group],MATCH(Edges[[#This Row],[Vertex 2]],GroupVertices[Vertex],0)),1,1,"")</f>
        <v>5</v>
      </c>
      <c r="V135" s="49">
        <v>0</v>
      </c>
      <c r="W135" s="50">
        <v>0</v>
      </c>
      <c r="X135" s="49">
        <v>0</v>
      </c>
      <c r="Y135" s="50">
        <v>0</v>
      </c>
      <c r="Z135" s="49">
        <v>0</v>
      </c>
      <c r="AA135" s="50">
        <v>0</v>
      </c>
      <c r="AB135" s="49">
        <v>16</v>
      </c>
      <c r="AC135" s="50">
        <v>100</v>
      </c>
      <c r="AD135" s="49">
        <v>16</v>
      </c>
    </row>
    <row r="136" spans="1:30" ht="15">
      <c r="A136" s="65" t="s">
        <v>400</v>
      </c>
      <c r="B136" s="65" t="s">
        <v>400</v>
      </c>
      <c r="C136" s="66" t="s">
        <v>1297</v>
      </c>
      <c r="D136" s="67">
        <v>3</v>
      </c>
      <c r="E136" s="68"/>
      <c r="F136" s="69">
        <v>70</v>
      </c>
      <c r="G136" s="66"/>
      <c r="H136" s="70"/>
      <c r="I136" s="71"/>
      <c r="J136" s="71"/>
      <c r="K136" s="35" t="s">
        <v>65</v>
      </c>
      <c r="L136" s="79">
        <v>136</v>
      </c>
      <c r="M136" s="79"/>
      <c r="N136" s="73"/>
      <c r="O136" s="81" t="s">
        <v>444</v>
      </c>
      <c r="P136" s="81">
        <v>1</v>
      </c>
      <c r="Q136" s="81" t="s">
        <v>445</v>
      </c>
      <c r="R136" s="81" t="s">
        <v>520</v>
      </c>
      <c r="S136" s="81">
        <v>120552</v>
      </c>
      <c r="T136" s="80" t="str">
        <f>REPLACE(INDEX(GroupVertices[Group],MATCH(Edges[[#This Row],[Vertex 1]],GroupVertices[Vertex],0)),1,1,"")</f>
        <v>3</v>
      </c>
      <c r="U136" s="80" t="str">
        <f>REPLACE(INDEX(GroupVertices[Group],MATCH(Edges[[#This Row],[Vertex 2]],GroupVertices[Vertex],0)),1,1,"")</f>
        <v>3</v>
      </c>
      <c r="V136" s="49">
        <v>0</v>
      </c>
      <c r="W136" s="50">
        <v>0</v>
      </c>
      <c r="X136" s="49">
        <v>0</v>
      </c>
      <c r="Y136" s="50">
        <v>0</v>
      </c>
      <c r="Z136" s="49">
        <v>0</v>
      </c>
      <c r="AA136" s="50">
        <v>0</v>
      </c>
      <c r="AB136" s="49">
        <v>16</v>
      </c>
      <c r="AC136" s="50">
        <v>100</v>
      </c>
      <c r="AD136" s="49">
        <v>16</v>
      </c>
    </row>
    <row r="137" spans="1:30" ht="15">
      <c r="A137" s="65" t="s">
        <v>399</v>
      </c>
      <c r="B137" s="65" t="s">
        <v>400</v>
      </c>
      <c r="C137" s="66" t="s">
        <v>1297</v>
      </c>
      <c r="D137" s="67">
        <v>3</v>
      </c>
      <c r="E137" s="68"/>
      <c r="F137" s="69">
        <v>70</v>
      </c>
      <c r="G137" s="66"/>
      <c r="H137" s="70"/>
      <c r="I137" s="71"/>
      <c r="J137" s="71"/>
      <c r="K137" s="35" t="s">
        <v>65</v>
      </c>
      <c r="L137" s="79">
        <v>137</v>
      </c>
      <c r="M137" s="79"/>
      <c r="N137" s="73"/>
      <c r="O137" s="81" t="s">
        <v>444</v>
      </c>
      <c r="P137" s="81">
        <v>1</v>
      </c>
      <c r="Q137" s="81" t="s">
        <v>445</v>
      </c>
      <c r="R137" s="81" t="s">
        <v>534</v>
      </c>
      <c r="S137" s="81">
        <v>120760</v>
      </c>
      <c r="T137" s="80" t="str">
        <f>REPLACE(INDEX(GroupVertices[Group],MATCH(Edges[[#This Row],[Vertex 1]],GroupVertices[Vertex],0)),1,1,"")</f>
        <v>3</v>
      </c>
      <c r="U137" s="80" t="str">
        <f>REPLACE(INDEX(GroupVertices[Group],MATCH(Edges[[#This Row],[Vertex 2]],GroupVertices[Vertex],0)),1,1,"")</f>
        <v>3</v>
      </c>
      <c r="V137" s="49">
        <v>0</v>
      </c>
      <c r="W137" s="50">
        <v>0</v>
      </c>
      <c r="X137" s="49">
        <v>0</v>
      </c>
      <c r="Y137" s="50">
        <v>0</v>
      </c>
      <c r="Z137" s="49">
        <v>0</v>
      </c>
      <c r="AA137" s="50">
        <v>0</v>
      </c>
      <c r="AB137" s="49">
        <v>2</v>
      </c>
      <c r="AC137" s="50">
        <v>100</v>
      </c>
      <c r="AD137" s="49">
        <v>2</v>
      </c>
    </row>
    <row r="138" spans="1:30" ht="15">
      <c r="A138" s="65" t="s">
        <v>401</v>
      </c>
      <c r="B138" s="65" t="s">
        <v>377</v>
      </c>
      <c r="C138" s="66" t="s">
        <v>1297</v>
      </c>
      <c r="D138" s="67">
        <v>3</v>
      </c>
      <c r="E138" s="68"/>
      <c r="F138" s="69">
        <v>70</v>
      </c>
      <c r="G138" s="66"/>
      <c r="H138" s="70"/>
      <c r="I138" s="71"/>
      <c r="J138" s="71"/>
      <c r="K138" s="35" t="s">
        <v>65</v>
      </c>
      <c r="L138" s="79">
        <v>138</v>
      </c>
      <c r="M138" s="79"/>
      <c r="N138" s="73"/>
      <c r="O138" s="81" t="s">
        <v>444</v>
      </c>
      <c r="P138" s="81">
        <v>1</v>
      </c>
      <c r="Q138" s="81" t="s">
        <v>445</v>
      </c>
      <c r="R138" s="81" t="s">
        <v>540</v>
      </c>
      <c r="S138" s="81">
        <v>121254</v>
      </c>
      <c r="T138" s="80" t="str">
        <f>REPLACE(INDEX(GroupVertices[Group],MATCH(Edges[[#This Row],[Vertex 1]],GroupVertices[Vertex],0)),1,1,"")</f>
        <v>4</v>
      </c>
      <c r="U138" s="80" t="str">
        <f>REPLACE(INDEX(GroupVertices[Group],MATCH(Edges[[#This Row],[Vertex 2]],GroupVertices[Vertex],0)),1,1,"")</f>
        <v>4</v>
      </c>
      <c r="V138" s="49">
        <v>0</v>
      </c>
      <c r="W138" s="50">
        <v>0</v>
      </c>
      <c r="X138" s="49">
        <v>1</v>
      </c>
      <c r="Y138" s="50">
        <v>4.3478260869565215</v>
      </c>
      <c r="Z138" s="49">
        <v>0</v>
      </c>
      <c r="AA138" s="50">
        <v>0</v>
      </c>
      <c r="AB138" s="49">
        <v>22</v>
      </c>
      <c r="AC138" s="50">
        <v>95.65217391304348</v>
      </c>
      <c r="AD138" s="49">
        <v>23</v>
      </c>
    </row>
    <row r="139" spans="1:30" ht="15">
      <c r="A139" s="65" t="s">
        <v>402</v>
      </c>
      <c r="B139" s="65" t="s">
        <v>401</v>
      </c>
      <c r="C139" s="66" t="s">
        <v>1297</v>
      </c>
      <c r="D139" s="67">
        <v>3</v>
      </c>
      <c r="E139" s="68"/>
      <c r="F139" s="69">
        <v>70</v>
      </c>
      <c r="G139" s="66"/>
      <c r="H139" s="70"/>
      <c r="I139" s="71"/>
      <c r="J139" s="71"/>
      <c r="K139" s="35" t="s">
        <v>65</v>
      </c>
      <c r="L139" s="79">
        <v>139</v>
      </c>
      <c r="M139" s="79"/>
      <c r="N139" s="73"/>
      <c r="O139" s="81" t="s">
        <v>444</v>
      </c>
      <c r="P139" s="81">
        <v>1</v>
      </c>
      <c r="Q139" s="81" t="s">
        <v>445</v>
      </c>
      <c r="R139" s="81" t="s">
        <v>541</v>
      </c>
      <c r="S139" s="81">
        <v>122227</v>
      </c>
      <c r="T139" s="80" t="str">
        <f>REPLACE(INDEX(GroupVertices[Group],MATCH(Edges[[#This Row],[Vertex 1]],GroupVertices[Vertex],0)),1,1,"")</f>
        <v>4</v>
      </c>
      <c r="U139" s="80" t="str">
        <f>REPLACE(INDEX(GroupVertices[Group],MATCH(Edges[[#This Row],[Vertex 2]],GroupVertices[Vertex],0)),1,1,"")</f>
        <v>4</v>
      </c>
      <c r="V139" s="49">
        <v>1</v>
      </c>
      <c r="W139" s="50">
        <v>10</v>
      </c>
      <c r="X139" s="49">
        <v>0</v>
      </c>
      <c r="Y139" s="50">
        <v>0</v>
      </c>
      <c r="Z139" s="49">
        <v>0</v>
      </c>
      <c r="AA139" s="50">
        <v>0</v>
      </c>
      <c r="AB139" s="49">
        <v>9</v>
      </c>
      <c r="AC139" s="50">
        <v>90</v>
      </c>
      <c r="AD139" s="49">
        <v>10</v>
      </c>
    </row>
    <row r="140" spans="1:30" ht="15">
      <c r="A140" s="65" t="s">
        <v>366</v>
      </c>
      <c r="B140" s="65" t="s">
        <v>402</v>
      </c>
      <c r="C140" s="66" t="s">
        <v>1297</v>
      </c>
      <c r="D140" s="67">
        <v>3</v>
      </c>
      <c r="E140" s="68"/>
      <c r="F140" s="69">
        <v>70</v>
      </c>
      <c r="G140" s="66"/>
      <c r="H140" s="70"/>
      <c r="I140" s="71"/>
      <c r="J140" s="71"/>
      <c r="K140" s="35" t="s">
        <v>65</v>
      </c>
      <c r="L140" s="79">
        <v>140</v>
      </c>
      <c r="M140" s="79"/>
      <c r="N140" s="73"/>
      <c r="O140" s="81" t="s">
        <v>444</v>
      </c>
      <c r="P140" s="81">
        <v>1</v>
      </c>
      <c r="Q140" s="81" t="s">
        <v>445</v>
      </c>
      <c r="R140" s="81" t="s">
        <v>479</v>
      </c>
      <c r="S140" s="81">
        <v>122489</v>
      </c>
      <c r="T140" s="80" t="str">
        <f>REPLACE(INDEX(GroupVertices[Group],MATCH(Edges[[#This Row],[Vertex 1]],GroupVertices[Vertex],0)),1,1,"")</f>
        <v>1</v>
      </c>
      <c r="U140" s="80" t="str">
        <f>REPLACE(INDEX(GroupVertices[Group],MATCH(Edges[[#This Row],[Vertex 2]],GroupVertices[Vertex],0)),1,1,"")</f>
        <v>4</v>
      </c>
      <c r="V140" s="49">
        <v>1</v>
      </c>
      <c r="W140" s="50">
        <v>11.11111111111111</v>
      </c>
      <c r="X140" s="49">
        <v>1</v>
      </c>
      <c r="Y140" s="50">
        <v>11.11111111111111</v>
      </c>
      <c r="Z140" s="49">
        <v>0</v>
      </c>
      <c r="AA140" s="50">
        <v>0</v>
      </c>
      <c r="AB140" s="49">
        <v>7</v>
      </c>
      <c r="AC140" s="50">
        <v>77.77777777777777</v>
      </c>
      <c r="AD140" s="49">
        <v>9</v>
      </c>
    </row>
    <row r="141" spans="1:30" ht="15">
      <c r="A141" s="65" t="s">
        <v>403</v>
      </c>
      <c r="B141" s="65" t="s">
        <v>366</v>
      </c>
      <c r="C141" s="66" t="s">
        <v>1297</v>
      </c>
      <c r="D141" s="67">
        <v>3</v>
      </c>
      <c r="E141" s="68"/>
      <c r="F141" s="69">
        <v>70</v>
      </c>
      <c r="G141" s="66"/>
      <c r="H141" s="70"/>
      <c r="I141" s="71"/>
      <c r="J141" s="71"/>
      <c r="K141" s="35" t="s">
        <v>65</v>
      </c>
      <c r="L141" s="79">
        <v>141</v>
      </c>
      <c r="M141" s="79"/>
      <c r="N141" s="73"/>
      <c r="O141" s="81" t="s">
        <v>444</v>
      </c>
      <c r="P141" s="81">
        <v>1</v>
      </c>
      <c r="Q141" s="81" t="s">
        <v>445</v>
      </c>
      <c r="R141" s="81" t="s">
        <v>542</v>
      </c>
      <c r="S141" s="81">
        <v>122567</v>
      </c>
      <c r="T141" s="80" t="str">
        <f>REPLACE(INDEX(GroupVertices[Group],MATCH(Edges[[#This Row],[Vertex 1]],GroupVertices[Vertex],0)),1,1,"")</f>
        <v>1</v>
      </c>
      <c r="U141" s="80" t="str">
        <f>REPLACE(INDEX(GroupVertices[Group],MATCH(Edges[[#This Row],[Vertex 2]],GroupVertices[Vertex],0)),1,1,"")</f>
        <v>1</v>
      </c>
      <c r="V141" s="49">
        <v>0</v>
      </c>
      <c r="W141" s="50">
        <v>0</v>
      </c>
      <c r="X141" s="49">
        <v>0</v>
      </c>
      <c r="Y141" s="50">
        <v>0</v>
      </c>
      <c r="Z141" s="49">
        <v>0</v>
      </c>
      <c r="AA141" s="50">
        <v>0</v>
      </c>
      <c r="AB141" s="49">
        <v>11</v>
      </c>
      <c r="AC141" s="50">
        <v>100</v>
      </c>
      <c r="AD141" s="49">
        <v>11</v>
      </c>
    </row>
    <row r="142" spans="1:30" ht="15">
      <c r="A142" s="65" t="s">
        <v>335</v>
      </c>
      <c r="B142" s="65" t="s">
        <v>403</v>
      </c>
      <c r="C142" s="66" t="s">
        <v>1297</v>
      </c>
      <c r="D142" s="67">
        <v>3</v>
      </c>
      <c r="E142" s="68"/>
      <c r="F142" s="69">
        <v>70</v>
      </c>
      <c r="G142" s="66"/>
      <c r="H142" s="70"/>
      <c r="I142" s="71"/>
      <c r="J142" s="71"/>
      <c r="K142" s="35" t="s">
        <v>65</v>
      </c>
      <c r="L142" s="79">
        <v>142</v>
      </c>
      <c r="M142" s="79"/>
      <c r="N142" s="73"/>
      <c r="O142" s="81" t="s">
        <v>444</v>
      </c>
      <c r="P142" s="81">
        <v>1</v>
      </c>
      <c r="Q142" s="81" t="s">
        <v>445</v>
      </c>
      <c r="R142" s="81" t="s">
        <v>543</v>
      </c>
      <c r="S142" s="81">
        <v>122785</v>
      </c>
      <c r="T142" s="80" t="str">
        <f>REPLACE(INDEX(GroupVertices[Group],MATCH(Edges[[#This Row],[Vertex 1]],GroupVertices[Vertex],0)),1,1,"")</f>
        <v>1</v>
      </c>
      <c r="U142" s="80" t="str">
        <f>REPLACE(INDEX(GroupVertices[Group],MATCH(Edges[[#This Row],[Vertex 2]],GroupVertices[Vertex],0)),1,1,"")</f>
        <v>1</v>
      </c>
      <c r="V142" s="49">
        <v>0</v>
      </c>
      <c r="W142" s="50">
        <v>0</v>
      </c>
      <c r="X142" s="49">
        <v>0</v>
      </c>
      <c r="Y142" s="50">
        <v>0</v>
      </c>
      <c r="Z142" s="49">
        <v>0</v>
      </c>
      <c r="AA142" s="50">
        <v>0</v>
      </c>
      <c r="AB142" s="49">
        <v>9</v>
      </c>
      <c r="AC142" s="50">
        <v>100</v>
      </c>
      <c r="AD142" s="49">
        <v>9</v>
      </c>
    </row>
    <row r="143" spans="1:30" ht="15">
      <c r="A143" s="65" t="s">
        <v>404</v>
      </c>
      <c r="B143" s="65" t="s">
        <v>407</v>
      </c>
      <c r="C143" s="66" t="s">
        <v>1297</v>
      </c>
      <c r="D143" s="67">
        <v>3</v>
      </c>
      <c r="E143" s="68"/>
      <c r="F143" s="69">
        <v>70</v>
      </c>
      <c r="G143" s="66"/>
      <c r="H143" s="70"/>
      <c r="I143" s="71"/>
      <c r="J143" s="71"/>
      <c r="K143" s="35" t="s">
        <v>65</v>
      </c>
      <c r="L143" s="79">
        <v>143</v>
      </c>
      <c r="M143" s="79"/>
      <c r="N143" s="73"/>
      <c r="O143" s="81" t="s">
        <v>444</v>
      </c>
      <c r="P143" s="81">
        <v>1</v>
      </c>
      <c r="Q143" s="81" t="s">
        <v>445</v>
      </c>
      <c r="R143" s="81" t="s">
        <v>544</v>
      </c>
      <c r="S143" s="81">
        <v>127465</v>
      </c>
      <c r="T143" s="80" t="str">
        <f>REPLACE(INDEX(GroupVertices[Group],MATCH(Edges[[#This Row],[Vertex 1]],GroupVertices[Vertex],0)),1,1,"")</f>
        <v>6</v>
      </c>
      <c r="U143" s="80" t="str">
        <f>REPLACE(INDEX(GroupVertices[Group],MATCH(Edges[[#This Row],[Vertex 2]],GroupVertices[Vertex],0)),1,1,"")</f>
        <v>6</v>
      </c>
      <c r="V143" s="49">
        <v>0</v>
      </c>
      <c r="W143" s="50">
        <v>0</v>
      </c>
      <c r="X143" s="49">
        <v>0</v>
      </c>
      <c r="Y143" s="50">
        <v>0</v>
      </c>
      <c r="Z143" s="49">
        <v>0</v>
      </c>
      <c r="AA143" s="50">
        <v>0</v>
      </c>
      <c r="AB143" s="49">
        <v>12</v>
      </c>
      <c r="AC143" s="50">
        <v>100</v>
      </c>
      <c r="AD143" s="49">
        <v>12</v>
      </c>
    </row>
    <row r="144" spans="1:30" ht="15">
      <c r="A144" s="65" t="s">
        <v>405</v>
      </c>
      <c r="B144" s="65" t="s">
        <v>404</v>
      </c>
      <c r="C144" s="66" t="s">
        <v>1297</v>
      </c>
      <c r="D144" s="67">
        <v>3</v>
      </c>
      <c r="E144" s="68"/>
      <c r="F144" s="69">
        <v>70</v>
      </c>
      <c r="G144" s="66"/>
      <c r="H144" s="70"/>
      <c r="I144" s="71"/>
      <c r="J144" s="71"/>
      <c r="K144" s="35" t="s">
        <v>65</v>
      </c>
      <c r="L144" s="79">
        <v>144</v>
      </c>
      <c r="M144" s="79"/>
      <c r="N144" s="73"/>
      <c r="O144" s="81" t="s">
        <v>444</v>
      </c>
      <c r="P144" s="81">
        <v>1</v>
      </c>
      <c r="Q144" s="81" t="s">
        <v>445</v>
      </c>
      <c r="R144" s="81" t="s">
        <v>545</v>
      </c>
      <c r="S144" s="81">
        <v>128005</v>
      </c>
      <c r="T144" s="80" t="str">
        <f>REPLACE(INDEX(GroupVertices[Group],MATCH(Edges[[#This Row],[Vertex 1]],GroupVertices[Vertex],0)),1,1,"")</f>
        <v>6</v>
      </c>
      <c r="U144" s="80" t="str">
        <f>REPLACE(INDEX(GroupVertices[Group],MATCH(Edges[[#This Row],[Vertex 2]],GroupVertices[Vertex],0)),1,1,"")</f>
        <v>6</v>
      </c>
      <c r="V144" s="49">
        <v>0</v>
      </c>
      <c r="W144" s="50">
        <v>0</v>
      </c>
      <c r="X144" s="49">
        <v>0</v>
      </c>
      <c r="Y144" s="50">
        <v>0</v>
      </c>
      <c r="Z144" s="49">
        <v>0</v>
      </c>
      <c r="AA144" s="50">
        <v>0</v>
      </c>
      <c r="AB144" s="49">
        <v>12</v>
      </c>
      <c r="AC144" s="50">
        <v>100</v>
      </c>
      <c r="AD144" s="49">
        <v>12</v>
      </c>
    </row>
    <row r="145" spans="1:30" ht="15">
      <c r="A145" s="65" t="s">
        <v>406</v>
      </c>
      <c r="B145" s="65" t="s">
        <v>405</v>
      </c>
      <c r="C145" s="66" t="s">
        <v>1297</v>
      </c>
      <c r="D145" s="67">
        <v>3</v>
      </c>
      <c r="E145" s="68"/>
      <c r="F145" s="69">
        <v>70</v>
      </c>
      <c r="G145" s="66"/>
      <c r="H145" s="70"/>
      <c r="I145" s="71"/>
      <c r="J145" s="71"/>
      <c r="K145" s="35" t="s">
        <v>65</v>
      </c>
      <c r="L145" s="79">
        <v>145</v>
      </c>
      <c r="M145" s="79"/>
      <c r="N145" s="73"/>
      <c r="O145" s="81" t="s">
        <v>444</v>
      </c>
      <c r="P145" s="81">
        <v>1</v>
      </c>
      <c r="Q145" s="81" t="s">
        <v>445</v>
      </c>
      <c r="R145" s="81" t="s">
        <v>546</v>
      </c>
      <c r="S145" s="81">
        <v>131848</v>
      </c>
      <c r="T145" s="80" t="str">
        <f>REPLACE(INDEX(GroupVertices[Group],MATCH(Edges[[#This Row],[Vertex 1]],GroupVertices[Vertex],0)),1,1,"")</f>
        <v>6</v>
      </c>
      <c r="U145" s="80" t="str">
        <f>REPLACE(INDEX(GroupVertices[Group],MATCH(Edges[[#This Row],[Vertex 2]],GroupVertices[Vertex],0)),1,1,"")</f>
        <v>6</v>
      </c>
      <c r="V145" s="49">
        <v>0</v>
      </c>
      <c r="W145" s="50">
        <v>0</v>
      </c>
      <c r="X145" s="49">
        <v>0</v>
      </c>
      <c r="Y145" s="50">
        <v>0</v>
      </c>
      <c r="Z145" s="49">
        <v>0</v>
      </c>
      <c r="AA145" s="50">
        <v>0</v>
      </c>
      <c r="AB145" s="49">
        <v>12</v>
      </c>
      <c r="AC145" s="50">
        <v>100</v>
      </c>
      <c r="AD145" s="49">
        <v>12</v>
      </c>
    </row>
    <row r="146" spans="1:30" ht="15">
      <c r="A146" s="65" t="s">
        <v>407</v>
      </c>
      <c r="B146" s="65" t="s">
        <v>406</v>
      </c>
      <c r="C146" s="66" t="s">
        <v>1297</v>
      </c>
      <c r="D146" s="67">
        <v>3</v>
      </c>
      <c r="E146" s="68"/>
      <c r="F146" s="69">
        <v>70</v>
      </c>
      <c r="G146" s="66"/>
      <c r="H146" s="70"/>
      <c r="I146" s="71"/>
      <c r="J146" s="71"/>
      <c r="K146" s="35" t="s">
        <v>65</v>
      </c>
      <c r="L146" s="79">
        <v>146</v>
      </c>
      <c r="M146" s="79"/>
      <c r="N146" s="73"/>
      <c r="O146" s="81" t="s">
        <v>444</v>
      </c>
      <c r="P146" s="81">
        <v>1</v>
      </c>
      <c r="Q146" s="81" t="s">
        <v>445</v>
      </c>
      <c r="R146" s="81" t="s">
        <v>547</v>
      </c>
      <c r="S146" s="81">
        <v>132160</v>
      </c>
      <c r="T146" s="80" t="str">
        <f>REPLACE(INDEX(GroupVertices[Group],MATCH(Edges[[#This Row],[Vertex 1]],GroupVertices[Vertex],0)),1,1,"")</f>
        <v>6</v>
      </c>
      <c r="U146" s="80" t="str">
        <f>REPLACE(INDEX(GroupVertices[Group],MATCH(Edges[[#This Row],[Vertex 2]],GroupVertices[Vertex],0)),1,1,"")</f>
        <v>6</v>
      </c>
      <c r="V146" s="49">
        <v>0</v>
      </c>
      <c r="W146" s="50">
        <v>0</v>
      </c>
      <c r="X146" s="49">
        <v>0</v>
      </c>
      <c r="Y146" s="50">
        <v>0</v>
      </c>
      <c r="Z146" s="49">
        <v>0</v>
      </c>
      <c r="AA146" s="50">
        <v>0</v>
      </c>
      <c r="AB146" s="49">
        <v>11</v>
      </c>
      <c r="AC146" s="50">
        <v>100</v>
      </c>
      <c r="AD146" s="49">
        <v>11</v>
      </c>
    </row>
    <row r="147" spans="1:30" ht="15">
      <c r="A147" s="65" t="s">
        <v>408</v>
      </c>
      <c r="B147" s="65" t="s">
        <v>405</v>
      </c>
      <c r="C147" s="66" t="s">
        <v>1297</v>
      </c>
      <c r="D147" s="67">
        <v>3</v>
      </c>
      <c r="E147" s="68"/>
      <c r="F147" s="69">
        <v>70</v>
      </c>
      <c r="G147" s="66"/>
      <c r="H147" s="70"/>
      <c r="I147" s="71"/>
      <c r="J147" s="71"/>
      <c r="K147" s="35" t="s">
        <v>66</v>
      </c>
      <c r="L147" s="79">
        <v>147</v>
      </c>
      <c r="M147" s="79"/>
      <c r="N147" s="73"/>
      <c r="O147" s="81" t="s">
        <v>444</v>
      </c>
      <c r="P147" s="81">
        <v>1</v>
      </c>
      <c r="Q147" s="81" t="s">
        <v>445</v>
      </c>
      <c r="R147" s="81" t="s">
        <v>548</v>
      </c>
      <c r="S147" s="81">
        <v>126885</v>
      </c>
      <c r="T147" s="80" t="str">
        <f>REPLACE(INDEX(GroupVertices[Group],MATCH(Edges[[#This Row],[Vertex 1]],GroupVertices[Vertex],0)),1,1,"")</f>
        <v>6</v>
      </c>
      <c r="U147" s="80" t="str">
        <f>REPLACE(INDEX(GroupVertices[Group],MATCH(Edges[[#This Row],[Vertex 2]],GroupVertices[Vertex],0)),1,1,"")</f>
        <v>6</v>
      </c>
      <c r="V147" s="49">
        <v>0</v>
      </c>
      <c r="W147" s="50">
        <v>0</v>
      </c>
      <c r="X147" s="49">
        <v>0</v>
      </c>
      <c r="Y147" s="50">
        <v>0</v>
      </c>
      <c r="Z147" s="49">
        <v>0</v>
      </c>
      <c r="AA147" s="50">
        <v>0</v>
      </c>
      <c r="AB147" s="49">
        <v>13</v>
      </c>
      <c r="AC147" s="50">
        <v>100</v>
      </c>
      <c r="AD147" s="49">
        <v>13</v>
      </c>
    </row>
    <row r="148" spans="1:30" ht="15">
      <c r="A148" s="65" t="s">
        <v>405</v>
      </c>
      <c r="B148" s="65" t="s">
        <v>408</v>
      </c>
      <c r="C148" s="66" t="s">
        <v>1297</v>
      </c>
      <c r="D148" s="67">
        <v>3</v>
      </c>
      <c r="E148" s="68"/>
      <c r="F148" s="69">
        <v>70</v>
      </c>
      <c r="G148" s="66"/>
      <c r="H148" s="70"/>
      <c r="I148" s="71"/>
      <c r="J148" s="71"/>
      <c r="K148" s="35" t="s">
        <v>66</v>
      </c>
      <c r="L148" s="79">
        <v>148</v>
      </c>
      <c r="M148" s="79"/>
      <c r="N148" s="73"/>
      <c r="O148" s="81" t="s">
        <v>444</v>
      </c>
      <c r="P148" s="81">
        <v>1</v>
      </c>
      <c r="Q148" s="81" t="s">
        <v>445</v>
      </c>
      <c r="R148" s="81" t="s">
        <v>549</v>
      </c>
      <c r="S148" s="81">
        <v>131182</v>
      </c>
      <c r="T148" s="80" t="str">
        <f>REPLACE(INDEX(GroupVertices[Group],MATCH(Edges[[#This Row],[Vertex 1]],GroupVertices[Vertex],0)),1,1,"")</f>
        <v>6</v>
      </c>
      <c r="U148" s="80" t="str">
        <f>REPLACE(INDEX(GroupVertices[Group],MATCH(Edges[[#This Row],[Vertex 2]],GroupVertices[Vertex],0)),1,1,"")</f>
        <v>6</v>
      </c>
      <c r="V148" s="49">
        <v>0</v>
      </c>
      <c r="W148" s="50">
        <v>0</v>
      </c>
      <c r="X148" s="49">
        <v>0</v>
      </c>
      <c r="Y148" s="50">
        <v>0</v>
      </c>
      <c r="Z148" s="49">
        <v>0</v>
      </c>
      <c r="AA148" s="50">
        <v>0</v>
      </c>
      <c r="AB148" s="49">
        <v>1</v>
      </c>
      <c r="AC148" s="50">
        <v>100</v>
      </c>
      <c r="AD148" s="49">
        <v>1</v>
      </c>
    </row>
    <row r="149" spans="1:30" ht="15">
      <c r="A149" s="65" t="s">
        <v>408</v>
      </c>
      <c r="B149" s="65" t="s">
        <v>408</v>
      </c>
      <c r="C149" s="66" t="s">
        <v>1298</v>
      </c>
      <c r="D149" s="67">
        <v>10</v>
      </c>
      <c r="E149" s="68"/>
      <c r="F149" s="69">
        <v>40</v>
      </c>
      <c r="G149" s="66"/>
      <c r="H149" s="70"/>
      <c r="I149" s="71"/>
      <c r="J149" s="71"/>
      <c r="K149" s="35" t="s">
        <v>65</v>
      </c>
      <c r="L149" s="79">
        <v>149</v>
      </c>
      <c r="M149" s="79"/>
      <c r="N149" s="73"/>
      <c r="O149" s="81" t="s">
        <v>444</v>
      </c>
      <c r="P149" s="81">
        <v>10</v>
      </c>
      <c r="Q149" s="81" t="s">
        <v>445</v>
      </c>
      <c r="R149" s="81" t="s">
        <v>547</v>
      </c>
      <c r="S149" s="81">
        <v>126206</v>
      </c>
      <c r="T149" s="80" t="str">
        <f>REPLACE(INDEX(GroupVertices[Group],MATCH(Edges[[#This Row],[Vertex 1]],GroupVertices[Vertex],0)),1,1,"")</f>
        <v>6</v>
      </c>
      <c r="U149" s="80" t="str">
        <f>REPLACE(INDEX(GroupVertices[Group],MATCH(Edges[[#This Row],[Vertex 2]],GroupVertices[Vertex],0)),1,1,"")</f>
        <v>6</v>
      </c>
      <c r="V149" s="49">
        <v>0</v>
      </c>
      <c r="W149" s="50">
        <v>0</v>
      </c>
      <c r="X149" s="49">
        <v>0</v>
      </c>
      <c r="Y149" s="50">
        <v>0</v>
      </c>
      <c r="Z149" s="49">
        <v>0</v>
      </c>
      <c r="AA149" s="50">
        <v>0</v>
      </c>
      <c r="AB149" s="49">
        <v>11</v>
      </c>
      <c r="AC149" s="50">
        <v>100</v>
      </c>
      <c r="AD149" s="49">
        <v>11</v>
      </c>
    </row>
    <row r="150" spans="1:30" ht="15">
      <c r="A150" s="65" t="s">
        <v>407</v>
      </c>
      <c r="B150" s="65" t="s">
        <v>408</v>
      </c>
      <c r="C150" s="66" t="s">
        <v>1298</v>
      </c>
      <c r="D150" s="67">
        <v>10</v>
      </c>
      <c r="E150" s="68"/>
      <c r="F150" s="69">
        <v>40</v>
      </c>
      <c r="G150" s="66"/>
      <c r="H150" s="70"/>
      <c r="I150" s="71"/>
      <c r="J150" s="71"/>
      <c r="K150" s="35" t="s">
        <v>66</v>
      </c>
      <c r="L150" s="79">
        <v>150</v>
      </c>
      <c r="M150" s="79"/>
      <c r="N150" s="73"/>
      <c r="O150" s="81" t="s">
        <v>444</v>
      </c>
      <c r="P150" s="81">
        <v>3</v>
      </c>
      <c r="Q150" s="81" t="s">
        <v>445</v>
      </c>
      <c r="R150" s="81" t="s">
        <v>550</v>
      </c>
      <c r="S150" s="81">
        <v>132709</v>
      </c>
      <c r="T150" s="80" t="str">
        <f>REPLACE(INDEX(GroupVertices[Group],MATCH(Edges[[#This Row],[Vertex 1]],GroupVertices[Vertex],0)),1,1,"")</f>
        <v>6</v>
      </c>
      <c r="U150" s="80" t="str">
        <f>REPLACE(INDEX(GroupVertices[Group],MATCH(Edges[[#This Row],[Vertex 2]],GroupVertices[Vertex],0)),1,1,"")</f>
        <v>6</v>
      </c>
      <c r="V150" s="49">
        <v>1</v>
      </c>
      <c r="W150" s="50">
        <v>2.9411764705882355</v>
      </c>
      <c r="X150" s="49">
        <v>2</v>
      </c>
      <c r="Y150" s="50">
        <v>5.882352941176471</v>
      </c>
      <c r="Z150" s="49">
        <v>0</v>
      </c>
      <c r="AA150" s="50">
        <v>0</v>
      </c>
      <c r="AB150" s="49">
        <v>31</v>
      </c>
      <c r="AC150" s="50">
        <v>91.17647058823529</v>
      </c>
      <c r="AD150" s="49">
        <v>34</v>
      </c>
    </row>
    <row r="151" spans="1:30" ht="15">
      <c r="A151" s="65" t="s">
        <v>408</v>
      </c>
      <c r="B151" s="65" t="s">
        <v>407</v>
      </c>
      <c r="C151" s="66" t="s">
        <v>1298</v>
      </c>
      <c r="D151" s="67">
        <v>10</v>
      </c>
      <c r="E151" s="68"/>
      <c r="F151" s="69">
        <v>40</v>
      </c>
      <c r="G151" s="66"/>
      <c r="H151" s="70"/>
      <c r="I151" s="71"/>
      <c r="J151" s="71"/>
      <c r="K151" s="35" t="s">
        <v>66</v>
      </c>
      <c r="L151" s="79">
        <v>151</v>
      </c>
      <c r="M151" s="79"/>
      <c r="N151" s="73"/>
      <c r="O151" s="81" t="s">
        <v>444</v>
      </c>
      <c r="P151" s="81">
        <v>4</v>
      </c>
      <c r="Q151" s="81" t="s">
        <v>445</v>
      </c>
      <c r="R151" s="81" t="s">
        <v>551</v>
      </c>
      <c r="S151" s="81">
        <v>126206</v>
      </c>
      <c r="T151" s="80" t="str">
        <f>REPLACE(INDEX(GroupVertices[Group],MATCH(Edges[[#This Row],[Vertex 1]],GroupVertices[Vertex],0)),1,1,"")</f>
        <v>6</v>
      </c>
      <c r="U151" s="80" t="str">
        <f>REPLACE(INDEX(GroupVertices[Group],MATCH(Edges[[#This Row],[Vertex 2]],GroupVertices[Vertex],0)),1,1,"")</f>
        <v>6</v>
      </c>
      <c r="V151" s="49">
        <v>1</v>
      </c>
      <c r="W151" s="50">
        <v>1.7241379310344827</v>
      </c>
      <c r="X151" s="49">
        <v>1</v>
      </c>
      <c r="Y151" s="50">
        <v>1.7241379310344827</v>
      </c>
      <c r="Z151" s="49">
        <v>0</v>
      </c>
      <c r="AA151" s="50">
        <v>0</v>
      </c>
      <c r="AB151" s="49">
        <v>56</v>
      </c>
      <c r="AC151" s="50">
        <v>96.55172413793103</v>
      </c>
      <c r="AD151" s="49">
        <v>58</v>
      </c>
    </row>
    <row r="152" spans="1:30" ht="15">
      <c r="A152" s="65" t="s">
        <v>329</v>
      </c>
      <c r="B152" s="65" t="s">
        <v>408</v>
      </c>
      <c r="C152" s="66" t="s">
        <v>1297</v>
      </c>
      <c r="D152" s="67">
        <v>3</v>
      </c>
      <c r="E152" s="68"/>
      <c r="F152" s="69">
        <v>70</v>
      </c>
      <c r="G152" s="66"/>
      <c r="H152" s="70"/>
      <c r="I152" s="71"/>
      <c r="J152" s="71"/>
      <c r="K152" s="35" t="s">
        <v>66</v>
      </c>
      <c r="L152" s="79">
        <v>152</v>
      </c>
      <c r="M152" s="79"/>
      <c r="N152" s="73"/>
      <c r="O152" s="81" t="s">
        <v>444</v>
      </c>
      <c r="P152" s="81">
        <v>1</v>
      </c>
      <c r="Q152" s="81" t="s">
        <v>445</v>
      </c>
      <c r="R152" s="81" t="s">
        <v>552</v>
      </c>
      <c r="S152" s="81">
        <v>132709</v>
      </c>
      <c r="T152" s="80" t="str">
        <f>REPLACE(INDEX(GroupVertices[Group],MATCH(Edges[[#This Row],[Vertex 1]],GroupVertices[Vertex],0)),1,1,"")</f>
        <v>4</v>
      </c>
      <c r="U152" s="80" t="str">
        <f>REPLACE(INDEX(GroupVertices[Group],MATCH(Edges[[#This Row],[Vertex 2]],GroupVertices[Vertex],0)),1,1,"")</f>
        <v>6</v>
      </c>
      <c r="V152" s="49">
        <v>0</v>
      </c>
      <c r="W152" s="50">
        <v>0</v>
      </c>
      <c r="X152" s="49">
        <v>0</v>
      </c>
      <c r="Y152" s="50">
        <v>0</v>
      </c>
      <c r="Z152" s="49">
        <v>0</v>
      </c>
      <c r="AA152" s="50">
        <v>0</v>
      </c>
      <c r="AB152" s="49">
        <v>19</v>
      </c>
      <c r="AC152" s="50">
        <v>100</v>
      </c>
      <c r="AD152" s="49">
        <v>19</v>
      </c>
    </row>
    <row r="153" spans="1:30" ht="15">
      <c r="A153" s="65" t="s">
        <v>408</v>
      </c>
      <c r="B153" s="65" t="s">
        <v>329</v>
      </c>
      <c r="C153" s="66" t="s">
        <v>1297</v>
      </c>
      <c r="D153" s="67">
        <v>3</v>
      </c>
      <c r="E153" s="68"/>
      <c r="F153" s="69">
        <v>70</v>
      </c>
      <c r="G153" s="66"/>
      <c r="H153" s="70"/>
      <c r="I153" s="71"/>
      <c r="J153" s="71"/>
      <c r="K153" s="35" t="s">
        <v>66</v>
      </c>
      <c r="L153" s="79">
        <v>153</v>
      </c>
      <c r="M153" s="79"/>
      <c r="N153" s="73"/>
      <c r="O153" s="81" t="s">
        <v>444</v>
      </c>
      <c r="P153" s="81">
        <v>1</v>
      </c>
      <c r="Q153" s="81" t="s">
        <v>445</v>
      </c>
      <c r="R153" s="81" t="s">
        <v>547</v>
      </c>
      <c r="S153" s="81">
        <v>132645</v>
      </c>
      <c r="T153" s="80" t="str">
        <f>REPLACE(INDEX(GroupVertices[Group],MATCH(Edges[[#This Row],[Vertex 1]],GroupVertices[Vertex],0)),1,1,"")</f>
        <v>6</v>
      </c>
      <c r="U153" s="80" t="str">
        <f>REPLACE(INDEX(GroupVertices[Group],MATCH(Edges[[#This Row],[Vertex 2]],GroupVertices[Vertex],0)),1,1,"")</f>
        <v>4</v>
      </c>
      <c r="V153" s="49">
        <v>0</v>
      </c>
      <c r="W153" s="50">
        <v>0</v>
      </c>
      <c r="X153" s="49">
        <v>0</v>
      </c>
      <c r="Y153" s="50">
        <v>0</v>
      </c>
      <c r="Z153" s="49">
        <v>0</v>
      </c>
      <c r="AA153" s="50">
        <v>0</v>
      </c>
      <c r="AB153" s="49">
        <v>11</v>
      </c>
      <c r="AC153" s="50">
        <v>100</v>
      </c>
      <c r="AD153" s="49">
        <v>11</v>
      </c>
    </row>
    <row r="154" spans="1:30" ht="15">
      <c r="A154" s="65" t="s">
        <v>358</v>
      </c>
      <c r="B154" s="65" t="s">
        <v>408</v>
      </c>
      <c r="C154" s="66" t="s">
        <v>1297</v>
      </c>
      <c r="D154" s="67">
        <v>3</v>
      </c>
      <c r="E154" s="68"/>
      <c r="F154" s="69">
        <v>70</v>
      </c>
      <c r="G154" s="66"/>
      <c r="H154" s="70"/>
      <c r="I154" s="71"/>
      <c r="J154" s="71"/>
      <c r="K154" s="35" t="s">
        <v>65</v>
      </c>
      <c r="L154" s="79">
        <v>154</v>
      </c>
      <c r="M154" s="79"/>
      <c r="N154" s="73"/>
      <c r="O154" s="81" t="s">
        <v>444</v>
      </c>
      <c r="P154" s="81">
        <v>1</v>
      </c>
      <c r="Q154" s="81" t="s">
        <v>445</v>
      </c>
      <c r="R154" s="81" t="s">
        <v>553</v>
      </c>
      <c r="S154" s="81">
        <v>132818</v>
      </c>
      <c r="T154" s="80" t="str">
        <f>REPLACE(INDEX(GroupVertices[Group],MATCH(Edges[[#This Row],[Vertex 1]],GroupVertices[Vertex],0)),1,1,"")</f>
        <v>2</v>
      </c>
      <c r="U154" s="80" t="str">
        <f>REPLACE(INDEX(GroupVertices[Group],MATCH(Edges[[#This Row],[Vertex 2]],GroupVertices[Vertex],0)),1,1,"")</f>
        <v>6</v>
      </c>
      <c r="V154" s="49">
        <v>0</v>
      </c>
      <c r="W154" s="50">
        <v>0</v>
      </c>
      <c r="X154" s="49">
        <v>1</v>
      </c>
      <c r="Y154" s="50">
        <v>8.333333333333334</v>
      </c>
      <c r="Z154" s="49">
        <v>0</v>
      </c>
      <c r="AA154" s="50">
        <v>0</v>
      </c>
      <c r="AB154" s="49">
        <v>11</v>
      </c>
      <c r="AC154" s="50">
        <v>91.66666666666667</v>
      </c>
      <c r="AD154" s="49">
        <v>12</v>
      </c>
    </row>
    <row r="155" spans="1:30" ht="15">
      <c r="A155" s="65" t="s">
        <v>335</v>
      </c>
      <c r="B155" s="65" t="s">
        <v>409</v>
      </c>
      <c r="C155" s="66" t="s">
        <v>1297</v>
      </c>
      <c r="D155" s="67">
        <v>3</v>
      </c>
      <c r="E155" s="68"/>
      <c r="F155" s="69">
        <v>70</v>
      </c>
      <c r="G155" s="66"/>
      <c r="H155" s="70"/>
      <c r="I155" s="71"/>
      <c r="J155" s="71"/>
      <c r="K155" s="35" t="s">
        <v>66</v>
      </c>
      <c r="L155" s="79">
        <v>155</v>
      </c>
      <c r="M155" s="79"/>
      <c r="N155" s="73"/>
      <c r="O155" s="81" t="s">
        <v>444</v>
      </c>
      <c r="P155" s="81">
        <v>1</v>
      </c>
      <c r="Q155" s="81" t="s">
        <v>445</v>
      </c>
      <c r="R155" s="81" t="s">
        <v>543</v>
      </c>
      <c r="S155" s="81">
        <v>124334</v>
      </c>
      <c r="T155" s="80" t="str">
        <f>REPLACE(INDEX(GroupVertices[Group],MATCH(Edges[[#This Row],[Vertex 1]],GroupVertices[Vertex],0)),1,1,"")</f>
        <v>1</v>
      </c>
      <c r="U155" s="80" t="str">
        <f>REPLACE(INDEX(GroupVertices[Group],MATCH(Edges[[#This Row],[Vertex 2]],GroupVertices[Vertex],0)),1,1,"")</f>
        <v>1</v>
      </c>
      <c r="V155" s="49">
        <v>0</v>
      </c>
      <c r="W155" s="50">
        <v>0</v>
      </c>
      <c r="X155" s="49">
        <v>0</v>
      </c>
      <c r="Y155" s="50">
        <v>0</v>
      </c>
      <c r="Z155" s="49">
        <v>0</v>
      </c>
      <c r="AA155" s="50">
        <v>0</v>
      </c>
      <c r="AB155" s="49">
        <v>9</v>
      </c>
      <c r="AC155" s="50">
        <v>100</v>
      </c>
      <c r="AD155" s="49">
        <v>9</v>
      </c>
    </row>
    <row r="156" spans="1:30" ht="15">
      <c r="A156" s="65" t="s">
        <v>409</v>
      </c>
      <c r="B156" s="65" t="s">
        <v>335</v>
      </c>
      <c r="C156" s="66" t="s">
        <v>1298</v>
      </c>
      <c r="D156" s="67">
        <v>10</v>
      </c>
      <c r="E156" s="68"/>
      <c r="F156" s="69">
        <v>40</v>
      </c>
      <c r="G156" s="66"/>
      <c r="H156" s="70"/>
      <c r="I156" s="71"/>
      <c r="J156" s="71"/>
      <c r="K156" s="35" t="s">
        <v>66</v>
      </c>
      <c r="L156" s="79">
        <v>156</v>
      </c>
      <c r="M156" s="79"/>
      <c r="N156" s="73"/>
      <c r="O156" s="81" t="s">
        <v>444</v>
      </c>
      <c r="P156" s="81">
        <v>2</v>
      </c>
      <c r="Q156" s="81" t="s">
        <v>445</v>
      </c>
      <c r="R156" s="81" t="s">
        <v>554</v>
      </c>
      <c r="S156" s="81">
        <v>125126</v>
      </c>
      <c r="T156" s="80" t="str">
        <f>REPLACE(INDEX(GroupVertices[Group],MATCH(Edges[[#This Row],[Vertex 1]],GroupVertices[Vertex],0)),1,1,"")</f>
        <v>1</v>
      </c>
      <c r="U156" s="80" t="str">
        <f>REPLACE(INDEX(GroupVertices[Group],MATCH(Edges[[#This Row],[Vertex 2]],GroupVertices[Vertex],0)),1,1,"")</f>
        <v>1</v>
      </c>
      <c r="V156" s="49">
        <v>0</v>
      </c>
      <c r="W156" s="50">
        <v>0</v>
      </c>
      <c r="X156" s="49">
        <v>0</v>
      </c>
      <c r="Y156" s="50">
        <v>0</v>
      </c>
      <c r="Z156" s="49">
        <v>0</v>
      </c>
      <c r="AA156" s="50">
        <v>0</v>
      </c>
      <c r="AB156" s="49">
        <v>10</v>
      </c>
      <c r="AC156" s="50">
        <v>100</v>
      </c>
      <c r="AD156" s="49">
        <v>10</v>
      </c>
    </row>
    <row r="157" spans="1:30" ht="15">
      <c r="A157" s="65" t="s">
        <v>410</v>
      </c>
      <c r="B157" s="65" t="s">
        <v>409</v>
      </c>
      <c r="C157" s="66" t="s">
        <v>1297</v>
      </c>
      <c r="D157" s="67">
        <v>3</v>
      </c>
      <c r="E157" s="68"/>
      <c r="F157" s="69">
        <v>70</v>
      </c>
      <c r="G157" s="66"/>
      <c r="H157" s="70"/>
      <c r="I157" s="71"/>
      <c r="J157" s="71"/>
      <c r="K157" s="35" t="s">
        <v>65</v>
      </c>
      <c r="L157" s="79">
        <v>157</v>
      </c>
      <c r="M157" s="79"/>
      <c r="N157" s="73"/>
      <c r="O157" s="81" t="s">
        <v>444</v>
      </c>
      <c r="P157" s="81">
        <v>1</v>
      </c>
      <c r="Q157" s="81" t="s">
        <v>445</v>
      </c>
      <c r="R157" s="81" t="s">
        <v>553</v>
      </c>
      <c r="S157" s="81">
        <v>125373</v>
      </c>
      <c r="T157" s="80" t="str">
        <f>REPLACE(INDEX(GroupVertices[Group],MATCH(Edges[[#This Row],[Vertex 1]],GroupVertices[Vertex],0)),1,1,"")</f>
        <v>1</v>
      </c>
      <c r="U157" s="80" t="str">
        <f>REPLACE(INDEX(GroupVertices[Group],MATCH(Edges[[#This Row],[Vertex 2]],GroupVertices[Vertex],0)),1,1,"")</f>
        <v>1</v>
      </c>
      <c r="V157" s="49">
        <v>0</v>
      </c>
      <c r="W157" s="50">
        <v>0</v>
      </c>
      <c r="X157" s="49">
        <v>1</v>
      </c>
      <c r="Y157" s="50">
        <v>8.333333333333334</v>
      </c>
      <c r="Z157" s="49">
        <v>0</v>
      </c>
      <c r="AA157" s="50">
        <v>0</v>
      </c>
      <c r="AB157" s="49">
        <v>11</v>
      </c>
      <c r="AC157" s="50">
        <v>91.66666666666667</v>
      </c>
      <c r="AD157" s="49">
        <v>12</v>
      </c>
    </row>
    <row r="158" spans="1:30" ht="15">
      <c r="A158" s="65" t="s">
        <v>409</v>
      </c>
      <c r="B158" s="65" t="s">
        <v>348</v>
      </c>
      <c r="C158" s="66" t="s">
        <v>1297</v>
      </c>
      <c r="D158" s="67">
        <v>3</v>
      </c>
      <c r="E158" s="68"/>
      <c r="F158" s="69">
        <v>70</v>
      </c>
      <c r="G158" s="66"/>
      <c r="H158" s="70"/>
      <c r="I158" s="71"/>
      <c r="J158" s="71"/>
      <c r="K158" s="35" t="s">
        <v>65</v>
      </c>
      <c r="L158" s="79">
        <v>158</v>
      </c>
      <c r="M158" s="79"/>
      <c r="N158" s="73"/>
      <c r="O158" s="81" t="s">
        <v>444</v>
      </c>
      <c r="P158" s="81">
        <v>1</v>
      </c>
      <c r="Q158" s="81" t="s">
        <v>445</v>
      </c>
      <c r="R158" s="81" t="s">
        <v>555</v>
      </c>
      <c r="S158" s="81">
        <v>70446</v>
      </c>
      <c r="T158" s="80" t="str">
        <f>REPLACE(INDEX(GroupVertices[Group],MATCH(Edges[[#This Row],[Vertex 1]],GroupVertices[Vertex],0)),1,1,"")</f>
        <v>1</v>
      </c>
      <c r="U158" s="80" t="str">
        <f>REPLACE(INDEX(GroupVertices[Group],MATCH(Edges[[#This Row],[Vertex 2]],GroupVertices[Vertex],0)),1,1,"")</f>
        <v>3</v>
      </c>
      <c r="V158" s="49">
        <v>2</v>
      </c>
      <c r="W158" s="50">
        <v>22.22222222222222</v>
      </c>
      <c r="X158" s="49">
        <v>0</v>
      </c>
      <c r="Y158" s="50">
        <v>0</v>
      </c>
      <c r="Z158" s="49">
        <v>0</v>
      </c>
      <c r="AA158" s="50">
        <v>0</v>
      </c>
      <c r="AB158" s="49">
        <v>7</v>
      </c>
      <c r="AC158" s="50">
        <v>77.77777777777777</v>
      </c>
      <c r="AD158" s="49">
        <v>9</v>
      </c>
    </row>
    <row r="159" spans="1:30" ht="15">
      <c r="A159" s="65" t="s">
        <v>411</v>
      </c>
      <c r="B159" s="65" t="s">
        <v>409</v>
      </c>
      <c r="C159" s="66" t="s">
        <v>1297</v>
      </c>
      <c r="D159" s="67">
        <v>3</v>
      </c>
      <c r="E159" s="68"/>
      <c r="F159" s="69">
        <v>70</v>
      </c>
      <c r="G159" s="66"/>
      <c r="H159" s="70"/>
      <c r="I159" s="71"/>
      <c r="J159" s="71"/>
      <c r="K159" s="35" t="s">
        <v>65</v>
      </c>
      <c r="L159" s="79">
        <v>159</v>
      </c>
      <c r="M159" s="79"/>
      <c r="N159" s="73"/>
      <c r="O159" s="81" t="s">
        <v>444</v>
      </c>
      <c r="P159" s="81">
        <v>1</v>
      </c>
      <c r="Q159" s="81" t="s">
        <v>445</v>
      </c>
      <c r="R159" s="81" t="s">
        <v>556</v>
      </c>
      <c r="S159" s="81">
        <v>70564</v>
      </c>
      <c r="T159" s="80" t="str">
        <f>REPLACE(INDEX(GroupVertices[Group],MATCH(Edges[[#This Row],[Vertex 1]],GroupVertices[Vertex],0)),1,1,"")</f>
        <v>1</v>
      </c>
      <c r="U159" s="80" t="str">
        <f>REPLACE(INDEX(GroupVertices[Group],MATCH(Edges[[#This Row],[Vertex 2]],GroupVertices[Vertex],0)),1,1,"")</f>
        <v>1</v>
      </c>
      <c r="V159" s="49">
        <v>0</v>
      </c>
      <c r="W159" s="50">
        <v>0</v>
      </c>
      <c r="X159" s="49">
        <v>0</v>
      </c>
      <c r="Y159" s="50">
        <v>0</v>
      </c>
      <c r="Z159" s="49">
        <v>0</v>
      </c>
      <c r="AA159" s="50">
        <v>0</v>
      </c>
      <c r="AB159" s="49">
        <v>7</v>
      </c>
      <c r="AC159" s="50">
        <v>100</v>
      </c>
      <c r="AD159" s="49">
        <v>7</v>
      </c>
    </row>
    <row r="160" spans="1:30" ht="15">
      <c r="A160" s="65" t="s">
        <v>331</v>
      </c>
      <c r="B160" s="65" t="s">
        <v>411</v>
      </c>
      <c r="C160" s="66" t="s">
        <v>1297</v>
      </c>
      <c r="D160" s="67">
        <v>3</v>
      </c>
      <c r="E160" s="68"/>
      <c r="F160" s="69">
        <v>70</v>
      </c>
      <c r="G160" s="66"/>
      <c r="H160" s="70"/>
      <c r="I160" s="71"/>
      <c r="J160" s="71"/>
      <c r="K160" s="35" t="s">
        <v>65</v>
      </c>
      <c r="L160" s="79">
        <v>160</v>
      </c>
      <c r="M160" s="79"/>
      <c r="N160" s="73"/>
      <c r="O160" s="81" t="s">
        <v>444</v>
      </c>
      <c r="P160" s="81">
        <v>1</v>
      </c>
      <c r="Q160" s="81" t="s">
        <v>445</v>
      </c>
      <c r="R160" s="81" t="s">
        <v>557</v>
      </c>
      <c r="S160" s="81">
        <v>70881</v>
      </c>
      <c r="T160" s="80" t="str">
        <f>REPLACE(INDEX(GroupVertices[Group],MATCH(Edges[[#This Row],[Vertex 1]],GroupVertices[Vertex],0)),1,1,"")</f>
        <v>1</v>
      </c>
      <c r="U160" s="80" t="str">
        <f>REPLACE(INDEX(GroupVertices[Group],MATCH(Edges[[#This Row],[Vertex 2]],GroupVertices[Vertex],0)),1,1,"")</f>
        <v>1</v>
      </c>
      <c r="V160" s="49">
        <v>0</v>
      </c>
      <c r="W160" s="50">
        <v>0</v>
      </c>
      <c r="X160" s="49">
        <v>0</v>
      </c>
      <c r="Y160" s="50">
        <v>0</v>
      </c>
      <c r="Z160" s="49">
        <v>0</v>
      </c>
      <c r="AA160" s="50">
        <v>0</v>
      </c>
      <c r="AB160" s="49">
        <v>13</v>
      </c>
      <c r="AC160" s="50">
        <v>100</v>
      </c>
      <c r="AD160" s="49">
        <v>13</v>
      </c>
    </row>
    <row r="161" spans="1:30" ht="15">
      <c r="A161" s="65" t="s">
        <v>399</v>
      </c>
      <c r="B161" s="65" t="s">
        <v>392</v>
      </c>
      <c r="C161" s="66" t="s">
        <v>1297</v>
      </c>
      <c r="D161" s="67">
        <v>3</v>
      </c>
      <c r="E161" s="68"/>
      <c r="F161" s="69">
        <v>70</v>
      </c>
      <c r="G161" s="66"/>
      <c r="H161" s="70"/>
      <c r="I161" s="71"/>
      <c r="J161" s="71"/>
      <c r="K161" s="35" t="s">
        <v>66</v>
      </c>
      <c r="L161" s="79">
        <v>161</v>
      </c>
      <c r="M161" s="79"/>
      <c r="N161" s="73"/>
      <c r="O161" s="81" t="s">
        <v>444</v>
      </c>
      <c r="P161" s="81">
        <v>1</v>
      </c>
      <c r="Q161" s="81" t="s">
        <v>445</v>
      </c>
      <c r="R161" s="81" t="s">
        <v>558</v>
      </c>
      <c r="S161" s="81">
        <v>115405</v>
      </c>
      <c r="T161" s="80" t="str">
        <f>REPLACE(INDEX(GroupVertices[Group],MATCH(Edges[[#This Row],[Vertex 1]],GroupVertices[Vertex],0)),1,1,"")</f>
        <v>3</v>
      </c>
      <c r="U161" s="80" t="str">
        <f>REPLACE(INDEX(GroupVertices[Group],MATCH(Edges[[#This Row],[Vertex 2]],GroupVertices[Vertex],0)),1,1,"")</f>
        <v>5</v>
      </c>
      <c r="V161" s="49">
        <v>0</v>
      </c>
      <c r="W161" s="50">
        <v>0</v>
      </c>
      <c r="X161" s="49">
        <v>0</v>
      </c>
      <c r="Y161" s="50">
        <v>0</v>
      </c>
      <c r="Z161" s="49">
        <v>0</v>
      </c>
      <c r="AA161" s="50">
        <v>0</v>
      </c>
      <c r="AB161" s="49">
        <v>3</v>
      </c>
      <c r="AC161" s="50">
        <v>100</v>
      </c>
      <c r="AD161" s="49">
        <v>3</v>
      </c>
    </row>
    <row r="162" spans="1:30" ht="15">
      <c r="A162" s="65" t="s">
        <v>392</v>
      </c>
      <c r="B162" s="65" t="s">
        <v>399</v>
      </c>
      <c r="C162" s="66" t="s">
        <v>1297</v>
      </c>
      <c r="D162" s="67">
        <v>3</v>
      </c>
      <c r="E162" s="68"/>
      <c r="F162" s="69">
        <v>70</v>
      </c>
      <c r="G162" s="66"/>
      <c r="H162" s="70"/>
      <c r="I162" s="71"/>
      <c r="J162" s="71"/>
      <c r="K162" s="35" t="s">
        <v>66</v>
      </c>
      <c r="L162" s="79">
        <v>162</v>
      </c>
      <c r="M162" s="79"/>
      <c r="N162" s="73"/>
      <c r="O162" s="81" t="s">
        <v>444</v>
      </c>
      <c r="P162" s="81">
        <v>1</v>
      </c>
      <c r="Q162" s="81" t="s">
        <v>445</v>
      </c>
      <c r="R162" s="81" t="s">
        <v>559</v>
      </c>
      <c r="S162" s="81">
        <v>114948</v>
      </c>
      <c r="T162" s="80" t="str">
        <f>REPLACE(INDEX(GroupVertices[Group],MATCH(Edges[[#This Row],[Vertex 1]],GroupVertices[Vertex],0)),1,1,"")</f>
        <v>5</v>
      </c>
      <c r="U162" s="80" t="str">
        <f>REPLACE(INDEX(GroupVertices[Group],MATCH(Edges[[#This Row],[Vertex 2]],GroupVertices[Vertex],0)),1,1,"")</f>
        <v>3</v>
      </c>
      <c r="V162" s="49">
        <v>1</v>
      </c>
      <c r="W162" s="50">
        <v>4.166666666666667</v>
      </c>
      <c r="X162" s="49">
        <v>0</v>
      </c>
      <c r="Y162" s="50">
        <v>0</v>
      </c>
      <c r="Z162" s="49">
        <v>0</v>
      </c>
      <c r="AA162" s="50">
        <v>0</v>
      </c>
      <c r="AB162" s="49">
        <v>23</v>
      </c>
      <c r="AC162" s="50">
        <v>95.83333333333333</v>
      </c>
      <c r="AD162" s="49">
        <v>24</v>
      </c>
    </row>
    <row r="163" spans="1:30" ht="15">
      <c r="A163" s="65" t="s">
        <v>377</v>
      </c>
      <c r="B163" s="65" t="s">
        <v>392</v>
      </c>
      <c r="C163" s="66" t="s">
        <v>1297</v>
      </c>
      <c r="D163" s="67">
        <v>3</v>
      </c>
      <c r="E163" s="68"/>
      <c r="F163" s="69">
        <v>70</v>
      </c>
      <c r="G163" s="66"/>
      <c r="H163" s="70"/>
      <c r="I163" s="71"/>
      <c r="J163" s="71"/>
      <c r="K163" s="35" t="s">
        <v>65</v>
      </c>
      <c r="L163" s="79">
        <v>163</v>
      </c>
      <c r="M163" s="79"/>
      <c r="N163" s="73"/>
      <c r="O163" s="81" t="s">
        <v>444</v>
      </c>
      <c r="P163" s="81">
        <v>1</v>
      </c>
      <c r="Q163" s="81" t="s">
        <v>445</v>
      </c>
      <c r="R163" s="81" t="s">
        <v>524</v>
      </c>
      <c r="S163" s="81">
        <v>115875</v>
      </c>
      <c r="T163" s="80" t="str">
        <f>REPLACE(INDEX(GroupVertices[Group],MATCH(Edges[[#This Row],[Vertex 1]],GroupVertices[Vertex],0)),1,1,"")</f>
        <v>4</v>
      </c>
      <c r="U163" s="80" t="str">
        <f>REPLACE(INDEX(GroupVertices[Group],MATCH(Edges[[#This Row],[Vertex 2]],GroupVertices[Vertex],0)),1,1,"")</f>
        <v>5</v>
      </c>
      <c r="V163" s="49">
        <v>0</v>
      </c>
      <c r="W163" s="50">
        <v>0</v>
      </c>
      <c r="X163" s="49">
        <v>0</v>
      </c>
      <c r="Y163" s="50">
        <v>0</v>
      </c>
      <c r="Z163" s="49">
        <v>0</v>
      </c>
      <c r="AA163" s="50">
        <v>0</v>
      </c>
      <c r="AB163" s="49">
        <v>1</v>
      </c>
      <c r="AC163" s="50">
        <v>100</v>
      </c>
      <c r="AD163" s="49">
        <v>1</v>
      </c>
    </row>
    <row r="164" spans="1:30" ht="15">
      <c r="A164" s="65" t="s">
        <v>392</v>
      </c>
      <c r="B164" s="65" t="s">
        <v>398</v>
      </c>
      <c r="C164" s="66" t="s">
        <v>1297</v>
      </c>
      <c r="D164" s="67">
        <v>3</v>
      </c>
      <c r="E164" s="68"/>
      <c r="F164" s="69">
        <v>70</v>
      </c>
      <c r="G164" s="66"/>
      <c r="H164" s="70"/>
      <c r="I164" s="71"/>
      <c r="J164" s="71"/>
      <c r="K164" s="35" t="s">
        <v>66</v>
      </c>
      <c r="L164" s="79">
        <v>164</v>
      </c>
      <c r="M164" s="79"/>
      <c r="N164" s="73"/>
      <c r="O164" s="81" t="s">
        <v>444</v>
      </c>
      <c r="P164" s="81">
        <v>1</v>
      </c>
      <c r="Q164" s="81" t="s">
        <v>445</v>
      </c>
      <c r="R164" s="81" t="s">
        <v>560</v>
      </c>
      <c r="S164" s="81">
        <v>119142</v>
      </c>
      <c r="T164" s="80" t="str">
        <f>REPLACE(INDEX(GroupVertices[Group],MATCH(Edges[[#This Row],[Vertex 1]],GroupVertices[Vertex],0)),1,1,"")</f>
        <v>5</v>
      </c>
      <c r="U164" s="80" t="str">
        <f>REPLACE(INDEX(GroupVertices[Group],MATCH(Edges[[#This Row],[Vertex 2]],GroupVertices[Vertex],0)),1,1,"")</f>
        <v>5</v>
      </c>
      <c r="V164" s="49">
        <v>0</v>
      </c>
      <c r="W164" s="50">
        <v>0</v>
      </c>
      <c r="X164" s="49">
        <v>0</v>
      </c>
      <c r="Y164" s="50">
        <v>0</v>
      </c>
      <c r="Z164" s="49">
        <v>0</v>
      </c>
      <c r="AA164" s="50">
        <v>0</v>
      </c>
      <c r="AB164" s="49">
        <v>21</v>
      </c>
      <c r="AC164" s="50">
        <v>100</v>
      </c>
      <c r="AD164" s="49">
        <v>21</v>
      </c>
    </row>
    <row r="165" spans="1:30" ht="15">
      <c r="A165" s="65" t="s">
        <v>392</v>
      </c>
      <c r="B165" s="65" t="s">
        <v>392</v>
      </c>
      <c r="C165" s="66" t="s">
        <v>1297</v>
      </c>
      <c r="D165" s="67">
        <v>3</v>
      </c>
      <c r="E165" s="68"/>
      <c r="F165" s="69">
        <v>70</v>
      </c>
      <c r="G165" s="66"/>
      <c r="H165" s="70"/>
      <c r="I165" s="71"/>
      <c r="J165" s="71"/>
      <c r="K165" s="35" t="s">
        <v>65</v>
      </c>
      <c r="L165" s="79">
        <v>165</v>
      </c>
      <c r="M165" s="79"/>
      <c r="N165" s="73"/>
      <c r="O165" s="81" t="s">
        <v>444</v>
      </c>
      <c r="P165" s="81">
        <v>1</v>
      </c>
      <c r="Q165" s="81" t="s">
        <v>445</v>
      </c>
      <c r="R165" s="81" t="s">
        <v>561</v>
      </c>
      <c r="S165" s="81">
        <v>119476</v>
      </c>
      <c r="T165" s="80" t="str">
        <f>REPLACE(INDEX(GroupVertices[Group],MATCH(Edges[[#This Row],[Vertex 1]],GroupVertices[Vertex],0)),1,1,"")</f>
        <v>5</v>
      </c>
      <c r="U165" s="80" t="str">
        <f>REPLACE(INDEX(GroupVertices[Group],MATCH(Edges[[#This Row],[Vertex 2]],GroupVertices[Vertex],0)),1,1,"")</f>
        <v>5</v>
      </c>
      <c r="V165" s="49">
        <v>0</v>
      </c>
      <c r="W165" s="50">
        <v>0</v>
      </c>
      <c r="X165" s="49">
        <v>1</v>
      </c>
      <c r="Y165" s="50">
        <v>5.882352941176471</v>
      </c>
      <c r="Z165" s="49">
        <v>0</v>
      </c>
      <c r="AA165" s="50">
        <v>0</v>
      </c>
      <c r="AB165" s="49">
        <v>16</v>
      </c>
      <c r="AC165" s="50">
        <v>94.11764705882354</v>
      </c>
      <c r="AD165" s="49">
        <v>17</v>
      </c>
    </row>
    <row r="166" spans="1:30" ht="15">
      <c r="A166" s="65" t="s">
        <v>335</v>
      </c>
      <c r="B166" s="65" t="s">
        <v>392</v>
      </c>
      <c r="C166" s="66" t="s">
        <v>1297</v>
      </c>
      <c r="D166" s="67">
        <v>3</v>
      </c>
      <c r="E166" s="68"/>
      <c r="F166" s="69">
        <v>70</v>
      </c>
      <c r="G166" s="66"/>
      <c r="H166" s="70"/>
      <c r="I166" s="71"/>
      <c r="J166" s="71"/>
      <c r="K166" s="35" t="s">
        <v>65</v>
      </c>
      <c r="L166" s="79">
        <v>166</v>
      </c>
      <c r="M166" s="79"/>
      <c r="N166" s="73"/>
      <c r="O166" s="81" t="s">
        <v>444</v>
      </c>
      <c r="P166" s="81">
        <v>1</v>
      </c>
      <c r="Q166" s="81" t="s">
        <v>445</v>
      </c>
      <c r="R166" s="81" t="s">
        <v>520</v>
      </c>
      <c r="S166" s="81">
        <v>119641</v>
      </c>
      <c r="T166" s="80" t="str">
        <f>REPLACE(INDEX(GroupVertices[Group],MATCH(Edges[[#This Row],[Vertex 1]],GroupVertices[Vertex],0)),1,1,"")</f>
        <v>1</v>
      </c>
      <c r="U166" s="80" t="str">
        <f>REPLACE(INDEX(GroupVertices[Group],MATCH(Edges[[#This Row],[Vertex 2]],GroupVertices[Vertex],0)),1,1,"")</f>
        <v>5</v>
      </c>
      <c r="V166" s="49">
        <v>0</v>
      </c>
      <c r="W166" s="50">
        <v>0</v>
      </c>
      <c r="X166" s="49">
        <v>0</v>
      </c>
      <c r="Y166" s="50">
        <v>0</v>
      </c>
      <c r="Z166" s="49">
        <v>0</v>
      </c>
      <c r="AA166" s="50">
        <v>0</v>
      </c>
      <c r="AB166" s="49">
        <v>16</v>
      </c>
      <c r="AC166" s="50">
        <v>100</v>
      </c>
      <c r="AD166" s="49">
        <v>16</v>
      </c>
    </row>
    <row r="167" spans="1:30" ht="15">
      <c r="A167" s="65" t="s">
        <v>398</v>
      </c>
      <c r="B167" s="65" t="s">
        <v>392</v>
      </c>
      <c r="C167" s="66" t="s">
        <v>1297</v>
      </c>
      <c r="D167" s="67">
        <v>3</v>
      </c>
      <c r="E167" s="68"/>
      <c r="F167" s="69">
        <v>70</v>
      </c>
      <c r="G167" s="66"/>
      <c r="H167" s="70"/>
      <c r="I167" s="71"/>
      <c r="J167" s="71"/>
      <c r="K167" s="35" t="s">
        <v>66</v>
      </c>
      <c r="L167" s="79">
        <v>167</v>
      </c>
      <c r="M167" s="79"/>
      <c r="N167" s="73"/>
      <c r="O167" s="81" t="s">
        <v>444</v>
      </c>
      <c r="P167" s="81">
        <v>1</v>
      </c>
      <c r="Q167" s="81" t="s">
        <v>445</v>
      </c>
      <c r="R167" s="81" t="s">
        <v>520</v>
      </c>
      <c r="S167" s="81">
        <v>120094</v>
      </c>
      <c r="T167" s="80" t="str">
        <f>REPLACE(INDEX(GroupVertices[Group],MATCH(Edges[[#This Row],[Vertex 1]],GroupVertices[Vertex],0)),1,1,"")</f>
        <v>5</v>
      </c>
      <c r="U167" s="80" t="str">
        <f>REPLACE(INDEX(GroupVertices[Group],MATCH(Edges[[#This Row],[Vertex 2]],GroupVertices[Vertex],0)),1,1,"")</f>
        <v>5</v>
      </c>
      <c r="V167" s="49">
        <v>0</v>
      </c>
      <c r="W167" s="50">
        <v>0</v>
      </c>
      <c r="X167" s="49">
        <v>0</v>
      </c>
      <c r="Y167" s="50">
        <v>0</v>
      </c>
      <c r="Z167" s="49">
        <v>0</v>
      </c>
      <c r="AA167" s="50">
        <v>0</v>
      </c>
      <c r="AB167" s="49">
        <v>16</v>
      </c>
      <c r="AC167" s="50">
        <v>100</v>
      </c>
      <c r="AD167" s="49">
        <v>16</v>
      </c>
    </row>
    <row r="168" spans="1:30" ht="15">
      <c r="A168" s="65" t="s">
        <v>392</v>
      </c>
      <c r="B168" s="65" t="s">
        <v>379</v>
      </c>
      <c r="C168" s="66" t="s">
        <v>1297</v>
      </c>
      <c r="D168" s="67">
        <v>3</v>
      </c>
      <c r="E168" s="68"/>
      <c r="F168" s="69">
        <v>70</v>
      </c>
      <c r="G168" s="66"/>
      <c r="H168" s="70"/>
      <c r="I168" s="71"/>
      <c r="J168" s="71"/>
      <c r="K168" s="35" t="s">
        <v>65</v>
      </c>
      <c r="L168" s="79">
        <v>168</v>
      </c>
      <c r="M168" s="79"/>
      <c r="N168" s="73"/>
      <c r="O168" s="81" t="s">
        <v>444</v>
      </c>
      <c r="P168" s="81">
        <v>1</v>
      </c>
      <c r="Q168" s="81" t="s">
        <v>445</v>
      </c>
      <c r="R168" s="81" t="s">
        <v>562</v>
      </c>
      <c r="S168" s="81">
        <v>82021</v>
      </c>
      <c r="T168" s="80" t="str">
        <f>REPLACE(INDEX(GroupVertices[Group],MATCH(Edges[[#This Row],[Vertex 1]],GroupVertices[Vertex],0)),1,1,"")</f>
        <v>5</v>
      </c>
      <c r="U168" s="80" t="str">
        <f>REPLACE(INDEX(GroupVertices[Group],MATCH(Edges[[#This Row],[Vertex 2]],GroupVertices[Vertex],0)),1,1,"")</f>
        <v>1</v>
      </c>
      <c r="V168" s="49">
        <v>0</v>
      </c>
      <c r="W168" s="50">
        <v>0</v>
      </c>
      <c r="X168" s="49">
        <v>0</v>
      </c>
      <c r="Y168" s="50">
        <v>0</v>
      </c>
      <c r="Z168" s="49">
        <v>0</v>
      </c>
      <c r="AA168" s="50">
        <v>0</v>
      </c>
      <c r="AB168" s="49">
        <v>21</v>
      </c>
      <c r="AC168" s="50">
        <v>100</v>
      </c>
      <c r="AD168" s="49">
        <v>21</v>
      </c>
    </row>
    <row r="169" spans="1:30" ht="15">
      <c r="A169" s="65" t="s">
        <v>412</v>
      </c>
      <c r="B169" s="65" t="s">
        <v>392</v>
      </c>
      <c r="C169" s="66" t="s">
        <v>1297</v>
      </c>
      <c r="D169" s="67">
        <v>3</v>
      </c>
      <c r="E169" s="68"/>
      <c r="F169" s="69">
        <v>70</v>
      </c>
      <c r="G169" s="66"/>
      <c r="H169" s="70"/>
      <c r="I169" s="71"/>
      <c r="J169" s="71"/>
      <c r="K169" s="35" t="s">
        <v>65</v>
      </c>
      <c r="L169" s="79">
        <v>169</v>
      </c>
      <c r="M169" s="79"/>
      <c r="N169" s="73"/>
      <c r="O169" s="81" t="s">
        <v>444</v>
      </c>
      <c r="P169" s="81">
        <v>1</v>
      </c>
      <c r="Q169" s="81" t="s">
        <v>445</v>
      </c>
      <c r="R169" s="81" t="s">
        <v>563</v>
      </c>
      <c r="S169" s="81">
        <v>82181</v>
      </c>
      <c r="T169" s="80" t="str">
        <f>REPLACE(INDEX(GroupVertices[Group],MATCH(Edges[[#This Row],[Vertex 1]],GroupVertices[Vertex],0)),1,1,"")</f>
        <v>5</v>
      </c>
      <c r="U169" s="80" t="str">
        <f>REPLACE(INDEX(GroupVertices[Group],MATCH(Edges[[#This Row],[Vertex 2]],GroupVertices[Vertex],0)),1,1,"")</f>
        <v>5</v>
      </c>
      <c r="V169" s="49">
        <v>0</v>
      </c>
      <c r="W169" s="50">
        <v>0</v>
      </c>
      <c r="X169" s="49">
        <v>1</v>
      </c>
      <c r="Y169" s="50">
        <v>50</v>
      </c>
      <c r="Z169" s="49">
        <v>0</v>
      </c>
      <c r="AA169" s="50">
        <v>0</v>
      </c>
      <c r="AB169" s="49">
        <v>1</v>
      </c>
      <c r="AC169" s="50">
        <v>50</v>
      </c>
      <c r="AD169" s="49">
        <v>2</v>
      </c>
    </row>
    <row r="170" spans="1:30" ht="15">
      <c r="A170" s="65" t="s">
        <v>377</v>
      </c>
      <c r="B170" s="65" t="s">
        <v>433</v>
      </c>
      <c r="C170" s="66" t="s">
        <v>1297</v>
      </c>
      <c r="D170" s="67">
        <v>3</v>
      </c>
      <c r="E170" s="68"/>
      <c r="F170" s="69">
        <v>70</v>
      </c>
      <c r="G170" s="66"/>
      <c r="H170" s="70"/>
      <c r="I170" s="71"/>
      <c r="J170" s="71"/>
      <c r="K170" s="35" t="s">
        <v>65</v>
      </c>
      <c r="L170" s="79">
        <v>170</v>
      </c>
      <c r="M170" s="79"/>
      <c r="N170" s="73"/>
      <c r="O170" s="81" t="s">
        <v>444</v>
      </c>
      <c r="P170" s="81">
        <v>1</v>
      </c>
      <c r="Q170" s="81" t="s">
        <v>445</v>
      </c>
      <c r="R170" s="81" t="s">
        <v>564</v>
      </c>
      <c r="S170" s="81">
        <v>198844</v>
      </c>
      <c r="T170" s="80" t="str">
        <f>REPLACE(INDEX(GroupVertices[Group],MATCH(Edges[[#This Row],[Vertex 1]],GroupVertices[Vertex],0)),1,1,"")</f>
        <v>4</v>
      </c>
      <c r="U170" s="80" t="str">
        <f>REPLACE(INDEX(GroupVertices[Group],MATCH(Edges[[#This Row],[Vertex 2]],GroupVertices[Vertex],0)),1,1,"")</f>
        <v>2</v>
      </c>
      <c r="V170" s="49">
        <v>0</v>
      </c>
      <c r="W170" s="50">
        <v>0</v>
      </c>
      <c r="X170" s="49">
        <v>0</v>
      </c>
      <c r="Y170" s="50">
        <v>0</v>
      </c>
      <c r="Z170" s="49">
        <v>0</v>
      </c>
      <c r="AA170" s="50">
        <v>0</v>
      </c>
      <c r="AB170" s="49">
        <v>4</v>
      </c>
      <c r="AC170" s="50">
        <v>100</v>
      </c>
      <c r="AD170" s="49">
        <v>4</v>
      </c>
    </row>
    <row r="171" spans="1:30" ht="15">
      <c r="A171" s="65" t="s">
        <v>413</v>
      </c>
      <c r="B171" s="65" t="s">
        <v>377</v>
      </c>
      <c r="C171" s="66" t="s">
        <v>1297</v>
      </c>
      <c r="D171" s="67">
        <v>3</v>
      </c>
      <c r="E171" s="68"/>
      <c r="F171" s="69">
        <v>70</v>
      </c>
      <c r="G171" s="66"/>
      <c r="H171" s="70"/>
      <c r="I171" s="71"/>
      <c r="J171" s="71"/>
      <c r="K171" s="35" t="s">
        <v>65</v>
      </c>
      <c r="L171" s="79">
        <v>171</v>
      </c>
      <c r="M171" s="79"/>
      <c r="N171" s="73"/>
      <c r="O171" s="81" t="s">
        <v>444</v>
      </c>
      <c r="P171" s="81">
        <v>1</v>
      </c>
      <c r="Q171" s="81" t="s">
        <v>445</v>
      </c>
      <c r="R171" s="81" t="s">
        <v>564</v>
      </c>
      <c r="S171" s="81">
        <v>199164</v>
      </c>
      <c r="T171" s="80" t="str">
        <f>REPLACE(INDEX(GroupVertices[Group],MATCH(Edges[[#This Row],[Vertex 1]],GroupVertices[Vertex],0)),1,1,"")</f>
        <v>7</v>
      </c>
      <c r="U171" s="80" t="str">
        <f>REPLACE(INDEX(GroupVertices[Group],MATCH(Edges[[#This Row],[Vertex 2]],GroupVertices[Vertex],0)),1,1,"")</f>
        <v>4</v>
      </c>
      <c r="V171" s="49">
        <v>0</v>
      </c>
      <c r="W171" s="50">
        <v>0</v>
      </c>
      <c r="X171" s="49">
        <v>0</v>
      </c>
      <c r="Y171" s="50">
        <v>0</v>
      </c>
      <c r="Z171" s="49">
        <v>0</v>
      </c>
      <c r="AA171" s="50">
        <v>0</v>
      </c>
      <c r="AB171" s="49">
        <v>4</v>
      </c>
      <c r="AC171" s="50">
        <v>100</v>
      </c>
      <c r="AD171" s="49">
        <v>4</v>
      </c>
    </row>
    <row r="172" spans="1:30" ht="15">
      <c r="A172" s="65" t="s">
        <v>329</v>
      </c>
      <c r="B172" s="65" t="s">
        <v>377</v>
      </c>
      <c r="C172" s="66" t="s">
        <v>1297</v>
      </c>
      <c r="D172" s="67">
        <v>3</v>
      </c>
      <c r="E172" s="68"/>
      <c r="F172" s="69">
        <v>70</v>
      </c>
      <c r="G172" s="66"/>
      <c r="H172" s="70"/>
      <c r="I172" s="71"/>
      <c r="J172" s="71"/>
      <c r="K172" s="35" t="s">
        <v>65</v>
      </c>
      <c r="L172" s="79">
        <v>172</v>
      </c>
      <c r="M172" s="79"/>
      <c r="N172" s="73"/>
      <c r="O172" s="81" t="s">
        <v>444</v>
      </c>
      <c r="P172" s="81">
        <v>1</v>
      </c>
      <c r="Q172" s="81" t="s">
        <v>445</v>
      </c>
      <c r="R172" s="81" t="s">
        <v>565</v>
      </c>
      <c r="S172" s="81">
        <v>204868</v>
      </c>
      <c r="T172" s="80" t="str">
        <f>REPLACE(INDEX(GroupVertices[Group],MATCH(Edges[[#This Row],[Vertex 1]],GroupVertices[Vertex],0)),1,1,"")</f>
        <v>4</v>
      </c>
      <c r="U172" s="80" t="str">
        <f>REPLACE(INDEX(GroupVertices[Group],MATCH(Edges[[#This Row],[Vertex 2]],GroupVertices[Vertex],0)),1,1,"")</f>
        <v>4</v>
      </c>
      <c r="V172" s="49">
        <v>0</v>
      </c>
      <c r="W172" s="50">
        <v>0</v>
      </c>
      <c r="X172" s="49">
        <v>2</v>
      </c>
      <c r="Y172" s="50">
        <v>11.11111111111111</v>
      </c>
      <c r="Z172" s="49">
        <v>0</v>
      </c>
      <c r="AA172" s="50">
        <v>0</v>
      </c>
      <c r="AB172" s="49">
        <v>16</v>
      </c>
      <c r="AC172" s="50">
        <v>88.88888888888889</v>
      </c>
      <c r="AD172" s="49">
        <v>18</v>
      </c>
    </row>
    <row r="173" spans="1:30" ht="15">
      <c r="A173" s="65" t="s">
        <v>399</v>
      </c>
      <c r="B173" s="65" t="s">
        <v>377</v>
      </c>
      <c r="C173" s="66" t="s">
        <v>1297</v>
      </c>
      <c r="D173" s="67">
        <v>3</v>
      </c>
      <c r="E173" s="68"/>
      <c r="F173" s="69">
        <v>70</v>
      </c>
      <c r="G173" s="66"/>
      <c r="H173" s="70"/>
      <c r="I173" s="71"/>
      <c r="J173" s="71"/>
      <c r="K173" s="35" t="s">
        <v>66</v>
      </c>
      <c r="L173" s="79">
        <v>173</v>
      </c>
      <c r="M173" s="79"/>
      <c r="N173" s="73"/>
      <c r="O173" s="81" t="s">
        <v>444</v>
      </c>
      <c r="P173" s="81">
        <v>1</v>
      </c>
      <c r="Q173" s="81" t="s">
        <v>445</v>
      </c>
      <c r="R173" s="81" t="s">
        <v>534</v>
      </c>
      <c r="S173" s="81">
        <v>116176</v>
      </c>
      <c r="T173" s="80" t="str">
        <f>REPLACE(INDEX(GroupVertices[Group],MATCH(Edges[[#This Row],[Vertex 1]],GroupVertices[Vertex],0)),1,1,"")</f>
        <v>3</v>
      </c>
      <c r="U173" s="80" t="str">
        <f>REPLACE(INDEX(GroupVertices[Group],MATCH(Edges[[#This Row],[Vertex 2]],GroupVertices[Vertex],0)),1,1,"")</f>
        <v>4</v>
      </c>
      <c r="V173" s="49">
        <v>0</v>
      </c>
      <c r="W173" s="50">
        <v>0</v>
      </c>
      <c r="X173" s="49">
        <v>0</v>
      </c>
      <c r="Y173" s="50">
        <v>0</v>
      </c>
      <c r="Z173" s="49">
        <v>0</v>
      </c>
      <c r="AA173" s="50">
        <v>0</v>
      </c>
      <c r="AB173" s="49">
        <v>2</v>
      </c>
      <c r="AC173" s="50">
        <v>100</v>
      </c>
      <c r="AD173" s="49">
        <v>2</v>
      </c>
    </row>
    <row r="174" spans="1:30" ht="15">
      <c r="A174" s="65" t="s">
        <v>377</v>
      </c>
      <c r="B174" s="65" t="s">
        <v>379</v>
      </c>
      <c r="C174" s="66" t="s">
        <v>1297</v>
      </c>
      <c r="D174" s="67">
        <v>3</v>
      </c>
      <c r="E174" s="68"/>
      <c r="F174" s="69">
        <v>70</v>
      </c>
      <c r="G174" s="66"/>
      <c r="H174" s="70"/>
      <c r="I174" s="71"/>
      <c r="J174" s="71"/>
      <c r="K174" s="35" t="s">
        <v>65</v>
      </c>
      <c r="L174" s="79">
        <v>174</v>
      </c>
      <c r="M174" s="79"/>
      <c r="N174" s="73"/>
      <c r="O174" s="81" t="s">
        <v>444</v>
      </c>
      <c r="P174" s="81">
        <v>1</v>
      </c>
      <c r="Q174" s="81" t="s">
        <v>445</v>
      </c>
      <c r="R174" s="81" t="s">
        <v>524</v>
      </c>
      <c r="S174" s="81">
        <v>113139</v>
      </c>
      <c r="T174" s="80" t="str">
        <f>REPLACE(INDEX(GroupVertices[Group],MATCH(Edges[[#This Row],[Vertex 1]],GroupVertices[Vertex],0)),1,1,"")</f>
        <v>4</v>
      </c>
      <c r="U174" s="80" t="str">
        <f>REPLACE(INDEX(GroupVertices[Group],MATCH(Edges[[#This Row],[Vertex 2]],GroupVertices[Vertex],0)),1,1,"")</f>
        <v>1</v>
      </c>
      <c r="V174" s="49">
        <v>0</v>
      </c>
      <c r="W174" s="50">
        <v>0</v>
      </c>
      <c r="X174" s="49">
        <v>0</v>
      </c>
      <c r="Y174" s="50">
        <v>0</v>
      </c>
      <c r="Z174" s="49">
        <v>0</v>
      </c>
      <c r="AA174" s="50">
        <v>0</v>
      </c>
      <c r="AB174" s="49">
        <v>1</v>
      </c>
      <c r="AC174" s="50">
        <v>100</v>
      </c>
      <c r="AD174" s="49">
        <v>1</v>
      </c>
    </row>
    <row r="175" spans="1:30" ht="15">
      <c r="A175" s="65" t="s">
        <v>377</v>
      </c>
      <c r="B175" s="65" t="s">
        <v>399</v>
      </c>
      <c r="C175" s="66" t="s">
        <v>1298</v>
      </c>
      <c r="D175" s="67">
        <v>10</v>
      </c>
      <c r="E175" s="68"/>
      <c r="F175" s="69">
        <v>40</v>
      </c>
      <c r="G175" s="66"/>
      <c r="H175" s="70"/>
      <c r="I175" s="71"/>
      <c r="J175" s="71"/>
      <c r="K175" s="35" t="s">
        <v>66</v>
      </c>
      <c r="L175" s="79">
        <v>175</v>
      </c>
      <c r="M175" s="79"/>
      <c r="N175" s="73"/>
      <c r="O175" s="81" t="s">
        <v>444</v>
      </c>
      <c r="P175" s="81">
        <v>2</v>
      </c>
      <c r="Q175" s="81" t="s">
        <v>445</v>
      </c>
      <c r="R175" s="81" t="s">
        <v>524</v>
      </c>
      <c r="S175" s="81">
        <v>120988</v>
      </c>
      <c r="T175" s="80" t="str">
        <f>REPLACE(INDEX(GroupVertices[Group],MATCH(Edges[[#This Row],[Vertex 1]],GroupVertices[Vertex],0)),1,1,"")</f>
        <v>4</v>
      </c>
      <c r="U175" s="80" t="str">
        <f>REPLACE(INDEX(GroupVertices[Group],MATCH(Edges[[#This Row],[Vertex 2]],GroupVertices[Vertex],0)),1,1,"")</f>
        <v>3</v>
      </c>
      <c r="V175" s="49">
        <v>0</v>
      </c>
      <c r="W175" s="50">
        <v>0</v>
      </c>
      <c r="X175" s="49">
        <v>0</v>
      </c>
      <c r="Y175" s="50">
        <v>0</v>
      </c>
      <c r="Z175" s="49">
        <v>0</v>
      </c>
      <c r="AA175" s="50">
        <v>0</v>
      </c>
      <c r="AB175" s="49">
        <v>1</v>
      </c>
      <c r="AC175" s="50">
        <v>100</v>
      </c>
      <c r="AD175" s="49">
        <v>1</v>
      </c>
    </row>
    <row r="176" spans="1:30" ht="15">
      <c r="A176" s="65" t="s">
        <v>377</v>
      </c>
      <c r="B176" s="65" t="s">
        <v>412</v>
      </c>
      <c r="C176" s="66" t="s">
        <v>1297</v>
      </c>
      <c r="D176" s="67">
        <v>3</v>
      </c>
      <c r="E176" s="68"/>
      <c r="F176" s="69">
        <v>70</v>
      </c>
      <c r="G176" s="66"/>
      <c r="H176" s="70"/>
      <c r="I176" s="71"/>
      <c r="J176" s="71"/>
      <c r="K176" s="35" t="s">
        <v>65</v>
      </c>
      <c r="L176" s="79">
        <v>176</v>
      </c>
      <c r="M176" s="79"/>
      <c r="N176" s="73"/>
      <c r="O176" s="81" t="s">
        <v>444</v>
      </c>
      <c r="P176" s="81">
        <v>1</v>
      </c>
      <c r="Q176" s="81" t="s">
        <v>445</v>
      </c>
      <c r="R176" s="81" t="s">
        <v>566</v>
      </c>
      <c r="S176" s="81">
        <v>77530</v>
      </c>
      <c r="T176" s="80" t="str">
        <f>REPLACE(INDEX(GroupVertices[Group],MATCH(Edges[[#This Row],[Vertex 1]],GroupVertices[Vertex],0)),1,1,"")</f>
        <v>4</v>
      </c>
      <c r="U176" s="80" t="str">
        <f>REPLACE(INDEX(GroupVertices[Group],MATCH(Edges[[#This Row],[Vertex 2]],GroupVertices[Vertex],0)),1,1,"")</f>
        <v>5</v>
      </c>
      <c r="V176" s="49">
        <v>0</v>
      </c>
      <c r="W176" s="50">
        <v>0</v>
      </c>
      <c r="X176" s="49">
        <v>1</v>
      </c>
      <c r="Y176" s="50">
        <v>6.666666666666667</v>
      </c>
      <c r="Z176" s="49">
        <v>0</v>
      </c>
      <c r="AA176" s="50">
        <v>0</v>
      </c>
      <c r="AB176" s="49">
        <v>14</v>
      </c>
      <c r="AC176" s="50">
        <v>93.33333333333333</v>
      </c>
      <c r="AD176" s="49">
        <v>15</v>
      </c>
    </row>
    <row r="177" spans="1:30" ht="15">
      <c r="A177" s="65" t="s">
        <v>414</v>
      </c>
      <c r="B177" s="65" t="s">
        <v>377</v>
      </c>
      <c r="C177" s="66" t="s">
        <v>1297</v>
      </c>
      <c r="D177" s="67">
        <v>3</v>
      </c>
      <c r="E177" s="68"/>
      <c r="F177" s="69">
        <v>70</v>
      </c>
      <c r="G177" s="66"/>
      <c r="H177" s="70"/>
      <c r="I177" s="71"/>
      <c r="J177" s="71"/>
      <c r="K177" s="35" t="s">
        <v>65</v>
      </c>
      <c r="L177" s="79">
        <v>177</v>
      </c>
      <c r="M177" s="79"/>
      <c r="N177" s="73"/>
      <c r="O177" s="81" t="s">
        <v>444</v>
      </c>
      <c r="P177" s="81">
        <v>1</v>
      </c>
      <c r="Q177" s="81" t="s">
        <v>445</v>
      </c>
      <c r="R177" s="81" t="s">
        <v>567</v>
      </c>
      <c r="S177" s="81">
        <v>77794</v>
      </c>
      <c r="T177" s="80" t="str">
        <f>REPLACE(INDEX(GroupVertices[Group],MATCH(Edges[[#This Row],[Vertex 1]],GroupVertices[Vertex],0)),1,1,"")</f>
        <v>4</v>
      </c>
      <c r="U177" s="80" t="str">
        <f>REPLACE(INDEX(GroupVertices[Group],MATCH(Edges[[#This Row],[Vertex 2]],GroupVertices[Vertex],0)),1,1,"")</f>
        <v>4</v>
      </c>
      <c r="V177" s="49">
        <v>0</v>
      </c>
      <c r="W177" s="50">
        <v>0</v>
      </c>
      <c r="X177" s="49">
        <v>0</v>
      </c>
      <c r="Y177" s="50">
        <v>0</v>
      </c>
      <c r="Z177" s="49">
        <v>0</v>
      </c>
      <c r="AA177" s="50">
        <v>0</v>
      </c>
      <c r="AB177" s="49">
        <v>11</v>
      </c>
      <c r="AC177" s="50">
        <v>100</v>
      </c>
      <c r="AD177" s="49">
        <v>11</v>
      </c>
    </row>
    <row r="178" spans="1:30" ht="15">
      <c r="A178" s="65" t="s">
        <v>414</v>
      </c>
      <c r="B178" s="65" t="s">
        <v>414</v>
      </c>
      <c r="C178" s="66" t="s">
        <v>1297</v>
      </c>
      <c r="D178" s="67">
        <v>3</v>
      </c>
      <c r="E178" s="68"/>
      <c r="F178" s="69">
        <v>70</v>
      </c>
      <c r="G178" s="66"/>
      <c r="H178" s="70"/>
      <c r="I178" s="71"/>
      <c r="J178" s="71"/>
      <c r="K178" s="35" t="s">
        <v>65</v>
      </c>
      <c r="L178" s="79">
        <v>178</v>
      </c>
      <c r="M178" s="79"/>
      <c r="N178" s="73"/>
      <c r="O178" s="81" t="s">
        <v>444</v>
      </c>
      <c r="P178" s="81">
        <v>1</v>
      </c>
      <c r="Q178" s="81" t="s">
        <v>445</v>
      </c>
      <c r="R178" s="81"/>
      <c r="S178" s="81">
        <v>77893</v>
      </c>
      <c r="T178" s="80" t="str">
        <f>REPLACE(INDEX(GroupVertices[Group],MATCH(Edges[[#This Row],[Vertex 1]],GroupVertices[Vertex],0)),1,1,"")</f>
        <v>4</v>
      </c>
      <c r="U178" s="80" t="str">
        <f>REPLACE(INDEX(GroupVertices[Group],MATCH(Edges[[#This Row],[Vertex 2]],GroupVertices[Vertex],0)),1,1,"")</f>
        <v>4</v>
      </c>
      <c r="V178" s="49"/>
      <c r="W178" s="50"/>
      <c r="X178" s="49"/>
      <c r="Y178" s="50"/>
      <c r="Z178" s="49"/>
      <c r="AA178" s="50"/>
      <c r="AB178" s="49"/>
      <c r="AC178" s="50"/>
      <c r="AD178" s="49"/>
    </row>
    <row r="179" spans="1:30" ht="15">
      <c r="A179" s="65" t="s">
        <v>329</v>
      </c>
      <c r="B179" s="65" t="s">
        <v>414</v>
      </c>
      <c r="C179" s="66" t="s">
        <v>1297</v>
      </c>
      <c r="D179" s="67">
        <v>3</v>
      </c>
      <c r="E179" s="68"/>
      <c r="F179" s="69">
        <v>70</v>
      </c>
      <c r="G179" s="66"/>
      <c r="H179" s="70"/>
      <c r="I179" s="71"/>
      <c r="J179" s="71"/>
      <c r="K179" s="35" t="s">
        <v>65</v>
      </c>
      <c r="L179" s="79">
        <v>179</v>
      </c>
      <c r="M179" s="79"/>
      <c r="N179" s="73"/>
      <c r="O179" s="81" t="s">
        <v>444</v>
      </c>
      <c r="P179" s="81">
        <v>1</v>
      </c>
      <c r="Q179" s="81" t="s">
        <v>445</v>
      </c>
      <c r="R179" s="81" t="s">
        <v>568</v>
      </c>
      <c r="S179" s="81">
        <v>77530</v>
      </c>
      <c r="T179" s="80" t="str">
        <f>REPLACE(INDEX(GroupVertices[Group],MATCH(Edges[[#This Row],[Vertex 1]],GroupVertices[Vertex],0)),1,1,"")</f>
        <v>4</v>
      </c>
      <c r="U179" s="80" t="str">
        <f>REPLACE(INDEX(GroupVertices[Group],MATCH(Edges[[#This Row],[Vertex 2]],GroupVertices[Vertex],0)),1,1,"")</f>
        <v>4</v>
      </c>
      <c r="V179" s="49">
        <v>0</v>
      </c>
      <c r="W179" s="50">
        <v>0</v>
      </c>
      <c r="X179" s="49">
        <v>0</v>
      </c>
      <c r="Y179" s="50">
        <v>0</v>
      </c>
      <c r="Z179" s="49">
        <v>0</v>
      </c>
      <c r="AA179" s="50">
        <v>0</v>
      </c>
      <c r="AB179" s="49">
        <v>11</v>
      </c>
      <c r="AC179" s="50">
        <v>100</v>
      </c>
      <c r="AD179" s="49">
        <v>11</v>
      </c>
    </row>
    <row r="180" spans="1:30" ht="15">
      <c r="A180" s="65" t="s">
        <v>415</v>
      </c>
      <c r="B180" s="65" t="s">
        <v>412</v>
      </c>
      <c r="C180" s="66" t="s">
        <v>1297</v>
      </c>
      <c r="D180" s="67">
        <v>3</v>
      </c>
      <c r="E180" s="68"/>
      <c r="F180" s="69">
        <v>70</v>
      </c>
      <c r="G180" s="66"/>
      <c r="H180" s="70"/>
      <c r="I180" s="71"/>
      <c r="J180" s="71"/>
      <c r="K180" s="35" t="s">
        <v>65</v>
      </c>
      <c r="L180" s="79">
        <v>180</v>
      </c>
      <c r="M180" s="79"/>
      <c r="N180" s="73"/>
      <c r="O180" s="81" t="s">
        <v>444</v>
      </c>
      <c r="P180" s="81">
        <v>1</v>
      </c>
      <c r="Q180" s="81" t="s">
        <v>445</v>
      </c>
      <c r="R180" s="81" t="s">
        <v>569</v>
      </c>
      <c r="S180" s="81">
        <v>78530</v>
      </c>
      <c r="T180" s="80" t="str">
        <f>REPLACE(INDEX(GroupVertices[Group],MATCH(Edges[[#This Row],[Vertex 1]],GroupVertices[Vertex],0)),1,1,"")</f>
        <v>5</v>
      </c>
      <c r="U180" s="80" t="str">
        <f>REPLACE(INDEX(GroupVertices[Group],MATCH(Edges[[#This Row],[Vertex 2]],GroupVertices[Vertex],0)),1,1,"")</f>
        <v>5</v>
      </c>
      <c r="V180" s="49">
        <v>0</v>
      </c>
      <c r="W180" s="50">
        <v>0</v>
      </c>
      <c r="X180" s="49">
        <v>1</v>
      </c>
      <c r="Y180" s="50">
        <v>25</v>
      </c>
      <c r="Z180" s="49">
        <v>0</v>
      </c>
      <c r="AA180" s="50">
        <v>0</v>
      </c>
      <c r="AB180" s="49">
        <v>3</v>
      </c>
      <c r="AC180" s="50">
        <v>75</v>
      </c>
      <c r="AD180" s="49">
        <v>4</v>
      </c>
    </row>
    <row r="181" spans="1:30" ht="15">
      <c r="A181" s="65" t="s">
        <v>415</v>
      </c>
      <c r="B181" s="65" t="s">
        <v>415</v>
      </c>
      <c r="C181" s="66" t="s">
        <v>1297</v>
      </c>
      <c r="D181" s="67">
        <v>3</v>
      </c>
      <c r="E181" s="68"/>
      <c r="F181" s="69">
        <v>70</v>
      </c>
      <c r="G181" s="66"/>
      <c r="H181" s="70"/>
      <c r="I181" s="71"/>
      <c r="J181" s="71"/>
      <c r="K181" s="35" t="s">
        <v>65</v>
      </c>
      <c r="L181" s="79">
        <v>181</v>
      </c>
      <c r="M181" s="79"/>
      <c r="N181" s="73"/>
      <c r="O181" s="81" t="s">
        <v>444</v>
      </c>
      <c r="P181" s="81">
        <v>1</v>
      </c>
      <c r="Q181" s="81" t="s">
        <v>445</v>
      </c>
      <c r="R181" s="81" t="s">
        <v>569</v>
      </c>
      <c r="S181" s="81">
        <v>78530</v>
      </c>
      <c r="T181" s="80" t="str">
        <f>REPLACE(INDEX(GroupVertices[Group],MATCH(Edges[[#This Row],[Vertex 1]],GroupVertices[Vertex],0)),1,1,"")</f>
        <v>5</v>
      </c>
      <c r="U181" s="80" t="str">
        <f>REPLACE(INDEX(GroupVertices[Group],MATCH(Edges[[#This Row],[Vertex 2]],GroupVertices[Vertex],0)),1,1,"")</f>
        <v>5</v>
      </c>
      <c r="V181" s="49">
        <v>0</v>
      </c>
      <c r="W181" s="50">
        <v>0</v>
      </c>
      <c r="X181" s="49">
        <v>1</v>
      </c>
      <c r="Y181" s="50">
        <v>25</v>
      </c>
      <c r="Z181" s="49">
        <v>0</v>
      </c>
      <c r="AA181" s="50">
        <v>0</v>
      </c>
      <c r="AB181" s="49">
        <v>3</v>
      </c>
      <c r="AC181" s="50">
        <v>75</v>
      </c>
      <c r="AD181" s="49">
        <v>4</v>
      </c>
    </row>
    <row r="182" spans="1:30" ht="15">
      <c r="A182" s="65" t="s">
        <v>416</v>
      </c>
      <c r="B182" s="65" t="s">
        <v>415</v>
      </c>
      <c r="C182" s="66" t="s">
        <v>1297</v>
      </c>
      <c r="D182" s="67">
        <v>3</v>
      </c>
      <c r="E182" s="68"/>
      <c r="F182" s="69">
        <v>70</v>
      </c>
      <c r="G182" s="66"/>
      <c r="H182" s="70"/>
      <c r="I182" s="71"/>
      <c r="J182" s="71"/>
      <c r="K182" s="35" t="s">
        <v>65</v>
      </c>
      <c r="L182" s="79">
        <v>182</v>
      </c>
      <c r="M182" s="79"/>
      <c r="N182" s="73"/>
      <c r="O182" s="81" t="s">
        <v>444</v>
      </c>
      <c r="P182" s="81">
        <v>1</v>
      </c>
      <c r="Q182" s="81" t="s">
        <v>445</v>
      </c>
      <c r="R182" s="81" t="s">
        <v>570</v>
      </c>
      <c r="S182" s="81">
        <v>78819</v>
      </c>
      <c r="T182" s="80" t="str">
        <f>REPLACE(INDEX(GroupVertices[Group],MATCH(Edges[[#This Row],[Vertex 1]],GroupVertices[Vertex],0)),1,1,"")</f>
        <v>5</v>
      </c>
      <c r="U182" s="80" t="str">
        <f>REPLACE(INDEX(GroupVertices[Group],MATCH(Edges[[#This Row],[Vertex 2]],GroupVertices[Vertex],0)),1,1,"")</f>
        <v>5</v>
      </c>
      <c r="V182" s="49">
        <v>0</v>
      </c>
      <c r="W182" s="50">
        <v>0</v>
      </c>
      <c r="X182" s="49">
        <v>1</v>
      </c>
      <c r="Y182" s="50">
        <v>16.666666666666668</v>
      </c>
      <c r="Z182" s="49">
        <v>0</v>
      </c>
      <c r="AA182" s="50">
        <v>0</v>
      </c>
      <c r="AB182" s="49">
        <v>5</v>
      </c>
      <c r="AC182" s="50">
        <v>83.33333333333333</v>
      </c>
      <c r="AD182" s="49">
        <v>6</v>
      </c>
    </row>
    <row r="183" spans="1:30" ht="15">
      <c r="A183" s="65" t="s">
        <v>412</v>
      </c>
      <c r="B183" s="65" t="s">
        <v>416</v>
      </c>
      <c r="C183" s="66" t="s">
        <v>1297</v>
      </c>
      <c r="D183" s="67">
        <v>3</v>
      </c>
      <c r="E183" s="68"/>
      <c r="F183" s="69">
        <v>70</v>
      </c>
      <c r="G183" s="66"/>
      <c r="H183" s="70"/>
      <c r="I183" s="71"/>
      <c r="J183" s="71"/>
      <c r="K183" s="35" t="s">
        <v>65</v>
      </c>
      <c r="L183" s="79">
        <v>183</v>
      </c>
      <c r="M183" s="79"/>
      <c r="N183" s="73"/>
      <c r="O183" s="81" t="s">
        <v>444</v>
      </c>
      <c r="P183" s="81">
        <v>1</v>
      </c>
      <c r="Q183" s="81" t="s">
        <v>445</v>
      </c>
      <c r="R183" s="81"/>
      <c r="S183" s="81">
        <v>73002</v>
      </c>
      <c r="T183" s="80" t="str">
        <f>REPLACE(INDEX(GroupVertices[Group],MATCH(Edges[[#This Row],[Vertex 1]],GroupVertices[Vertex],0)),1,1,"")</f>
        <v>5</v>
      </c>
      <c r="U183" s="80" t="str">
        <f>REPLACE(INDEX(GroupVertices[Group],MATCH(Edges[[#This Row],[Vertex 2]],GroupVertices[Vertex],0)),1,1,"")</f>
        <v>5</v>
      </c>
      <c r="V183" s="49"/>
      <c r="W183" s="50"/>
      <c r="X183" s="49"/>
      <c r="Y183" s="50"/>
      <c r="Z183" s="49"/>
      <c r="AA183" s="50"/>
      <c r="AB183" s="49"/>
      <c r="AC183" s="50"/>
      <c r="AD183" s="49"/>
    </row>
    <row r="184" spans="1:30" ht="15">
      <c r="A184" s="65" t="s">
        <v>417</v>
      </c>
      <c r="B184" s="65" t="s">
        <v>412</v>
      </c>
      <c r="C184" s="66" t="s">
        <v>1297</v>
      </c>
      <c r="D184" s="67">
        <v>3</v>
      </c>
      <c r="E184" s="68"/>
      <c r="F184" s="69">
        <v>70</v>
      </c>
      <c r="G184" s="66"/>
      <c r="H184" s="70"/>
      <c r="I184" s="71"/>
      <c r="J184" s="71"/>
      <c r="K184" s="35" t="s">
        <v>65</v>
      </c>
      <c r="L184" s="79">
        <v>184</v>
      </c>
      <c r="M184" s="79"/>
      <c r="N184" s="73"/>
      <c r="O184" s="81" t="s">
        <v>444</v>
      </c>
      <c r="P184" s="81">
        <v>1</v>
      </c>
      <c r="Q184" s="81" t="s">
        <v>445</v>
      </c>
      <c r="R184" s="81" t="s">
        <v>571</v>
      </c>
      <c r="S184" s="81">
        <v>78819</v>
      </c>
      <c r="T184" s="80" t="str">
        <f>REPLACE(INDEX(GroupVertices[Group],MATCH(Edges[[#This Row],[Vertex 1]],GroupVertices[Vertex],0)),1,1,"")</f>
        <v>5</v>
      </c>
      <c r="U184" s="80" t="str">
        <f>REPLACE(INDEX(GroupVertices[Group],MATCH(Edges[[#This Row],[Vertex 2]],GroupVertices[Vertex],0)),1,1,"")</f>
        <v>5</v>
      </c>
      <c r="V184" s="49">
        <v>1</v>
      </c>
      <c r="W184" s="50">
        <v>5.555555555555555</v>
      </c>
      <c r="X184" s="49">
        <v>0</v>
      </c>
      <c r="Y184" s="50">
        <v>0</v>
      </c>
      <c r="Z184" s="49">
        <v>0</v>
      </c>
      <c r="AA184" s="50">
        <v>0</v>
      </c>
      <c r="AB184" s="49">
        <v>17</v>
      </c>
      <c r="AC184" s="50">
        <v>94.44444444444444</v>
      </c>
      <c r="AD184" s="49">
        <v>18</v>
      </c>
    </row>
    <row r="185" spans="1:30" ht="15">
      <c r="A185" s="65" t="s">
        <v>417</v>
      </c>
      <c r="B185" s="65" t="s">
        <v>417</v>
      </c>
      <c r="C185" s="66" t="s">
        <v>1297</v>
      </c>
      <c r="D185" s="67">
        <v>3</v>
      </c>
      <c r="E185" s="68"/>
      <c r="F185" s="69">
        <v>70</v>
      </c>
      <c r="G185" s="66"/>
      <c r="H185" s="70"/>
      <c r="I185" s="71"/>
      <c r="J185" s="71"/>
      <c r="K185" s="35" t="s">
        <v>65</v>
      </c>
      <c r="L185" s="79">
        <v>185</v>
      </c>
      <c r="M185" s="79"/>
      <c r="N185" s="73"/>
      <c r="O185" s="81" t="s">
        <v>444</v>
      </c>
      <c r="P185" s="81">
        <v>1</v>
      </c>
      <c r="Q185" s="81" t="s">
        <v>445</v>
      </c>
      <c r="R185" s="81" t="s">
        <v>572</v>
      </c>
      <c r="S185" s="81">
        <v>79028</v>
      </c>
      <c r="T185" s="80" t="str">
        <f>REPLACE(INDEX(GroupVertices[Group],MATCH(Edges[[#This Row],[Vertex 1]],GroupVertices[Vertex],0)),1,1,"")</f>
        <v>5</v>
      </c>
      <c r="U185" s="80" t="str">
        <f>REPLACE(INDEX(GroupVertices[Group],MATCH(Edges[[#This Row],[Vertex 2]],GroupVertices[Vertex],0)),1,1,"")</f>
        <v>5</v>
      </c>
      <c r="V185" s="49">
        <v>0</v>
      </c>
      <c r="W185" s="50">
        <v>0</v>
      </c>
      <c r="X185" s="49">
        <v>2</v>
      </c>
      <c r="Y185" s="50">
        <v>33.333333333333336</v>
      </c>
      <c r="Z185" s="49">
        <v>0</v>
      </c>
      <c r="AA185" s="50">
        <v>0</v>
      </c>
      <c r="AB185" s="49">
        <v>4</v>
      </c>
      <c r="AC185" s="50">
        <v>66.66666666666667</v>
      </c>
      <c r="AD185" s="49">
        <v>6</v>
      </c>
    </row>
    <row r="186" spans="1:30" ht="15">
      <c r="A186" s="65" t="s">
        <v>398</v>
      </c>
      <c r="B186" s="65" t="s">
        <v>417</v>
      </c>
      <c r="C186" s="66" t="s">
        <v>1297</v>
      </c>
      <c r="D186" s="67">
        <v>3</v>
      </c>
      <c r="E186" s="68"/>
      <c r="F186" s="69">
        <v>70</v>
      </c>
      <c r="G186" s="66"/>
      <c r="H186" s="70"/>
      <c r="I186" s="71"/>
      <c r="J186" s="71"/>
      <c r="K186" s="35" t="s">
        <v>65</v>
      </c>
      <c r="L186" s="79">
        <v>186</v>
      </c>
      <c r="M186" s="79"/>
      <c r="N186" s="73"/>
      <c r="O186" s="81" t="s">
        <v>444</v>
      </c>
      <c r="P186" s="81">
        <v>1</v>
      </c>
      <c r="Q186" s="81" t="s">
        <v>445</v>
      </c>
      <c r="R186" s="81" t="s">
        <v>569</v>
      </c>
      <c r="S186" s="81">
        <v>79697</v>
      </c>
      <c r="T186" s="80" t="str">
        <f>REPLACE(INDEX(GroupVertices[Group],MATCH(Edges[[#This Row],[Vertex 1]],GroupVertices[Vertex],0)),1,1,"")</f>
        <v>5</v>
      </c>
      <c r="U186" s="80" t="str">
        <f>REPLACE(INDEX(GroupVertices[Group],MATCH(Edges[[#This Row],[Vertex 2]],GroupVertices[Vertex],0)),1,1,"")</f>
        <v>5</v>
      </c>
      <c r="V186" s="49">
        <v>0</v>
      </c>
      <c r="W186" s="50">
        <v>0</v>
      </c>
      <c r="X186" s="49">
        <v>1</v>
      </c>
      <c r="Y186" s="50">
        <v>25</v>
      </c>
      <c r="Z186" s="49">
        <v>0</v>
      </c>
      <c r="AA186" s="50">
        <v>0</v>
      </c>
      <c r="AB186" s="49">
        <v>3</v>
      </c>
      <c r="AC186" s="50">
        <v>75</v>
      </c>
      <c r="AD186" s="49">
        <v>4</v>
      </c>
    </row>
    <row r="187" spans="1:30" ht="15">
      <c r="A187" s="65" t="s">
        <v>412</v>
      </c>
      <c r="B187" s="65" t="s">
        <v>348</v>
      </c>
      <c r="C187" s="66" t="s">
        <v>1297</v>
      </c>
      <c r="D187" s="67">
        <v>3</v>
      </c>
      <c r="E187" s="68"/>
      <c r="F187" s="69">
        <v>70</v>
      </c>
      <c r="G187" s="66"/>
      <c r="H187" s="70"/>
      <c r="I187" s="71"/>
      <c r="J187" s="71"/>
      <c r="K187" s="35" t="s">
        <v>65</v>
      </c>
      <c r="L187" s="79">
        <v>187</v>
      </c>
      <c r="M187" s="79"/>
      <c r="N187" s="73"/>
      <c r="O187" s="81" t="s">
        <v>444</v>
      </c>
      <c r="P187" s="81">
        <v>1</v>
      </c>
      <c r="Q187" s="81" t="s">
        <v>445</v>
      </c>
      <c r="R187" s="81" t="s">
        <v>573</v>
      </c>
      <c r="S187" s="81">
        <v>73424</v>
      </c>
      <c r="T187" s="80" t="str">
        <f>REPLACE(INDEX(GroupVertices[Group],MATCH(Edges[[#This Row],[Vertex 1]],GroupVertices[Vertex],0)),1,1,"")</f>
        <v>5</v>
      </c>
      <c r="U187" s="80" t="str">
        <f>REPLACE(INDEX(GroupVertices[Group],MATCH(Edges[[#This Row],[Vertex 2]],GroupVertices[Vertex],0)),1,1,"")</f>
        <v>3</v>
      </c>
      <c r="V187" s="49">
        <v>0</v>
      </c>
      <c r="W187" s="50">
        <v>0</v>
      </c>
      <c r="X187" s="49">
        <v>0</v>
      </c>
      <c r="Y187" s="50">
        <v>0</v>
      </c>
      <c r="Z187" s="49">
        <v>0</v>
      </c>
      <c r="AA187" s="50">
        <v>0</v>
      </c>
      <c r="AB187" s="49">
        <v>3</v>
      </c>
      <c r="AC187" s="50">
        <v>100</v>
      </c>
      <c r="AD187" s="49">
        <v>3</v>
      </c>
    </row>
    <row r="188" spans="1:30" ht="15">
      <c r="A188" s="65" t="s">
        <v>412</v>
      </c>
      <c r="B188" s="65" t="s">
        <v>363</v>
      </c>
      <c r="C188" s="66" t="s">
        <v>1297</v>
      </c>
      <c r="D188" s="67">
        <v>3</v>
      </c>
      <c r="E188" s="68"/>
      <c r="F188" s="69">
        <v>70</v>
      </c>
      <c r="G188" s="66"/>
      <c r="H188" s="70"/>
      <c r="I188" s="71"/>
      <c r="J188" s="71"/>
      <c r="K188" s="35" t="s">
        <v>65</v>
      </c>
      <c r="L188" s="79">
        <v>188</v>
      </c>
      <c r="M188" s="79"/>
      <c r="N188" s="73"/>
      <c r="O188" s="81" t="s">
        <v>444</v>
      </c>
      <c r="P188" s="81">
        <v>1</v>
      </c>
      <c r="Q188" s="81" t="s">
        <v>445</v>
      </c>
      <c r="R188" s="81" t="s">
        <v>573</v>
      </c>
      <c r="S188" s="81">
        <v>77779</v>
      </c>
      <c r="T188" s="80" t="str">
        <f>REPLACE(INDEX(GroupVertices[Group],MATCH(Edges[[#This Row],[Vertex 1]],GroupVertices[Vertex],0)),1,1,"")</f>
        <v>5</v>
      </c>
      <c r="U188" s="80" t="str">
        <f>REPLACE(INDEX(GroupVertices[Group],MATCH(Edges[[#This Row],[Vertex 2]],GroupVertices[Vertex],0)),1,1,"")</f>
        <v>5</v>
      </c>
      <c r="V188" s="49">
        <v>0</v>
      </c>
      <c r="W188" s="50">
        <v>0</v>
      </c>
      <c r="X188" s="49">
        <v>0</v>
      </c>
      <c r="Y188" s="50">
        <v>0</v>
      </c>
      <c r="Z188" s="49">
        <v>0</v>
      </c>
      <c r="AA188" s="50">
        <v>0</v>
      </c>
      <c r="AB188" s="49">
        <v>3</v>
      </c>
      <c r="AC188" s="50">
        <v>100</v>
      </c>
      <c r="AD188" s="49">
        <v>3</v>
      </c>
    </row>
    <row r="189" spans="1:30" ht="15">
      <c r="A189" s="65" t="s">
        <v>354</v>
      </c>
      <c r="B189" s="65" t="s">
        <v>412</v>
      </c>
      <c r="C189" s="66" t="s">
        <v>1298</v>
      </c>
      <c r="D189" s="67">
        <v>10</v>
      </c>
      <c r="E189" s="68"/>
      <c r="F189" s="69">
        <v>40</v>
      </c>
      <c r="G189" s="66"/>
      <c r="H189" s="70"/>
      <c r="I189" s="71"/>
      <c r="J189" s="71"/>
      <c r="K189" s="35" t="s">
        <v>66</v>
      </c>
      <c r="L189" s="79">
        <v>189</v>
      </c>
      <c r="M189" s="79"/>
      <c r="N189" s="73"/>
      <c r="O189" s="81" t="s">
        <v>444</v>
      </c>
      <c r="P189" s="81">
        <v>2</v>
      </c>
      <c r="Q189" s="81" t="s">
        <v>445</v>
      </c>
      <c r="R189" s="81" t="s">
        <v>574</v>
      </c>
      <c r="S189" s="81">
        <v>77271</v>
      </c>
      <c r="T189" s="80" t="str">
        <f>REPLACE(INDEX(GroupVertices[Group],MATCH(Edges[[#This Row],[Vertex 1]],GroupVertices[Vertex],0)),1,1,"")</f>
        <v>2</v>
      </c>
      <c r="U189" s="80" t="str">
        <f>REPLACE(INDEX(GroupVertices[Group],MATCH(Edges[[#This Row],[Vertex 2]],GroupVertices[Vertex],0)),1,1,"")</f>
        <v>5</v>
      </c>
      <c r="V189" s="49">
        <v>0</v>
      </c>
      <c r="W189" s="50">
        <v>0</v>
      </c>
      <c r="X189" s="49">
        <v>0</v>
      </c>
      <c r="Y189" s="50">
        <v>0</v>
      </c>
      <c r="Z189" s="49">
        <v>0</v>
      </c>
      <c r="AA189" s="50">
        <v>0</v>
      </c>
      <c r="AB189" s="49">
        <v>2</v>
      </c>
      <c r="AC189" s="50">
        <v>100</v>
      </c>
      <c r="AD189" s="49">
        <v>2</v>
      </c>
    </row>
    <row r="190" spans="1:30" ht="15">
      <c r="A190" s="65" t="s">
        <v>412</v>
      </c>
      <c r="B190" s="65" t="s">
        <v>354</v>
      </c>
      <c r="C190" s="66" t="s">
        <v>1298</v>
      </c>
      <c r="D190" s="67">
        <v>10</v>
      </c>
      <c r="E190" s="68"/>
      <c r="F190" s="69">
        <v>40</v>
      </c>
      <c r="G190" s="66"/>
      <c r="H190" s="70"/>
      <c r="I190" s="71"/>
      <c r="J190" s="71"/>
      <c r="K190" s="35" t="s">
        <v>66</v>
      </c>
      <c r="L190" s="79">
        <v>190</v>
      </c>
      <c r="M190" s="79"/>
      <c r="N190" s="73"/>
      <c r="O190" s="81" t="s">
        <v>444</v>
      </c>
      <c r="P190" s="81">
        <v>2</v>
      </c>
      <c r="Q190" s="81" t="s">
        <v>445</v>
      </c>
      <c r="R190" s="81" t="s">
        <v>575</v>
      </c>
      <c r="S190" s="81">
        <v>77458</v>
      </c>
      <c r="T190" s="80" t="str">
        <f>REPLACE(INDEX(GroupVertices[Group],MATCH(Edges[[#This Row],[Vertex 1]],GroupVertices[Vertex],0)),1,1,"")</f>
        <v>5</v>
      </c>
      <c r="U190" s="80" t="str">
        <f>REPLACE(INDEX(GroupVertices[Group],MATCH(Edges[[#This Row],[Vertex 2]],GroupVertices[Vertex],0)),1,1,"")</f>
        <v>2</v>
      </c>
      <c r="V190" s="49">
        <v>0</v>
      </c>
      <c r="W190" s="50">
        <v>0</v>
      </c>
      <c r="X190" s="49">
        <v>1</v>
      </c>
      <c r="Y190" s="50">
        <v>25</v>
      </c>
      <c r="Z190" s="49">
        <v>0</v>
      </c>
      <c r="AA190" s="50">
        <v>0</v>
      </c>
      <c r="AB190" s="49">
        <v>3</v>
      </c>
      <c r="AC190" s="50">
        <v>75</v>
      </c>
      <c r="AD190" s="49">
        <v>4</v>
      </c>
    </row>
    <row r="191" spans="1:30" ht="15">
      <c r="A191" s="65" t="s">
        <v>331</v>
      </c>
      <c r="B191" s="65" t="s">
        <v>412</v>
      </c>
      <c r="C191" s="66" t="s">
        <v>1298</v>
      </c>
      <c r="D191" s="67">
        <v>10</v>
      </c>
      <c r="E191" s="68"/>
      <c r="F191" s="69">
        <v>40</v>
      </c>
      <c r="G191" s="66"/>
      <c r="H191" s="70"/>
      <c r="I191" s="71"/>
      <c r="J191" s="71"/>
      <c r="K191" s="35" t="s">
        <v>66</v>
      </c>
      <c r="L191" s="79">
        <v>191</v>
      </c>
      <c r="M191" s="79"/>
      <c r="N191" s="73"/>
      <c r="O191" s="81" t="s">
        <v>444</v>
      </c>
      <c r="P191" s="81">
        <v>3</v>
      </c>
      <c r="Q191" s="81" t="s">
        <v>445</v>
      </c>
      <c r="R191" s="81" t="s">
        <v>576</v>
      </c>
      <c r="S191" s="81">
        <v>78888</v>
      </c>
      <c r="T191" s="80" t="str">
        <f>REPLACE(INDEX(GroupVertices[Group],MATCH(Edges[[#This Row],[Vertex 1]],GroupVertices[Vertex],0)),1,1,"")</f>
        <v>1</v>
      </c>
      <c r="U191" s="80" t="str">
        <f>REPLACE(INDEX(GroupVertices[Group],MATCH(Edges[[#This Row],[Vertex 2]],GroupVertices[Vertex],0)),1,1,"")</f>
        <v>5</v>
      </c>
      <c r="V191" s="49">
        <v>0</v>
      </c>
      <c r="W191" s="50">
        <v>0</v>
      </c>
      <c r="X191" s="49">
        <v>1</v>
      </c>
      <c r="Y191" s="50">
        <v>12.5</v>
      </c>
      <c r="Z191" s="49">
        <v>0</v>
      </c>
      <c r="AA191" s="50">
        <v>0</v>
      </c>
      <c r="AB191" s="49">
        <v>7</v>
      </c>
      <c r="AC191" s="50">
        <v>87.5</v>
      </c>
      <c r="AD191" s="49">
        <v>8</v>
      </c>
    </row>
    <row r="192" spans="1:30" ht="15">
      <c r="A192" s="65" t="s">
        <v>412</v>
      </c>
      <c r="B192" s="65" t="s">
        <v>331</v>
      </c>
      <c r="C192" s="66" t="s">
        <v>1297</v>
      </c>
      <c r="D192" s="67">
        <v>3</v>
      </c>
      <c r="E192" s="68"/>
      <c r="F192" s="69">
        <v>70</v>
      </c>
      <c r="G192" s="66"/>
      <c r="H192" s="70"/>
      <c r="I192" s="71"/>
      <c r="J192" s="71"/>
      <c r="K192" s="35" t="s">
        <v>66</v>
      </c>
      <c r="L192" s="79">
        <v>192</v>
      </c>
      <c r="M192" s="79"/>
      <c r="N192" s="73"/>
      <c r="O192" s="81" t="s">
        <v>444</v>
      </c>
      <c r="P192" s="81">
        <v>1</v>
      </c>
      <c r="Q192" s="81" t="s">
        <v>445</v>
      </c>
      <c r="R192" s="81" t="s">
        <v>563</v>
      </c>
      <c r="S192" s="81">
        <v>78653</v>
      </c>
      <c r="T192" s="80" t="str">
        <f>REPLACE(INDEX(GroupVertices[Group],MATCH(Edges[[#This Row],[Vertex 1]],GroupVertices[Vertex],0)),1,1,"")</f>
        <v>5</v>
      </c>
      <c r="U192" s="80" t="str">
        <f>REPLACE(INDEX(GroupVertices[Group],MATCH(Edges[[#This Row],[Vertex 2]],GroupVertices[Vertex],0)),1,1,"")</f>
        <v>1</v>
      </c>
      <c r="V192" s="49">
        <v>0</v>
      </c>
      <c r="W192" s="50">
        <v>0</v>
      </c>
      <c r="X192" s="49">
        <v>1</v>
      </c>
      <c r="Y192" s="50">
        <v>50</v>
      </c>
      <c r="Z192" s="49">
        <v>0</v>
      </c>
      <c r="AA192" s="50">
        <v>0</v>
      </c>
      <c r="AB192" s="49">
        <v>1</v>
      </c>
      <c r="AC192" s="50">
        <v>50</v>
      </c>
      <c r="AD192" s="49">
        <v>2</v>
      </c>
    </row>
    <row r="193" spans="1:30" ht="15">
      <c r="A193" s="65" t="s">
        <v>335</v>
      </c>
      <c r="B193" s="65" t="s">
        <v>412</v>
      </c>
      <c r="C193" s="66" t="s">
        <v>1298</v>
      </c>
      <c r="D193" s="67">
        <v>10</v>
      </c>
      <c r="E193" s="68"/>
      <c r="F193" s="69">
        <v>40</v>
      </c>
      <c r="G193" s="66"/>
      <c r="H193" s="70"/>
      <c r="I193" s="71"/>
      <c r="J193" s="71"/>
      <c r="K193" s="35" t="s">
        <v>66</v>
      </c>
      <c r="L193" s="79">
        <v>193</v>
      </c>
      <c r="M193" s="79"/>
      <c r="N193" s="73"/>
      <c r="O193" s="81" t="s">
        <v>444</v>
      </c>
      <c r="P193" s="81">
        <v>4</v>
      </c>
      <c r="Q193" s="81" t="s">
        <v>445</v>
      </c>
      <c r="R193" s="81" t="s">
        <v>563</v>
      </c>
      <c r="S193" s="81">
        <v>79300</v>
      </c>
      <c r="T193" s="80" t="str">
        <f>REPLACE(INDEX(GroupVertices[Group],MATCH(Edges[[#This Row],[Vertex 1]],GroupVertices[Vertex],0)),1,1,"")</f>
        <v>1</v>
      </c>
      <c r="U193" s="80" t="str">
        <f>REPLACE(INDEX(GroupVertices[Group],MATCH(Edges[[#This Row],[Vertex 2]],GroupVertices[Vertex],0)),1,1,"")</f>
        <v>5</v>
      </c>
      <c r="V193" s="49">
        <v>0</v>
      </c>
      <c r="W193" s="50">
        <v>0</v>
      </c>
      <c r="X193" s="49">
        <v>1</v>
      </c>
      <c r="Y193" s="50">
        <v>50</v>
      </c>
      <c r="Z193" s="49">
        <v>0</v>
      </c>
      <c r="AA193" s="50">
        <v>0</v>
      </c>
      <c r="AB193" s="49">
        <v>1</v>
      </c>
      <c r="AC193" s="50">
        <v>50</v>
      </c>
      <c r="AD193" s="49">
        <v>2</v>
      </c>
    </row>
    <row r="194" spans="1:30" ht="15">
      <c r="A194" s="65" t="s">
        <v>412</v>
      </c>
      <c r="B194" s="65" t="s">
        <v>335</v>
      </c>
      <c r="C194" s="66" t="s">
        <v>1298</v>
      </c>
      <c r="D194" s="67">
        <v>10</v>
      </c>
      <c r="E194" s="68"/>
      <c r="F194" s="69">
        <v>40</v>
      </c>
      <c r="G194" s="66"/>
      <c r="H194" s="70"/>
      <c r="I194" s="71"/>
      <c r="J194" s="71"/>
      <c r="K194" s="35" t="s">
        <v>66</v>
      </c>
      <c r="L194" s="79">
        <v>194</v>
      </c>
      <c r="M194" s="79"/>
      <c r="N194" s="73"/>
      <c r="O194" s="81" t="s">
        <v>444</v>
      </c>
      <c r="P194" s="81">
        <v>5</v>
      </c>
      <c r="Q194" s="81" t="s">
        <v>445</v>
      </c>
      <c r="R194" s="81" t="s">
        <v>563</v>
      </c>
      <c r="S194" s="81">
        <v>79335</v>
      </c>
      <c r="T194" s="80" t="str">
        <f>REPLACE(INDEX(GroupVertices[Group],MATCH(Edges[[#This Row],[Vertex 1]],GroupVertices[Vertex],0)),1,1,"")</f>
        <v>5</v>
      </c>
      <c r="U194" s="80" t="str">
        <f>REPLACE(INDEX(GroupVertices[Group],MATCH(Edges[[#This Row],[Vertex 2]],GroupVertices[Vertex],0)),1,1,"")</f>
        <v>1</v>
      </c>
      <c r="V194" s="49">
        <v>0</v>
      </c>
      <c r="W194" s="50">
        <v>0</v>
      </c>
      <c r="X194" s="49">
        <v>1</v>
      </c>
      <c r="Y194" s="50">
        <v>50</v>
      </c>
      <c r="Z194" s="49">
        <v>0</v>
      </c>
      <c r="AA194" s="50">
        <v>0</v>
      </c>
      <c r="AB194" s="49">
        <v>1</v>
      </c>
      <c r="AC194" s="50">
        <v>50</v>
      </c>
      <c r="AD194" s="49">
        <v>2</v>
      </c>
    </row>
    <row r="195" spans="1:30" ht="15">
      <c r="A195" s="65" t="s">
        <v>405</v>
      </c>
      <c r="B195" s="65" t="s">
        <v>412</v>
      </c>
      <c r="C195" s="66" t="s">
        <v>1298</v>
      </c>
      <c r="D195" s="67">
        <v>10</v>
      </c>
      <c r="E195" s="68"/>
      <c r="F195" s="69">
        <v>40</v>
      </c>
      <c r="G195" s="66"/>
      <c r="H195" s="70"/>
      <c r="I195" s="71"/>
      <c r="J195" s="71"/>
      <c r="K195" s="35" t="s">
        <v>66</v>
      </c>
      <c r="L195" s="79">
        <v>195</v>
      </c>
      <c r="M195" s="79"/>
      <c r="N195" s="73"/>
      <c r="O195" s="81" t="s">
        <v>444</v>
      </c>
      <c r="P195" s="81">
        <v>3</v>
      </c>
      <c r="Q195" s="81" t="s">
        <v>445</v>
      </c>
      <c r="R195" s="81" t="s">
        <v>577</v>
      </c>
      <c r="S195" s="81">
        <v>81804</v>
      </c>
      <c r="T195" s="80" t="str">
        <f>REPLACE(INDEX(GroupVertices[Group],MATCH(Edges[[#This Row],[Vertex 1]],GroupVertices[Vertex],0)),1,1,"")</f>
        <v>6</v>
      </c>
      <c r="U195" s="80" t="str">
        <f>REPLACE(INDEX(GroupVertices[Group],MATCH(Edges[[#This Row],[Vertex 2]],GroupVertices[Vertex],0)),1,1,"")</f>
        <v>5</v>
      </c>
      <c r="V195" s="49">
        <v>0</v>
      </c>
      <c r="W195" s="50">
        <v>0</v>
      </c>
      <c r="X195" s="49">
        <v>1</v>
      </c>
      <c r="Y195" s="50">
        <v>7.142857142857143</v>
      </c>
      <c r="Z195" s="49">
        <v>0</v>
      </c>
      <c r="AA195" s="50">
        <v>0</v>
      </c>
      <c r="AB195" s="49">
        <v>13</v>
      </c>
      <c r="AC195" s="50">
        <v>92.85714285714286</v>
      </c>
      <c r="AD195" s="49">
        <v>14</v>
      </c>
    </row>
    <row r="196" spans="1:30" ht="15">
      <c r="A196" s="65" t="s">
        <v>412</v>
      </c>
      <c r="B196" s="65" t="s">
        <v>405</v>
      </c>
      <c r="C196" s="66" t="s">
        <v>1298</v>
      </c>
      <c r="D196" s="67">
        <v>10</v>
      </c>
      <c r="E196" s="68"/>
      <c r="F196" s="69">
        <v>40</v>
      </c>
      <c r="G196" s="66"/>
      <c r="H196" s="70"/>
      <c r="I196" s="71"/>
      <c r="J196" s="71"/>
      <c r="K196" s="35" t="s">
        <v>66</v>
      </c>
      <c r="L196" s="79">
        <v>196</v>
      </c>
      <c r="M196" s="79"/>
      <c r="N196" s="73"/>
      <c r="O196" s="81" t="s">
        <v>444</v>
      </c>
      <c r="P196" s="81">
        <v>2</v>
      </c>
      <c r="Q196" s="81" t="s">
        <v>445</v>
      </c>
      <c r="R196" s="81" t="s">
        <v>563</v>
      </c>
      <c r="S196" s="81">
        <v>81940</v>
      </c>
      <c r="T196" s="80" t="str">
        <f>REPLACE(INDEX(GroupVertices[Group],MATCH(Edges[[#This Row],[Vertex 1]],GroupVertices[Vertex],0)),1,1,"")</f>
        <v>5</v>
      </c>
      <c r="U196" s="80" t="str">
        <f>REPLACE(INDEX(GroupVertices[Group],MATCH(Edges[[#This Row],[Vertex 2]],GroupVertices[Vertex],0)),1,1,"")</f>
        <v>6</v>
      </c>
      <c r="V196" s="49">
        <v>0</v>
      </c>
      <c r="W196" s="50">
        <v>0</v>
      </c>
      <c r="X196" s="49">
        <v>1</v>
      </c>
      <c r="Y196" s="50">
        <v>50</v>
      </c>
      <c r="Z196" s="49">
        <v>0</v>
      </c>
      <c r="AA196" s="50">
        <v>0</v>
      </c>
      <c r="AB196" s="49">
        <v>1</v>
      </c>
      <c r="AC196" s="50">
        <v>50</v>
      </c>
      <c r="AD196" s="49">
        <v>2</v>
      </c>
    </row>
    <row r="197" spans="1:30" ht="15">
      <c r="A197" s="65" t="s">
        <v>379</v>
      </c>
      <c r="B197" s="65" t="s">
        <v>412</v>
      </c>
      <c r="C197" s="66" t="s">
        <v>1297</v>
      </c>
      <c r="D197" s="67">
        <v>3</v>
      </c>
      <c r="E197" s="68"/>
      <c r="F197" s="69">
        <v>70</v>
      </c>
      <c r="G197" s="66"/>
      <c r="H197" s="70"/>
      <c r="I197" s="71"/>
      <c r="J197" s="71"/>
      <c r="K197" s="35" t="s">
        <v>65</v>
      </c>
      <c r="L197" s="79">
        <v>197</v>
      </c>
      <c r="M197" s="79"/>
      <c r="N197" s="73"/>
      <c r="O197" s="81" t="s">
        <v>444</v>
      </c>
      <c r="P197" s="81">
        <v>1</v>
      </c>
      <c r="Q197" s="81" t="s">
        <v>445</v>
      </c>
      <c r="R197" s="81"/>
      <c r="S197" s="81">
        <v>82029</v>
      </c>
      <c r="T197" s="80" t="str">
        <f>REPLACE(INDEX(GroupVertices[Group],MATCH(Edges[[#This Row],[Vertex 1]],GroupVertices[Vertex],0)),1,1,"")</f>
        <v>1</v>
      </c>
      <c r="U197" s="80" t="str">
        <f>REPLACE(INDEX(GroupVertices[Group],MATCH(Edges[[#This Row],[Vertex 2]],GroupVertices[Vertex],0)),1,1,"")</f>
        <v>5</v>
      </c>
      <c r="V197" s="49"/>
      <c r="W197" s="50"/>
      <c r="X197" s="49"/>
      <c r="Y197" s="50"/>
      <c r="Z197" s="49"/>
      <c r="AA197" s="50"/>
      <c r="AB197" s="49"/>
      <c r="AC197" s="50"/>
      <c r="AD197" s="49"/>
    </row>
    <row r="198" spans="1:30" ht="15">
      <c r="A198" s="65" t="s">
        <v>355</v>
      </c>
      <c r="B198" s="65" t="s">
        <v>412</v>
      </c>
      <c r="C198" s="66" t="s">
        <v>1297</v>
      </c>
      <c r="D198" s="67">
        <v>3</v>
      </c>
      <c r="E198" s="68"/>
      <c r="F198" s="69">
        <v>70</v>
      </c>
      <c r="G198" s="66"/>
      <c r="H198" s="70"/>
      <c r="I198" s="71"/>
      <c r="J198" s="71"/>
      <c r="K198" s="35" t="s">
        <v>65</v>
      </c>
      <c r="L198" s="79">
        <v>198</v>
      </c>
      <c r="M198" s="79"/>
      <c r="N198" s="73"/>
      <c r="O198" s="81" t="s">
        <v>444</v>
      </c>
      <c r="P198" s="81">
        <v>1</v>
      </c>
      <c r="Q198" s="81" t="s">
        <v>445</v>
      </c>
      <c r="R198" s="81" t="s">
        <v>578</v>
      </c>
      <c r="S198" s="81">
        <v>77075</v>
      </c>
      <c r="T198" s="80" t="str">
        <f>REPLACE(INDEX(GroupVertices[Group],MATCH(Edges[[#This Row],[Vertex 1]],GroupVertices[Vertex],0)),1,1,"")</f>
        <v>2</v>
      </c>
      <c r="U198" s="80" t="str">
        <f>REPLACE(INDEX(GroupVertices[Group],MATCH(Edges[[#This Row],[Vertex 2]],GroupVertices[Vertex],0)),1,1,"")</f>
        <v>5</v>
      </c>
      <c r="V198" s="49">
        <v>0</v>
      </c>
      <c r="W198" s="50">
        <v>0</v>
      </c>
      <c r="X198" s="49">
        <v>0</v>
      </c>
      <c r="Y198" s="50">
        <v>0</v>
      </c>
      <c r="Z198" s="49">
        <v>0</v>
      </c>
      <c r="AA198" s="50">
        <v>0</v>
      </c>
      <c r="AB198" s="49">
        <v>11</v>
      </c>
      <c r="AC198" s="50">
        <v>100</v>
      </c>
      <c r="AD198" s="49">
        <v>11</v>
      </c>
    </row>
    <row r="199" spans="1:30" ht="15">
      <c r="A199" s="65" t="s">
        <v>412</v>
      </c>
      <c r="B199" s="65" t="s">
        <v>329</v>
      </c>
      <c r="C199" s="66" t="s">
        <v>1297</v>
      </c>
      <c r="D199" s="67">
        <v>3</v>
      </c>
      <c r="E199" s="68"/>
      <c r="F199" s="69">
        <v>70</v>
      </c>
      <c r="G199" s="66"/>
      <c r="H199" s="70"/>
      <c r="I199" s="71"/>
      <c r="J199" s="71"/>
      <c r="K199" s="35" t="s">
        <v>65</v>
      </c>
      <c r="L199" s="79">
        <v>199</v>
      </c>
      <c r="M199" s="79"/>
      <c r="N199" s="73"/>
      <c r="O199" s="81" t="s">
        <v>444</v>
      </c>
      <c r="P199" s="81">
        <v>1</v>
      </c>
      <c r="Q199" s="81" t="s">
        <v>445</v>
      </c>
      <c r="R199" s="81" t="s">
        <v>579</v>
      </c>
      <c r="S199" s="81">
        <v>77933</v>
      </c>
      <c r="T199" s="80" t="str">
        <f>REPLACE(INDEX(GroupVertices[Group],MATCH(Edges[[#This Row],[Vertex 1]],GroupVertices[Vertex],0)),1,1,"")</f>
        <v>5</v>
      </c>
      <c r="U199" s="80" t="str">
        <f>REPLACE(INDEX(GroupVertices[Group],MATCH(Edges[[#This Row],[Vertex 2]],GroupVertices[Vertex],0)),1,1,"")</f>
        <v>4</v>
      </c>
      <c r="V199" s="49">
        <v>0</v>
      </c>
      <c r="W199" s="50">
        <v>0</v>
      </c>
      <c r="X199" s="49">
        <v>1</v>
      </c>
      <c r="Y199" s="50">
        <v>16.666666666666668</v>
      </c>
      <c r="Z199" s="49">
        <v>0</v>
      </c>
      <c r="AA199" s="50">
        <v>0</v>
      </c>
      <c r="AB199" s="49">
        <v>5</v>
      </c>
      <c r="AC199" s="50">
        <v>83.33333333333333</v>
      </c>
      <c r="AD199" s="49">
        <v>6</v>
      </c>
    </row>
    <row r="200" spans="1:30" ht="15">
      <c r="A200" s="65" t="s">
        <v>412</v>
      </c>
      <c r="B200" s="65" t="s">
        <v>398</v>
      </c>
      <c r="C200" s="66" t="s">
        <v>1298</v>
      </c>
      <c r="D200" s="67">
        <v>10</v>
      </c>
      <c r="E200" s="68"/>
      <c r="F200" s="69">
        <v>40</v>
      </c>
      <c r="G200" s="66"/>
      <c r="H200" s="70"/>
      <c r="I200" s="71"/>
      <c r="J200" s="71"/>
      <c r="K200" s="35" t="s">
        <v>65</v>
      </c>
      <c r="L200" s="79">
        <v>200</v>
      </c>
      <c r="M200" s="79"/>
      <c r="N200" s="73"/>
      <c r="O200" s="81" t="s">
        <v>444</v>
      </c>
      <c r="P200" s="81">
        <v>3</v>
      </c>
      <c r="Q200" s="81" t="s">
        <v>445</v>
      </c>
      <c r="R200" s="81" t="s">
        <v>569</v>
      </c>
      <c r="S200" s="81">
        <v>79971</v>
      </c>
      <c r="T200" s="80" t="str">
        <f>REPLACE(INDEX(GroupVertices[Group],MATCH(Edges[[#This Row],[Vertex 1]],GroupVertices[Vertex],0)),1,1,"")</f>
        <v>5</v>
      </c>
      <c r="U200" s="80" t="str">
        <f>REPLACE(INDEX(GroupVertices[Group],MATCH(Edges[[#This Row],[Vertex 2]],GroupVertices[Vertex],0)),1,1,"")</f>
        <v>5</v>
      </c>
      <c r="V200" s="49">
        <v>0</v>
      </c>
      <c r="W200" s="50">
        <v>0</v>
      </c>
      <c r="X200" s="49">
        <v>1</v>
      </c>
      <c r="Y200" s="50">
        <v>25</v>
      </c>
      <c r="Z200" s="49">
        <v>0</v>
      </c>
      <c r="AA200" s="50">
        <v>0</v>
      </c>
      <c r="AB200" s="49">
        <v>3</v>
      </c>
      <c r="AC200" s="50">
        <v>75</v>
      </c>
      <c r="AD200" s="49">
        <v>4</v>
      </c>
    </row>
    <row r="201" spans="1:30" ht="15">
      <c r="A201" s="65" t="s">
        <v>412</v>
      </c>
      <c r="B201" s="65" t="s">
        <v>412</v>
      </c>
      <c r="C201" s="66" t="s">
        <v>1298</v>
      </c>
      <c r="D201" s="67">
        <v>10</v>
      </c>
      <c r="E201" s="68"/>
      <c r="F201" s="69">
        <v>40</v>
      </c>
      <c r="G201" s="66"/>
      <c r="H201" s="70"/>
      <c r="I201" s="71"/>
      <c r="J201" s="71"/>
      <c r="K201" s="35" t="s">
        <v>65</v>
      </c>
      <c r="L201" s="79">
        <v>201</v>
      </c>
      <c r="M201" s="79"/>
      <c r="N201" s="73"/>
      <c r="O201" s="81" t="s">
        <v>444</v>
      </c>
      <c r="P201" s="81">
        <v>12</v>
      </c>
      <c r="Q201" s="81" t="s">
        <v>445</v>
      </c>
      <c r="R201" s="81" t="s">
        <v>580</v>
      </c>
      <c r="S201" s="81">
        <v>84299</v>
      </c>
      <c r="T201" s="80" t="str">
        <f>REPLACE(INDEX(GroupVertices[Group],MATCH(Edges[[#This Row],[Vertex 1]],GroupVertices[Vertex],0)),1,1,"")</f>
        <v>5</v>
      </c>
      <c r="U201" s="80" t="str">
        <f>REPLACE(INDEX(GroupVertices[Group],MATCH(Edges[[#This Row],[Vertex 2]],GroupVertices[Vertex],0)),1,1,"")</f>
        <v>5</v>
      </c>
      <c r="V201" s="49">
        <v>0</v>
      </c>
      <c r="W201" s="50">
        <v>0</v>
      </c>
      <c r="X201" s="49">
        <v>0</v>
      </c>
      <c r="Y201" s="50">
        <v>0</v>
      </c>
      <c r="Z201" s="49">
        <v>0</v>
      </c>
      <c r="AA201" s="50">
        <v>0</v>
      </c>
      <c r="AB201" s="49">
        <v>3</v>
      </c>
      <c r="AC201" s="50">
        <v>100</v>
      </c>
      <c r="AD201" s="49">
        <v>3</v>
      </c>
    </row>
    <row r="202" spans="1:30" ht="15">
      <c r="A202" s="65" t="s">
        <v>418</v>
      </c>
      <c r="B202" s="65" t="s">
        <v>412</v>
      </c>
      <c r="C202" s="66" t="s">
        <v>1297</v>
      </c>
      <c r="D202" s="67">
        <v>3</v>
      </c>
      <c r="E202" s="68"/>
      <c r="F202" s="69">
        <v>70</v>
      </c>
      <c r="G202" s="66"/>
      <c r="H202" s="70"/>
      <c r="I202" s="71"/>
      <c r="J202" s="71"/>
      <c r="K202" s="35" t="s">
        <v>65</v>
      </c>
      <c r="L202" s="79">
        <v>202</v>
      </c>
      <c r="M202" s="79"/>
      <c r="N202" s="73"/>
      <c r="O202" s="81" t="s">
        <v>444</v>
      </c>
      <c r="P202" s="81">
        <v>1</v>
      </c>
      <c r="Q202" s="81" t="s">
        <v>445</v>
      </c>
      <c r="R202" s="81" t="s">
        <v>581</v>
      </c>
      <c r="S202" s="81">
        <v>79698</v>
      </c>
      <c r="T202" s="80" t="str">
        <f>REPLACE(INDEX(GroupVertices[Group],MATCH(Edges[[#This Row],[Vertex 1]],GroupVertices[Vertex],0)),1,1,"")</f>
        <v>5</v>
      </c>
      <c r="U202" s="80" t="str">
        <f>REPLACE(INDEX(GroupVertices[Group],MATCH(Edges[[#This Row],[Vertex 2]],GroupVertices[Vertex],0)),1,1,"")</f>
        <v>5</v>
      </c>
      <c r="V202" s="49">
        <v>0</v>
      </c>
      <c r="W202" s="50">
        <v>0</v>
      </c>
      <c r="X202" s="49">
        <v>0</v>
      </c>
      <c r="Y202" s="50">
        <v>0</v>
      </c>
      <c r="Z202" s="49">
        <v>0</v>
      </c>
      <c r="AA202" s="50">
        <v>0</v>
      </c>
      <c r="AB202" s="49">
        <v>16</v>
      </c>
      <c r="AC202" s="50">
        <v>100</v>
      </c>
      <c r="AD202" s="49">
        <v>16</v>
      </c>
    </row>
    <row r="203" spans="1:30" ht="15">
      <c r="A203" s="65" t="s">
        <v>355</v>
      </c>
      <c r="B203" s="65" t="s">
        <v>418</v>
      </c>
      <c r="C203" s="66" t="s">
        <v>1297</v>
      </c>
      <c r="D203" s="67">
        <v>3</v>
      </c>
      <c r="E203" s="68"/>
      <c r="F203" s="69">
        <v>70</v>
      </c>
      <c r="G203" s="66"/>
      <c r="H203" s="70"/>
      <c r="I203" s="71"/>
      <c r="J203" s="71"/>
      <c r="K203" s="35" t="s">
        <v>65</v>
      </c>
      <c r="L203" s="79">
        <v>203</v>
      </c>
      <c r="M203" s="79"/>
      <c r="N203" s="73"/>
      <c r="O203" s="81" t="s">
        <v>444</v>
      </c>
      <c r="P203" s="81">
        <v>1</v>
      </c>
      <c r="Q203" s="81" t="s">
        <v>445</v>
      </c>
      <c r="R203" s="81" t="s">
        <v>578</v>
      </c>
      <c r="S203" s="81">
        <v>72153</v>
      </c>
      <c r="T203" s="80" t="str">
        <f>REPLACE(INDEX(GroupVertices[Group],MATCH(Edges[[#This Row],[Vertex 1]],GroupVertices[Vertex],0)),1,1,"")</f>
        <v>2</v>
      </c>
      <c r="U203" s="80" t="str">
        <f>REPLACE(INDEX(GroupVertices[Group],MATCH(Edges[[#This Row],[Vertex 2]],GroupVertices[Vertex],0)),1,1,"")</f>
        <v>5</v>
      </c>
      <c r="V203" s="49">
        <v>0</v>
      </c>
      <c r="W203" s="50">
        <v>0</v>
      </c>
      <c r="X203" s="49">
        <v>0</v>
      </c>
      <c r="Y203" s="50">
        <v>0</v>
      </c>
      <c r="Z203" s="49">
        <v>0</v>
      </c>
      <c r="AA203" s="50">
        <v>0</v>
      </c>
      <c r="AB203" s="49">
        <v>11</v>
      </c>
      <c r="AC203" s="50">
        <v>100</v>
      </c>
      <c r="AD203" s="49">
        <v>11</v>
      </c>
    </row>
    <row r="204" spans="1:30" ht="15">
      <c r="A204" s="65" t="s">
        <v>419</v>
      </c>
      <c r="B204" s="65" t="s">
        <v>420</v>
      </c>
      <c r="C204" s="66" t="s">
        <v>1297</v>
      </c>
      <c r="D204" s="67">
        <v>3</v>
      </c>
      <c r="E204" s="68"/>
      <c r="F204" s="69">
        <v>70</v>
      </c>
      <c r="G204" s="66"/>
      <c r="H204" s="70"/>
      <c r="I204" s="71"/>
      <c r="J204" s="71"/>
      <c r="K204" s="35" t="s">
        <v>65</v>
      </c>
      <c r="L204" s="79">
        <v>204</v>
      </c>
      <c r="M204" s="79"/>
      <c r="N204" s="73"/>
      <c r="O204" s="81" t="s">
        <v>444</v>
      </c>
      <c r="P204" s="81">
        <v>1</v>
      </c>
      <c r="Q204" s="81" t="s">
        <v>445</v>
      </c>
      <c r="R204" s="81" t="s">
        <v>582</v>
      </c>
      <c r="S204" s="81">
        <v>72581</v>
      </c>
      <c r="T204" s="80" t="str">
        <f>REPLACE(INDEX(GroupVertices[Group],MATCH(Edges[[#This Row],[Vertex 1]],GroupVertices[Vertex],0)),1,1,"")</f>
        <v>2</v>
      </c>
      <c r="U204" s="80" t="str">
        <f>REPLACE(INDEX(GroupVertices[Group],MATCH(Edges[[#This Row],[Vertex 2]],GroupVertices[Vertex],0)),1,1,"")</f>
        <v>2</v>
      </c>
      <c r="V204" s="49">
        <v>0</v>
      </c>
      <c r="W204" s="50">
        <v>0</v>
      </c>
      <c r="X204" s="49">
        <v>0</v>
      </c>
      <c r="Y204" s="50">
        <v>0</v>
      </c>
      <c r="Z204" s="49">
        <v>0</v>
      </c>
      <c r="AA204" s="50">
        <v>0</v>
      </c>
      <c r="AB204" s="49">
        <v>4</v>
      </c>
      <c r="AC204" s="50">
        <v>100</v>
      </c>
      <c r="AD204" s="49">
        <v>4</v>
      </c>
    </row>
    <row r="205" spans="1:30" ht="15">
      <c r="A205" s="65" t="s">
        <v>341</v>
      </c>
      <c r="B205" s="65" t="s">
        <v>419</v>
      </c>
      <c r="C205" s="66" t="s">
        <v>1297</v>
      </c>
      <c r="D205" s="67">
        <v>3</v>
      </c>
      <c r="E205" s="68"/>
      <c r="F205" s="69">
        <v>70</v>
      </c>
      <c r="G205" s="66"/>
      <c r="H205" s="70"/>
      <c r="I205" s="71"/>
      <c r="J205" s="71"/>
      <c r="K205" s="35" t="s">
        <v>65</v>
      </c>
      <c r="L205" s="79">
        <v>205</v>
      </c>
      <c r="M205" s="79"/>
      <c r="N205" s="73"/>
      <c r="O205" s="81" t="s">
        <v>444</v>
      </c>
      <c r="P205" s="81">
        <v>1</v>
      </c>
      <c r="Q205" s="81" t="s">
        <v>445</v>
      </c>
      <c r="R205" s="81" t="s">
        <v>583</v>
      </c>
      <c r="S205" s="81">
        <v>72607</v>
      </c>
      <c r="T205" s="80" t="str">
        <f>REPLACE(INDEX(GroupVertices[Group],MATCH(Edges[[#This Row],[Vertex 1]],GroupVertices[Vertex],0)),1,1,"")</f>
        <v>2</v>
      </c>
      <c r="U205" s="80" t="str">
        <f>REPLACE(INDEX(GroupVertices[Group],MATCH(Edges[[#This Row],[Vertex 2]],GroupVertices[Vertex],0)),1,1,"")</f>
        <v>2</v>
      </c>
      <c r="V205" s="49">
        <v>0</v>
      </c>
      <c r="W205" s="50">
        <v>0</v>
      </c>
      <c r="X205" s="49">
        <v>1</v>
      </c>
      <c r="Y205" s="50">
        <v>7.6923076923076925</v>
      </c>
      <c r="Z205" s="49">
        <v>0</v>
      </c>
      <c r="AA205" s="50">
        <v>0</v>
      </c>
      <c r="AB205" s="49">
        <v>12</v>
      </c>
      <c r="AC205" s="50">
        <v>92.3076923076923</v>
      </c>
      <c r="AD205" s="49">
        <v>13</v>
      </c>
    </row>
    <row r="206" spans="1:30" ht="15">
      <c r="A206" s="65" t="s">
        <v>420</v>
      </c>
      <c r="B206" s="65" t="s">
        <v>355</v>
      </c>
      <c r="C206" s="66" t="s">
        <v>1297</v>
      </c>
      <c r="D206" s="67">
        <v>3</v>
      </c>
      <c r="E206" s="68"/>
      <c r="F206" s="69">
        <v>70</v>
      </c>
      <c r="G206" s="66"/>
      <c r="H206" s="70"/>
      <c r="I206" s="71"/>
      <c r="J206" s="71"/>
      <c r="K206" s="35" t="s">
        <v>65</v>
      </c>
      <c r="L206" s="79">
        <v>206</v>
      </c>
      <c r="M206" s="79"/>
      <c r="N206" s="73"/>
      <c r="O206" s="81" t="s">
        <v>444</v>
      </c>
      <c r="P206" s="81">
        <v>1</v>
      </c>
      <c r="Q206" s="81" t="s">
        <v>445</v>
      </c>
      <c r="R206" s="81" t="s">
        <v>584</v>
      </c>
      <c r="S206" s="81">
        <v>72127</v>
      </c>
      <c r="T206" s="80" t="str">
        <f>REPLACE(INDEX(GroupVertices[Group],MATCH(Edges[[#This Row],[Vertex 1]],GroupVertices[Vertex],0)),1,1,"")</f>
        <v>2</v>
      </c>
      <c r="U206" s="80" t="str">
        <f>REPLACE(INDEX(GroupVertices[Group],MATCH(Edges[[#This Row],[Vertex 2]],GroupVertices[Vertex],0)),1,1,"")</f>
        <v>2</v>
      </c>
      <c r="V206" s="49">
        <v>0</v>
      </c>
      <c r="W206" s="50">
        <v>0</v>
      </c>
      <c r="X206" s="49">
        <v>1</v>
      </c>
      <c r="Y206" s="50">
        <v>25</v>
      </c>
      <c r="Z206" s="49">
        <v>0</v>
      </c>
      <c r="AA206" s="50">
        <v>0</v>
      </c>
      <c r="AB206" s="49">
        <v>3</v>
      </c>
      <c r="AC206" s="50">
        <v>75</v>
      </c>
      <c r="AD206" s="49">
        <v>4</v>
      </c>
    </row>
    <row r="207" spans="1:30" ht="15">
      <c r="A207" s="65" t="s">
        <v>420</v>
      </c>
      <c r="B207" s="65" t="s">
        <v>354</v>
      </c>
      <c r="C207" s="66" t="s">
        <v>1297</v>
      </c>
      <c r="D207" s="67">
        <v>3</v>
      </c>
      <c r="E207" s="68"/>
      <c r="F207" s="69">
        <v>70</v>
      </c>
      <c r="G207" s="66"/>
      <c r="H207" s="70"/>
      <c r="I207" s="71"/>
      <c r="J207" s="71"/>
      <c r="K207" s="35" t="s">
        <v>65</v>
      </c>
      <c r="L207" s="79">
        <v>207</v>
      </c>
      <c r="M207" s="79"/>
      <c r="N207" s="73"/>
      <c r="O207" s="81" t="s">
        <v>444</v>
      </c>
      <c r="P207" s="81">
        <v>1</v>
      </c>
      <c r="Q207" s="81" t="s">
        <v>445</v>
      </c>
      <c r="R207" s="81" t="s">
        <v>584</v>
      </c>
      <c r="S207" s="81">
        <v>72879</v>
      </c>
      <c r="T207" s="80" t="str">
        <f>REPLACE(INDEX(GroupVertices[Group],MATCH(Edges[[#This Row],[Vertex 1]],GroupVertices[Vertex],0)),1,1,"")</f>
        <v>2</v>
      </c>
      <c r="U207" s="80" t="str">
        <f>REPLACE(INDEX(GroupVertices[Group],MATCH(Edges[[#This Row],[Vertex 2]],GroupVertices[Vertex],0)),1,1,"")</f>
        <v>2</v>
      </c>
      <c r="V207" s="49">
        <v>0</v>
      </c>
      <c r="W207" s="50">
        <v>0</v>
      </c>
      <c r="X207" s="49">
        <v>1</v>
      </c>
      <c r="Y207" s="50">
        <v>25</v>
      </c>
      <c r="Z207" s="49">
        <v>0</v>
      </c>
      <c r="AA207" s="50">
        <v>0</v>
      </c>
      <c r="AB207" s="49">
        <v>3</v>
      </c>
      <c r="AC207" s="50">
        <v>75</v>
      </c>
      <c r="AD207" s="49">
        <v>4</v>
      </c>
    </row>
    <row r="208" spans="1:30" ht="15">
      <c r="A208" s="65" t="s">
        <v>341</v>
      </c>
      <c r="B208" s="65" t="s">
        <v>420</v>
      </c>
      <c r="C208" s="66" t="s">
        <v>1297</v>
      </c>
      <c r="D208" s="67">
        <v>3</v>
      </c>
      <c r="E208" s="68"/>
      <c r="F208" s="69">
        <v>70</v>
      </c>
      <c r="G208" s="66"/>
      <c r="H208" s="70"/>
      <c r="I208" s="71"/>
      <c r="J208" s="71"/>
      <c r="K208" s="35" t="s">
        <v>65</v>
      </c>
      <c r="L208" s="79">
        <v>208</v>
      </c>
      <c r="M208" s="79"/>
      <c r="N208" s="73"/>
      <c r="O208" s="81" t="s">
        <v>444</v>
      </c>
      <c r="P208" s="81">
        <v>1</v>
      </c>
      <c r="Q208" s="81" t="s">
        <v>445</v>
      </c>
      <c r="R208" s="81" t="s">
        <v>585</v>
      </c>
      <c r="S208" s="81">
        <v>72881</v>
      </c>
      <c r="T208" s="80" t="str">
        <f>REPLACE(INDEX(GroupVertices[Group],MATCH(Edges[[#This Row],[Vertex 1]],GroupVertices[Vertex],0)),1,1,"")</f>
        <v>2</v>
      </c>
      <c r="U208" s="80" t="str">
        <f>REPLACE(INDEX(GroupVertices[Group],MATCH(Edges[[#This Row],[Vertex 2]],GroupVertices[Vertex],0)),1,1,"")</f>
        <v>2</v>
      </c>
      <c r="V208" s="49">
        <v>0</v>
      </c>
      <c r="W208" s="50">
        <v>0</v>
      </c>
      <c r="X208" s="49">
        <v>0</v>
      </c>
      <c r="Y208" s="50">
        <v>0</v>
      </c>
      <c r="Z208" s="49">
        <v>0</v>
      </c>
      <c r="AA208" s="50">
        <v>0</v>
      </c>
      <c r="AB208" s="49">
        <v>6</v>
      </c>
      <c r="AC208" s="50">
        <v>100</v>
      </c>
      <c r="AD208" s="49">
        <v>6</v>
      </c>
    </row>
    <row r="209" spans="1:30" ht="15">
      <c r="A209" s="65" t="s">
        <v>421</v>
      </c>
      <c r="B209" s="65" t="s">
        <v>422</v>
      </c>
      <c r="C209" s="66" t="s">
        <v>1297</v>
      </c>
      <c r="D209" s="67">
        <v>3</v>
      </c>
      <c r="E209" s="68"/>
      <c r="F209" s="69">
        <v>70</v>
      </c>
      <c r="G209" s="66"/>
      <c r="H209" s="70"/>
      <c r="I209" s="71"/>
      <c r="J209" s="71"/>
      <c r="K209" s="35" t="s">
        <v>66</v>
      </c>
      <c r="L209" s="79">
        <v>209</v>
      </c>
      <c r="M209" s="79"/>
      <c r="N209" s="73"/>
      <c r="O209" s="81" t="s">
        <v>444</v>
      </c>
      <c r="P209" s="81">
        <v>1</v>
      </c>
      <c r="Q209" s="81" t="s">
        <v>445</v>
      </c>
      <c r="R209" s="81" t="s">
        <v>586</v>
      </c>
      <c r="S209" s="81">
        <v>72881</v>
      </c>
      <c r="T209" s="80" t="str">
        <f>REPLACE(INDEX(GroupVertices[Group],MATCH(Edges[[#This Row],[Vertex 1]],GroupVertices[Vertex],0)),1,1,"")</f>
        <v>9</v>
      </c>
      <c r="U209" s="80" t="str">
        <f>REPLACE(INDEX(GroupVertices[Group],MATCH(Edges[[#This Row],[Vertex 2]],GroupVertices[Vertex],0)),1,1,"")</f>
        <v>9</v>
      </c>
      <c r="V209" s="49">
        <v>0</v>
      </c>
      <c r="W209" s="50">
        <v>0</v>
      </c>
      <c r="X209" s="49">
        <v>0</v>
      </c>
      <c r="Y209" s="50">
        <v>0</v>
      </c>
      <c r="Z209" s="49">
        <v>0</v>
      </c>
      <c r="AA209" s="50">
        <v>0</v>
      </c>
      <c r="AB209" s="49">
        <v>25</v>
      </c>
      <c r="AC209" s="50">
        <v>100</v>
      </c>
      <c r="AD209" s="49">
        <v>25</v>
      </c>
    </row>
    <row r="210" spans="1:30" ht="15">
      <c r="A210" s="65" t="s">
        <v>422</v>
      </c>
      <c r="B210" s="65" t="s">
        <v>421</v>
      </c>
      <c r="C210" s="66" t="s">
        <v>1297</v>
      </c>
      <c r="D210" s="67">
        <v>3</v>
      </c>
      <c r="E210" s="68"/>
      <c r="F210" s="69">
        <v>70</v>
      </c>
      <c r="G210" s="66"/>
      <c r="H210" s="70"/>
      <c r="I210" s="71"/>
      <c r="J210" s="71"/>
      <c r="K210" s="35" t="s">
        <v>66</v>
      </c>
      <c r="L210" s="79">
        <v>210</v>
      </c>
      <c r="M210" s="79"/>
      <c r="N210" s="73"/>
      <c r="O210" s="81" t="s">
        <v>444</v>
      </c>
      <c r="P210" s="81">
        <v>1</v>
      </c>
      <c r="Q210" s="81" t="s">
        <v>445</v>
      </c>
      <c r="R210" s="81"/>
      <c r="S210" s="81">
        <v>72888</v>
      </c>
      <c r="T210" s="80" t="str">
        <f>REPLACE(INDEX(GroupVertices[Group],MATCH(Edges[[#This Row],[Vertex 1]],GroupVertices[Vertex],0)),1,1,"")</f>
        <v>9</v>
      </c>
      <c r="U210" s="80" t="str">
        <f>REPLACE(INDEX(GroupVertices[Group],MATCH(Edges[[#This Row],[Vertex 2]],GroupVertices[Vertex],0)),1,1,"")</f>
        <v>9</v>
      </c>
      <c r="V210" s="49"/>
      <c r="W210" s="50"/>
      <c r="X210" s="49"/>
      <c r="Y210" s="50"/>
      <c r="Z210" s="49"/>
      <c r="AA210" s="50"/>
      <c r="AB210" s="49"/>
      <c r="AC210" s="50"/>
      <c r="AD210" s="49"/>
    </row>
    <row r="211" spans="1:30" ht="15">
      <c r="A211" s="65" t="s">
        <v>422</v>
      </c>
      <c r="B211" s="65" t="s">
        <v>341</v>
      </c>
      <c r="C211" s="66" t="s">
        <v>1297</v>
      </c>
      <c r="D211" s="67">
        <v>3</v>
      </c>
      <c r="E211" s="68"/>
      <c r="F211" s="69">
        <v>70</v>
      </c>
      <c r="G211" s="66"/>
      <c r="H211" s="70"/>
      <c r="I211" s="71"/>
      <c r="J211" s="71"/>
      <c r="K211" s="35" t="s">
        <v>65</v>
      </c>
      <c r="L211" s="79">
        <v>211</v>
      </c>
      <c r="M211" s="79"/>
      <c r="N211" s="73"/>
      <c r="O211" s="81" t="s">
        <v>444</v>
      </c>
      <c r="P211" s="81">
        <v>1</v>
      </c>
      <c r="Q211" s="81" t="s">
        <v>445</v>
      </c>
      <c r="R211" s="81"/>
      <c r="S211" s="81">
        <v>72886</v>
      </c>
      <c r="T211" s="80" t="str">
        <f>REPLACE(INDEX(GroupVertices[Group],MATCH(Edges[[#This Row],[Vertex 1]],GroupVertices[Vertex],0)),1,1,"")</f>
        <v>9</v>
      </c>
      <c r="U211" s="80" t="str">
        <f>REPLACE(INDEX(GroupVertices[Group],MATCH(Edges[[#This Row],[Vertex 2]],GroupVertices[Vertex],0)),1,1,"")</f>
        <v>2</v>
      </c>
      <c r="V211" s="49"/>
      <c r="W211" s="50"/>
      <c r="X211" s="49"/>
      <c r="Y211" s="50"/>
      <c r="Z211" s="49"/>
      <c r="AA211" s="50"/>
      <c r="AB211" s="49"/>
      <c r="AC211" s="50"/>
      <c r="AD211" s="49"/>
    </row>
    <row r="212" spans="1:30" ht="15">
      <c r="A212" s="65" t="s">
        <v>423</v>
      </c>
      <c r="B212" s="65" t="s">
        <v>422</v>
      </c>
      <c r="C212" s="66" t="s">
        <v>1297</v>
      </c>
      <c r="D212" s="67">
        <v>3</v>
      </c>
      <c r="E212" s="68"/>
      <c r="F212" s="69">
        <v>70</v>
      </c>
      <c r="G212" s="66"/>
      <c r="H212" s="70"/>
      <c r="I212" s="71"/>
      <c r="J212" s="71"/>
      <c r="K212" s="35" t="s">
        <v>65</v>
      </c>
      <c r="L212" s="79">
        <v>212</v>
      </c>
      <c r="M212" s="79"/>
      <c r="N212" s="73"/>
      <c r="O212" s="81" t="s">
        <v>444</v>
      </c>
      <c r="P212" s="81">
        <v>1</v>
      </c>
      <c r="Q212" s="81" t="s">
        <v>445</v>
      </c>
      <c r="R212" s="81" t="s">
        <v>587</v>
      </c>
      <c r="S212" s="81">
        <v>72881</v>
      </c>
      <c r="T212" s="80" t="str">
        <f>REPLACE(INDEX(GroupVertices[Group],MATCH(Edges[[#This Row],[Vertex 1]],GroupVertices[Vertex],0)),1,1,"")</f>
        <v>9</v>
      </c>
      <c r="U212" s="80" t="str">
        <f>REPLACE(INDEX(GroupVertices[Group],MATCH(Edges[[#This Row],[Vertex 2]],GroupVertices[Vertex],0)),1,1,"")</f>
        <v>9</v>
      </c>
      <c r="V212" s="49">
        <v>0</v>
      </c>
      <c r="W212" s="50">
        <v>0</v>
      </c>
      <c r="X212" s="49">
        <v>0</v>
      </c>
      <c r="Y212" s="50">
        <v>0</v>
      </c>
      <c r="Z212" s="49">
        <v>0</v>
      </c>
      <c r="AA212" s="50">
        <v>0</v>
      </c>
      <c r="AB212" s="49">
        <v>26</v>
      </c>
      <c r="AC212" s="50">
        <v>100</v>
      </c>
      <c r="AD212" s="49">
        <v>26</v>
      </c>
    </row>
    <row r="213" spans="1:30" ht="15">
      <c r="A213" s="65" t="s">
        <v>424</v>
      </c>
      <c r="B213" s="65" t="s">
        <v>423</v>
      </c>
      <c r="C213" s="66" t="s">
        <v>1297</v>
      </c>
      <c r="D213" s="67">
        <v>3</v>
      </c>
      <c r="E213" s="68"/>
      <c r="F213" s="69">
        <v>70</v>
      </c>
      <c r="G213" s="66"/>
      <c r="H213" s="70"/>
      <c r="I213" s="71"/>
      <c r="J213" s="71"/>
      <c r="K213" s="35" t="s">
        <v>65</v>
      </c>
      <c r="L213" s="79">
        <v>213</v>
      </c>
      <c r="M213" s="79"/>
      <c r="N213" s="73"/>
      <c r="O213" s="81" t="s">
        <v>444</v>
      </c>
      <c r="P213" s="81">
        <v>1</v>
      </c>
      <c r="Q213" s="81" t="s">
        <v>445</v>
      </c>
      <c r="R213" s="81"/>
      <c r="S213" s="81">
        <v>72942</v>
      </c>
      <c r="T213" s="80" t="str">
        <f>REPLACE(INDEX(GroupVertices[Group],MATCH(Edges[[#This Row],[Vertex 1]],GroupVertices[Vertex],0)),1,1,"")</f>
        <v>9</v>
      </c>
      <c r="U213" s="80" t="str">
        <f>REPLACE(INDEX(GroupVertices[Group],MATCH(Edges[[#This Row],[Vertex 2]],GroupVertices[Vertex],0)),1,1,"")</f>
        <v>9</v>
      </c>
      <c r="V213" s="49"/>
      <c r="W213" s="50"/>
      <c r="X213" s="49"/>
      <c r="Y213" s="50"/>
      <c r="Z213" s="49"/>
      <c r="AA213" s="50"/>
      <c r="AB213" s="49"/>
      <c r="AC213" s="50"/>
      <c r="AD213" s="49"/>
    </row>
    <row r="214" spans="1:30" ht="15">
      <c r="A214" s="65" t="s">
        <v>331</v>
      </c>
      <c r="B214" s="65" t="s">
        <v>424</v>
      </c>
      <c r="C214" s="66" t="s">
        <v>1297</v>
      </c>
      <c r="D214" s="67">
        <v>3</v>
      </c>
      <c r="E214" s="68"/>
      <c r="F214" s="69">
        <v>70</v>
      </c>
      <c r="G214" s="66"/>
      <c r="H214" s="70"/>
      <c r="I214" s="71"/>
      <c r="J214" s="71"/>
      <c r="K214" s="35" t="s">
        <v>65</v>
      </c>
      <c r="L214" s="79">
        <v>214</v>
      </c>
      <c r="M214" s="79"/>
      <c r="N214" s="73"/>
      <c r="O214" s="81" t="s">
        <v>444</v>
      </c>
      <c r="P214" s="81">
        <v>1</v>
      </c>
      <c r="Q214" s="81" t="s">
        <v>445</v>
      </c>
      <c r="R214" s="81" t="s">
        <v>588</v>
      </c>
      <c r="S214" s="81">
        <v>73225</v>
      </c>
      <c r="T214" s="80" t="str">
        <f>REPLACE(INDEX(GroupVertices[Group],MATCH(Edges[[#This Row],[Vertex 1]],GroupVertices[Vertex],0)),1,1,"")</f>
        <v>1</v>
      </c>
      <c r="U214" s="80" t="str">
        <f>REPLACE(INDEX(GroupVertices[Group],MATCH(Edges[[#This Row],[Vertex 2]],GroupVertices[Vertex],0)),1,1,"")</f>
        <v>9</v>
      </c>
      <c r="V214" s="49">
        <v>0</v>
      </c>
      <c r="W214" s="50">
        <v>0</v>
      </c>
      <c r="X214" s="49">
        <v>0</v>
      </c>
      <c r="Y214" s="50">
        <v>0</v>
      </c>
      <c r="Z214" s="49">
        <v>0</v>
      </c>
      <c r="AA214" s="50">
        <v>0</v>
      </c>
      <c r="AB214" s="49">
        <v>13</v>
      </c>
      <c r="AC214" s="50">
        <v>100</v>
      </c>
      <c r="AD214" s="49">
        <v>13</v>
      </c>
    </row>
    <row r="215" spans="1:30" ht="15">
      <c r="A215" s="65" t="s">
        <v>410</v>
      </c>
      <c r="B215" s="65" t="s">
        <v>410</v>
      </c>
      <c r="C215" s="66" t="s">
        <v>1297</v>
      </c>
      <c r="D215" s="67">
        <v>3</v>
      </c>
      <c r="E215" s="68"/>
      <c r="F215" s="69">
        <v>70</v>
      </c>
      <c r="G215" s="66"/>
      <c r="H215" s="70"/>
      <c r="I215" s="71"/>
      <c r="J215" s="71"/>
      <c r="K215" s="35" t="s">
        <v>65</v>
      </c>
      <c r="L215" s="79">
        <v>215</v>
      </c>
      <c r="M215" s="79"/>
      <c r="N215" s="73"/>
      <c r="O215" s="81" t="s">
        <v>444</v>
      </c>
      <c r="P215" s="81">
        <v>1</v>
      </c>
      <c r="Q215" s="81" t="s">
        <v>445</v>
      </c>
      <c r="R215" s="81" t="s">
        <v>452</v>
      </c>
      <c r="S215" s="81">
        <v>214318</v>
      </c>
      <c r="T215" s="80" t="str">
        <f>REPLACE(INDEX(GroupVertices[Group],MATCH(Edges[[#This Row],[Vertex 1]],GroupVertices[Vertex],0)),1,1,"")</f>
        <v>1</v>
      </c>
      <c r="U215" s="80" t="str">
        <f>REPLACE(INDEX(GroupVertices[Group],MATCH(Edges[[#This Row],[Vertex 2]],GroupVertices[Vertex],0)),1,1,"")</f>
        <v>1</v>
      </c>
      <c r="V215" s="49">
        <v>1</v>
      </c>
      <c r="W215" s="50">
        <v>14.285714285714286</v>
      </c>
      <c r="X215" s="49">
        <v>2</v>
      </c>
      <c r="Y215" s="50">
        <v>28.571428571428573</v>
      </c>
      <c r="Z215" s="49">
        <v>0</v>
      </c>
      <c r="AA215" s="50">
        <v>0</v>
      </c>
      <c r="AB215" s="49">
        <v>4</v>
      </c>
      <c r="AC215" s="50">
        <v>57.142857142857146</v>
      </c>
      <c r="AD215" s="49">
        <v>7</v>
      </c>
    </row>
    <row r="216" spans="1:30" ht="15">
      <c r="A216" s="65" t="s">
        <v>410</v>
      </c>
      <c r="B216" s="65" t="s">
        <v>335</v>
      </c>
      <c r="C216" s="66" t="s">
        <v>1298</v>
      </c>
      <c r="D216" s="67">
        <v>10</v>
      </c>
      <c r="E216" s="68"/>
      <c r="F216" s="69">
        <v>40</v>
      </c>
      <c r="G216" s="66"/>
      <c r="H216" s="70"/>
      <c r="I216" s="71"/>
      <c r="J216" s="71"/>
      <c r="K216" s="35" t="s">
        <v>66</v>
      </c>
      <c r="L216" s="79">
        <v>216</v>
      </c>
      <c r="M216" s="79"/>
      <c r="N216" s="73"/>
      <c r="O216" s="81" t="s">
        <v>444</v>
      </c>
      <c r="P216" s="81">
        <v>2</v>
      </c>
      <c r="Q216" s="81" t="s">
        <v>445</v>
      </c>
      <c r="R216" s="81" t="s">
        <v>452</v>
      </c>
      <c r="S216" s="81">
        <v>214646</v>
      </c>
      <c r="T216" s="80" t="str">
        <f>REPLACE(INDEX(GroupVertices[Group],MATCH(Edges[[#This Row],[Vertex 1]],GroupVertices[Vertex],0)),1,1,"")</f>
        <v>1</v>
      </c>
      <c r="U216" s="80" t="str">
        <f>REPLACE(INDEX(GroupVertices[Group],MATCH(Edges[[#This Row],[Vertex 2]],GroupVertices[Vertex],0)),1,1,"")</f>
        <v>1</v>
      </c>
      <c r="V216" s="49">
        <v>1</v>
      </c>
      <c r="W216" s="50">
        <v>14.285714285714286</v>
      </c>
      <c r="X216" s="49">
        <v>2</v>
      </c>
      <c r="Y216" s="50">
        <v>28.571428571428573</v>
      </c>
      <c r="Z216" s="49">
        <v>0</v>
      </c>
      <c r="AA216" s="50">
        <v>0</v>
      </c>
      <c r="AB216" s="49">
        <v>4</v>
      </c>
      <c r="AC216" s="50">
        <v>57.142857142857146</v>
      </c>
      <c r="AD216" s="49">
        <v>7</v>
      </c>
    </row>
    <row r="217" spans="1:30" ht="15">
      <c r="A217" s="65" t="s">
        <v>335</v>
      </c>
      <c r="B217" s="65" t="s">
        <v>410</v>
      </c>
      <c r="C217" s="66" t="s">
        <v>1298</v>
      </c>
      <c r="D217" s="67">
        <v>10</v>
      </c>
      <c r="E217" s="68"/>
      <c r="F217" s="69">
        <v>40</v>
      </c>
      <c r="G217" s="66"/>
      <c r="H217" s="70"/>
      <c r="I217" s="71"/>
      <c r="J217" s="71"/>
      <c r="K217" s="35" t="s">
        <v>66</v>
      </c>
      <c r="L217" s="79">
        <v>217</v>
      </c>
      <c r="M217" s="79"/>
      <c r="N217" s="73"/>
      <c r="O217" s="81" t="s">
        <v>444</v>
      </c>
      <c r="P217" s="81">
        <v>2</v>
      </c>
      <c r="Q217" s="81" t="s">
        <v>445</v>
      </c>
      <c r="R217" s="81" t="s">
        <v>452</v>
      </c>
      <c r="S217" s="81">
        <v>214775</v>
      </c>
      <c r="T217" s="80" t="str">
        <f>REPLACE(INDEX(GroupVertices[Group],MATCH(Edges[[#This Row],[Vertex 1]],GroupVertices[Vertex],0)),1,1,"")</f>
        <v>1</v>
      </c>
      <c r="U217" s="80" t="str">
        <f>REPLACE(INDEX(GroupVertices[Group],MATCH(Edges[[#This Row],[Vertex 2]],GroupVertices[Vertex],0)),1,1,"")</f>
        <v>1</v>
      </c>
      <c r="V217" s="49">
        <v>1</v>
      </c>
      <c r="W217" s="50">
        <v>14.285714285714286</v>
      </c>
      <c r="X217" s="49">
        <v>2</v>
      </c>
      <c r="Y217" s="50">
        <v>28.571428571428573</v>
      </c>
      <c r="Z217" s="49">
        <v>0</v>
      </c>
      <c r="AA217" s="50">
        <v>0</v>
      </c>
      <c r="AB217" s="49">
        <v>4</v>
      </c>
      <c r="AC217" s="50">
        <v>57.142857142857146</v>
      </c>
      <c r="AD217" s="49">
        <v>7</v>
      </c>
    </row>
    <row r="218" spans="1:30" ht="15">
      <c r="A218" s="65" t="s">
        <v>405</v>
      </c>
      <c r="B218" s="65" t="s">
        <v>410</v>
      </c>
      <c r="C218" s="66" t="s">
        <v>1297</v>
      </c>
      <c r="D218" s="67">
        <v>3</v>
      </c>
      <c r="E218" s="68"/>
      <c r="F218" s="69">
        <v>70</v>
      </c>
      <c r="G218" s="66"/>
      <c r="H218" s="70"/>
      <c r="I218" s="71"/>
      <c r="J218" s="71"/>
      <c r="K218" s="35" t="s">
        <v>65</v>
      </c>
      <c r="L218" s="79">
        <v>218</v>
      </c>
      <c r="M218" s="79"/>
      <c r="N218" s="73"/>
      <c r="O218" s="81" t="s">
        <v>444</v>
      </c>
      <c r="P218" s="81">
        <v>1</v>
      </c>
      <c r="Q218" s="81" t="s">
        <v>445</v>
      </c>
      <c r="R218" s="81" t="s">
        <v>589</v>
      </c>
      <c r="S218" s="81">
        <v>126206</v>
      </c>
      <c r="T218" s="80" t="str">
        <f>REPLACE(INDEX(GroupVertices[Group],MATCH(Edges[[#This Row],[Vertex 1]],GroupVertices[Vertex],0)),1,1,"")</f>
        <v>6</v>
      </c>
      <c r="U218" s="80" t="str">
        <f>REPLACE(INDEX(GroupVertices[Group],MATCH(Edges[[#This Row],[Vertex 2]],GroupVertices[Vertex],0)),1,1,"")</f>
        <v>1</v>
      </c>
      <c r="V218" s="49">
        <v>0</v>
      </c>
      <c r="W218" s="50">
        <v>0</v>
      </c>
      <c r="X218" s="49">
        <v>1</v>
      </c>
      <c r="Y218" s="50">
        <v>7.142857142857143</v>
      </c>
      <c r="Z218" s="49">
        <v>0</v>
      </c>
      <c r="AA218" s="50">
        <v>0</v>
      </c>
      <c r="AB218" s="49">
        <v>13</v>
      </c>
      <c r="AC218" s="50">
        <v>92.85714285714286</v>
      </c>
      <c r="AD218" s="49">
        <v>14</v>
      </c>
    </row>
    <row r="219" spans="1:30" ht="15">
      <c r="A219" s="65" t="s">
        <v>410</v>
      </c>
      <c r="B219" s="65" t="s">
        <v>331</v>
      </c>
      <c r="C219" s="66" t="s">
        <v>1297</v>
      </c>
      <c r="D219" s="67">
        <v>3</v>
      </c>
      <c r="E219" s="68"/>
      <c r="F219" s="69">
        <v>70</v>
      </c>
      <c r="G219" s="66"/>
      <c r="H219" s="70"/>
      <c r="I219" s="71"/>
      <c r="J219" s="71"/>
      <c r="K219" s="35" t="s">
        <v>65</v>
      </c>
      <c r="L219" s="79">
        <v>219</v>
      </c>
      <c r="M219" s="79"/>
      <c r="N219" s="73"/>
      <c r="O219" s="81" t="s">
        <v>444</v>
      </c>
      <c r="P219" s="81">
        <v>1</v>
      </c>
      <c r="Q219" s="81" t="s">
        <v>445</v>
      </c>
      <c r="R219" s="81" t="s">
        <v>590</v>
      </c>
      <c r="S219" s="81">
        <v>72881</v>
      </c>
      <c r="T219" s="80" t="str">
        <f>REPLACE(INDEX(GroupVertices[Group],MATCH(Edges[[#This Row],[Vertex 1]],GroupVertices[Vertex],0)),1,1,"")</f>
        <v>1</v>
      </c>
      <c r="U219" s="80" t="str">
        <f>REPLACE(INDEX(GroupVertices[Group],MATCH(Edges[[#This Row],[Vertex 2]],GroupVertices[Vertex],0)),1,1,"")</f>
        <v>1</v>
      </c>
      <c r="V219" s="49">
        <v>0</v>
      </c>
      <c r="W219" s="50">
        <v>0</v>
      </c>
      <c r="X219" s="49">
        <v>0</v>
      </c>
      <c r="Y219" s="50">
        <v>0</v>
      </c>
      <c r="Z219" s="49">
        <v>0</v>
      </c>
      <c r="AA219" s="50">
        <v>0</v>
      </c>
      <c r="AB219" s="49">
        <v>1</v>
      </c>
      <c r="AC219" s="50">
        <v>100</v>
      </c>
      <c r="AD219" s="49">
        <v>1</v>
      </c>
    </row>
    <row r="220" spans="1:30" ht="15">
      <c r="A220" s="65" t="s">
        <v>425</v>
      </c>
      <c r="B220" s="65" t="s">
        <v>410</v>
      </c>
      <c r="C220" s="66" t="s">
        <v>1297</v>
      </c>
      <c r="D220" s="67">
        <v>3</v>
      </c>
      <c r="E220" s="68"/>
      <c r="F220" s="69">
        <v>70</v>
      </c>
      <c r="G220" s="66"/>
      <c r="H220" s="70"/>
      <c r="I220" s="71"/>
      <c r="J220" s="71"/>
      <c r="K220" s="35" t="s">
        <v>65</v>
      </c>
      <c r="L220" s="79">
        <v>220</v>
      </c>
      <c r="M220" s="79"/>
      <c r="N220" s="73"/>
      <c r="O220" s="81" t="s">
        <v>444</v>
      </c>
      <c r="P220" s="81">
        <v>1</v>
      </c>
      <c r="Q220" s="81" t="s">
        <v>445</v>
      </c>
      <c r="R220" s="81" t="s">
        <v>591</v>
      </c>
      <c r="S220" s="81">
        <v>73113</v>
      </c>
      <c r="T220" s="80" t="str">
        <f>REPLACE(INDEX(GroupVertices[Group],MATCH(Edges[[#This Row],[Vertex 1]],GroupVertices[Vertex],0)),1,1,"")</f>
        <v>1</v>
      </c>
      <c r="U220" s="80" t="str">
        <f>REPLACE(INDEX(GroupVertices[Group],MATCH(Edges[[#This Row],[Vertex 2]],GroupVertices[Vertex],0)),1,1,"")</f>
        <v>1</v>
      </c>
      <c r="V220" s="49">
        <v>0</v>
      </c>
      <c r="W220" s="50">
        <v>0</v>
      </c>
      <c r="X220" s="49">
        <v>0</v>
      </c>
      <c r="Y220" s="50">
        <v>0</v>
      </c>
      <c r="Z220" s="49">
        <v>0</v>
      </c>
      <c r="AA220" s="50">
        <v>0</v>
      </c>
      <c r="AB220" s="49">
        <v>2</v>
      </c>
      <c r="AC220" s="50">
        <v>100</v>
      </c>
      <c r="AD220" s="49">
        <v>2</v>
      </c>
    </row>
    <row r="221" spans="1:30" ht="15">
      <c r="A221" s="65" t="s">
        <v>335</v>
      </c>
      <c r="B221" s="65" t="s">
        <v>425</v>
      </c>
      <c r="C221" s="66" t="s">
        <v>1297</v>
      </c>
      <c r="D221" s="67">
        <v>3</v>
      </c>
      <c r="E221" s="68"/>
      <c r="F221" s="69">
        <v>70</v>
      </c>
      <c r="G221" s="66"/>
      <c r="H221" s="70"/>
      <c r="I221" s="71"/>
      <c r="J221" s="71"/>
      <c r="K221" s="35" t="s">
        <v>65</v>
      </c>
      <c r="L221" s="79">
        <v>221</v>
      </c>
      <c r="M221" s="79"/>
      <c r="N221" s="73"/>
      <c r="O221" s="81" t="s">
        <v>444</v>
      </c>
      <c r="P221" s="81">
        <v>1</v>
      </c>
      <c r="Q221" s="81" t="s">
        <v>445</v>
      </c>
      <c r="R221" s="81" t="s">
        <v>591</v>
      </c>
      <c r="S221" s="81">
        <v>73410</v>
      </c>
      <c r="T221" s="80" t="str">
        <f>REPLACE(INDEX(GroupVertices[Group],MATCH(Edges[[#This Row],[Vertex 1]],GroupVertices[Vertex],0)),1,1,"")</f>
        <v>1</v>
      </c>
      <c r="U221" s="80" t="str">
        <f>REPLACE(INDEX(GroupVertices[Group],MATCH(Edges[[#This Row],[Vertex 2]],GroupVertices[Vertex],0)),1,1,"")</f>
        <v>1</v>
      </c>
      <c r="V221" s="49">
        <v>0</v>
      </c>
      <c r="W221" s="50">
        <v>0</v>
      </c>
      <c r="X221" s="49">
        <v>0</v>
      </c>
      <c r="Y221" s="50">
        <v>0</v>
      </c>
      <c r="Z221" s="49">
        <v>0</v>
      </c>
      <c r="AA221" s="50">
        <v>0</v>
      </c>
      <c r="AB221" s="49">
        <v>2</v>
      </c>
      <c r="AC221" s="50">
        <v>100</v>
      </c>
      <c r="AD221" s="49">
        <v>2</v>
      </c>
    </row>
    <row r="222" spans="1:30" ht="15">
      <c r="A222" s="65" t="s">
        <v>426</v>
      </c>
      <c r="B222" s="65" t="s">
        <v>379</v>
      </c>
      <c r="C222" s="66" t="s">
        <v>1297</v>
      </c>
      <c r="D222" s="67">
        <v>3</v>
      </c>
      <c r="E222" s="68"/>
      <c r="F222" s="69">
        <v>70</v>
      </c>
      <c r="G222" s="66"/>
      <c r="H222" s="70"/>
      <c r="I222" s="71"/>
      <c r="J222" s="71"/>
      <c r="K222" s="35" t="s">
        <v>66</v>
      </c>
      <c r="L222" s="79">
        <v>222</v>
      </c>
      <c r="M222" s="79"/>
      <c r="N222" s="73"/>
      <c r="O222" s="81" t="s">
        <v>444</v>
      </c>
      <c r="P222" s="81">
        <v>1</v>
      </c>
      <c r="Q222" s="81" t="s">
        <v>445</v>
      </c>
      <c r="R222" s="81" t="s">
        <v>592</v>
      </c>
      <c r="S222" s="81">
        <v>62975</v>
      </c>
      <c r="T222" s="80" t="str">
        <f>REPLACE(INDEX(GroupVertices[Group],MATCH(Edges[[#This Row],[Vertex 1]],GroupVertices[Vertex],0)),1,1,"")</f>
        <v>1</v>
      </c>
      <c r="U222" s="80" t="str">
        <f>REPLACE(INDEX(GroupVertices[Group],MATCH(Edges[[#This Row],[Vertex 2]],GroupVertices[Vertex],0)),1,1,"")</f>
        <v>1</v>
      </c>
      <c r="V222" s="49">
        <v>0</v>
      </c>
      <c r="W222" s="50">
        <v>0</v>
      </c>
      <c r="X222" s="49">
        <v>0</v>
      </c>
      <c r="Y222" s="50">
        <v>0</v>
      </c>
      <c r="Z222" s="49">
        <v>0</v>
      </c>
      <c r="AA222" s="50">
        <v>0</v>
      </c>
      <c r="AB222" s="49">
        <v>2</v>
      </c>
      <c r="AC222" s="50">
        <v>100</v>
      </c>
      <c r="AD222" s="49">
        <v>2</v>
      </c>
    </row>
    <row r="223" spans="1:30" ht="15">
      <c r="A223" s="65" t="s">
        <v>379</v>
      </c>
      <c r="B223" s="65" t="s">
        <v>426</v>
      </c>
      <c r="C223" s="66" t="s">
        <v>1297</v>
      </c>
      <c r="D223" s="67">
        <v>3</v>
      </c>
      <c r="E223" s="68"/>
      <c r="F223" s="69">
        <v>70</v>
      </c>
      <c r="G223" s="66"/>
      <c r="H223" s="70"/>
      <c r="I223" s="71"/>
      <c r="J223" s="71"/>
      <c r="K223" s="35" t="s">
        <v>66</v>
      </c>
      <c r="L223" s="79">
        <v>223</v>
      </c>
      <c r="M223" s="79"/>
      <c r="N223" s="73"/>
      <c r="O223" s="81" t="s">
        <v>444</v>
      </c>
      <c r="P223" s="81">
        <v>1</v>
      </c>
      <c r="Q223" s="81" t="s">
        <v>445</v>
      </c>
      <c r="R223" s="81" t="s">
        <v>593</v>
      </c>
      <c r="S223" s="81">
        <v>63390</v>
      </c>
      <c r="T223" s="80" t="str">
        <f>REPLACE(INDEX(GroupVertices[Group],MATCH(Edges[[#This Row],[Vertex 1]],GroupVertices[Vertex],0)),1,1,"")</f>
        <v>1</v>
      </c>
      <c r="U223" s="80" t="str">
        <f>REPLACE(INDEX(GroupVertices[Group],MATCH(Edges[[#This Row],[Vertex 2]],GroupVertices[Vertex],0)),1,1,"")</f>
        <v>1</v>
      </c>
      <c r="V223" s="49">
        <v>0</v>
      </c>
      <c r="W223" s="50">
        <v>0</v>
      </c>
      <c r="X223" s="49">
        <v>0</v>
      </c>
      <c r="Y223" s="50">
        <v>0</v>
      </c>
      <c r="Z223" s="49">
        <v>0</v>
      </c>
      <c r="AA223" s="50">
        <v>0</v>
      </c>
      <c r="AB223" s="49">
        <v>2</v>
      </c>
      <c r="AC223" s="50">
        <v>100</v>
      </c>
      <c r="AD223" s="49">
        <v>2</v>
      </c>
    </row>
    <row r="224" spans="1:30" ht="15">
      <c r="A224" s="65" t="s">
        <v>427</v>
      </c>
      <c r="B224" s="65" t="s">
        <v>379</v>
      </c>
      <c r="C224" s="66" t="s">
        <v>1297</v>
      </c>
      <c r="D224" s="67">
        <v>3</v>
      </c>
      <c r="E224" s="68"/>
      <c r="F224" s="69">
        <v>70</v>
      </c>
      <c r="G224" s="66"/>
      <c r="H224" s="70"/>
      <c r="I224" s="71"/>
      <c r="J224" s="71"/>
      <c r="K224" s="35" t="s">
        <v>65</v>
      </c>
      <c r="L224" s="79">
        <v>224</v>
      </c>
      <c r="M224" s="79"/>
      <c r="N224" s="73"/>
      <c r="O224" s="81" t="s">
        <v>444</v>
      </c>
      <c r="P224" s="81">
        <v>1</v>
      </c>
      <c r="Q224" s="81" t="s">
        <v>445</v>
      </c>
      <c r="R224" s="81" t="s">
        <v>593</v>
      </c>
      <c r="S224" s="81">
        <v>63796</v>
      </c>
      <c r="T224" s="80" t="str">
        <f>REPLACE(INDEX(GroupVertices[Group],MATCH(Edges[[#This Row],[Vertex 1]],GroupVertices[Vertex],0)),1,1,"")</f>
        <v>1</v>
      </c>
      <c r="U224" s="80" t="str">
        <f>REPLACE(INDEX(GroupVertices[Group],MATCH(Edges[[#This Row],[Vertex 2]],GroupVertices[Vertex],0)),1,1,"")</f>
        <v>1</v>
      </c>
      <c r="V224" s="49">
        <v>0</v>
      </c>
      <c r="W224" s="50">
        <v>0</v>
      </c>
      <c r="X224" s="49">
        <v>0</v>
      </c>
      <c r="Y224" s="50">
        <v>0</v>
      </c>
      <c r="Z224" s="49">
        <v>0</v>
      </c>
      <c r="AA224" s="50">
        <v>0</v>
      </c>
      <c r="AB224" s="49">
        <v>2</v>
      </c>
      <c r="AC224" s="50">
        <v>100</v>
      </c>
      <c r="AD224" s="49">
        <v>2</v>
      </c>
    </row>
    <row r="225" spans="1:30" ht="15">
      <c r="A225" s="65" t="s">
        <v>381</v>
      </c>
      <c r="B225" s="65" t="s">
        <v>427</v>
      </c>
      <c r="C225" s="66" t="s">
        <v>1297</v>
      </c>
      <c r="D225" s="67">
        <v>3</v>
      </c>
      <c r="E225" s="68"/>
      <c r="F225" s="69">
        <v>70</v>
      </c>
      <c r="G225" s="66"/>
      <c r="H225" s="70"/>
      <c r="I225" s="71"/>
      <c r="J225" s="71"/>
      <c r="K225" s="35" t="s">
        <v>65</v>
      </c>
      <c r="L225" s="79">
        <v>225</v>
      </c>
      <c r="M225" s="79"/>
      <c r="N225" s="73"/>
      <c r="O225" s="81" t="s">
        <v>444</v>
      </c>
      <c r="P225" s="81">
        <v>1</v>
      </c>
      <c r="Q225" s="81" t="s">
        <v>445</v>
      </c>
      <c r="R225" s="81" t="s">
        <v>594</v>
      </c>
      <c r="S225" s="81">
        <v>64456</v>
      </c>
      <c r="T225" s="80" t="str">
        <f>REPLACE(INDEX(GroupVertices[Group],MATCH(Edges[[#This Row],[Vertex 1]],GroupVertices[Vertex],0)),1,1,"")</f>
        <v>1</v>
      </c>
      <c r="U225" s="80" t="str">
        <f>REPLACE(INDEX(GroupVertices[Group],MATCH(Edges[[#This Row],[Vertex 2]],GroupVertices[Vertex],0)),1,1,"")</f>
        <v>1</v>
      </c>
      <c r="V225" s="49">
        <v>0</v>
      </c>
      <c r="W225" s="50">
        <v>0</v>
      </c>
      <c r="X225" s="49">
        <v>0</v>
      </c>
      <c r="Y225" s="50">
        <v>0</v>
      </c>
      <c r="Z225" s="49">
        <v>0</v>
      </c>
      <c r="AA225" s="50">
        <v>0</v>
      </c>
      <c r="AB225" s="49">
        <v>13</v>
      </c>
      <c r="AC225" s="50">
        <v>100</v>
      </c>
      <c r="AD225" s="49">
        <v>13</v>
      </c>
    </row>
    <row r="226" spans="1:30" ht="15">
      <c r="A226" s="65" t="s">
        <v>341</v>
      </c>
      <c r="B226" s="65" t="s">
        <v>363</v>
      </c>
      <c r="C226" s="66" t="s">
        <v>1297</v>
      </c>
      <c r="D226" s="67">
        <v>3</v>
      </c>
      <c r="E226" s="68"/>
      <c r="F226" s="69">
        <v>70</v>
      </c>
      <c r="G226" s="66"/>
      <c r="H226" s="70"/>
      <c r="I226" s="71"/>
      <c r="J226" s="71"/>
      <c r="K226" s="35" t="s">
        <v>66</v>
      </c>
      <c r="L226" s="79">
        <v>226</v>
      </c>
      <c r="M226" s="79"/>
      <c r="N226" s="73"/>
      <c r="O226" s="81" t="s">
        <v>444</v>
      </c>
      <c r="P226" s="81">
        <v>1</v>
      </c>
      <c r="Q226" s="81" t="s">
        <v>445</v>
      </c>
      <c r="R226" s="81" t="s">
        <v>595</v>
      </c>
      <c r="S226" s="81">
        <v>230929</v>
      </c>
      <c r="T226" s="80" t="str">
        <f>REPLACE(INDEX(GroupVertices[Group],MATCH(Edges[[#This Row],[Vertex 1]],GroupVertices[Vertex],0)),1,1,"")</f>
        <v>2</v>
      </c>
      <c r="U226" s="80" t="str">
        <f>REPLACE(INDEX(GroupVertices[Group],MATCH(Edges[[#This Row],[Vertex 2]],GroupVertices[Vertex],0)),1,1,"")</f>
        <v>5</v>
      </c>
      <c r="V226" s="49">
        <v>0</v>
      </c>
      <c r="W226" s="50">
        <v>0</v>
      </c>
      <c r="X226" s="49">
        <v>0</v>
      </c>
      <c r="Y226" s="50">
        <v>0</v>
      </c>
      <c r="Z226" s="49">
        <v>0</v>
      </c>
      <c r="AA226" s="50">
        <v>0</v>
      </c>
      <c r="AB226" s="49">
        <v>7</v>
      </c>
      <c r="AC226" s="50">
        <v>100</v>
      </c>
      <c r="AD226" s="49">
        <v>7</v>
      </c>
    </row>
    <row r="227" spans="1:30" ht="15">
      <c r="A227" s="65" t="s">
        <v>352</v>
      </c>
      <c r="B227" s="65" t="s">
        <v>363</v>
      </c>
      <c r="C227" s="66" t="s">
        <v>1297</v>
      </c>
      <c r="D227" s="67">
        <v>3</v>
      </c>
      <c r="E227" s="68"/>
      <c r="F227" s="69">
        <v>70</v>
      </c>
      <c r="G227" s="66"/>
      <c r="H227" s="70"/>
      <c r="I227" s="71"/>
      <c r="J227" s="71"/>
      <c r="K227" s="35" t="s">
        <v>66</v>
      </c>
      <c r="L227" s="79">
        <v>227</v>
      </c>
      <c r="M227" s="79"/>
      <c r="N227" s="73"/>
      <c r="O227" s="81" t="s">
        <v>444</v>
      </c>
      <c r="P227" s="81">
        <v>1</v>
      </c>
      <c r="Q227" s="81" t="s">
        <v>445</v>
      </c>
      <c r="R227" s="81" t="s">
        <v>539</v>
      </c>
      <c r="S227" s="81">
        <v>204063</v>
      </c>
      <c r="T227" s="80" t="str">
        <f>REPLACE(INDEX(GroupVertices[Group],MATCH(Edges[[#This Row],[Vertex 1]],GroupVertices[Vertex],0)),1,1,"")</f>
        <v>7</v>
      </c>
      <c r="U227" s="80" t="str">
        <f>REPLACE(INDEX(GroupVertices[Group],MATCH(Edges[[#This Row],[Vertex 2]],GroupVertices[Vertex],0)),1,1,"")</f>
        <v>5</v>
      </c>
      <c r="V227" s="49">
        <v>0</v>
      </c>
      <c r="W227" s="50">
        <v>0</v>
      </c>
      <c r="X227" s="49">
        <v>0</v>
      </c>
      <c r="Y227" s="50">
        <v>0</v>
      </c>
      <c r="Z227" s="49">
        <v>0</v>
      </c>
      <c r="AA227" s="50">
        <v>0</v>
      </c>
      <c r="AB227" s="49">
        <v>4</v>
      </c>
      <c r="AC227" s="50">
        <v>100</v>
      </c>
      <c r="AD227" s="49">
        <v>4</v>
      </c>
    </row>
    <row r="228" spans="1:30" ht="15">
      <c r="A228" s="65" t="s">
        <v>363</v>
      </c>
      <c r="B228" s="65" t="s">
        <v>352</v>
      </c>
      <c r="C228" s="66" t="s">
        <v>1297</v>
      </c>
      <c r="D228" s="67">
        <v>3</v>
      </c>
      <c r="E228" s="68"/>
      <c r="F228" s="69">
        <v>70</v>
      </c>
      <c r="G228" s="66"/>
      <c r="H228" s="70"/>
      <c r="I228" s="71"/>
      <c r="J228" s="71"/>
      <c r="K228" s="35" t="s">
        <v>66</v>
      </c>
      <c r="L228" s="79">
        <v>228</v>
      </c>
      <c r="M228" s="79"/>
      <c r="N228" s="73"/>
      <c r="O228" s="81" t="s">
        <v>444</v>
      </c>
      <c r="P228" s="81">
        <v>1</v>
      </c>
      <c r="Q228" s="81" t="s">
        <v>445</v>
      </c>
      <c r="R228" s="81" t="s">
        <v>596</v>
      </c>
      <c r="S228" s="81">
        <v>204689</v>
      </c>
      <c r="T228" s="80" t="str">
        <f>REPLACE(INDEX(GroupVertices[Group],MATCH(Edges[[#This Row],[Vertex 1]],GroupVertices[Vertex],0)),1,1,"")</f>
        <v>5</v>
      </c>
      <c r="U228" s="80" t="str">
        <f>REPLACE(INDEX(GroupVertices[Group],MATCH(Edges[[#This Row],[Vertex 2]],GroupVertices[Vertex],0)),1,1,"")</f>
        <v>7</v>
      </c>
      <c r="V228" s="49">
        <v>0</v>
      </c>
      <c r="W228" s="50">
        <v>0</v>
      </c>
      <c r="X228" s="49">
        <v>0</v>
      </c>
      <c r="Y228" s="50">
        <v>0</v>
      </c>
      <c r="Z228" s="49">
        <v>0</v>
      </c>
      <c r="AA228" s="50">
        <v>0</v>
      </c>
      <c r="AB228" s="49">
        <v>7</v>
      </c>
      <c r="AC228" s="50">
        <v>100</v>
      </c>
      <c r="AD228" s="49">
        <v>7</v>
      </c>
    </row>
    <row r="229" spans="1:30" ht="15">
      <c r="A229" s="65" t="s">
        <v>363</v>
      </c>
      <c r="B229" s="65" t="s">
        <v>363</v>
      </c>
      <c r="C229" s="66" t="s">
        <v>1298</v>
      </c>
      <c r="D229" s="67">
        <v>10</v>
      </c>
      <c r="E229" s="68"/>
      <c r="F229" s="69">
        <v>40</v>
      </c>
      <c r="G229" s="66"/>
      <c r="H229" s="70"/>
      <c r="I229" s="71"/>
      <c r="J229" s="71"/>
      <c r="K229" s="35" t="s">
        <v>65</v>
      </c>
      <c r="L229" s="79">
        <v>229</v>
      </c>
      <c r="M229" s="79"/>
      <c r="N229" s="73"/>
      <c r="O229" s="81" t="s">
        <v>444</v>
      </c>
      <c r="P229" s="81">
        <v>3</v>
      </c>
      <c r="Q229" s="81" t="s">
        <v>445</v>
      </c>
      <c r="R229" s="81" t="s">
        <v>597</v>
      </c>
      <c r="S229" s="81">
        <v>204983</v>
      </c>
      <c r="T229" s="80" t="str">
        <f>REPLACE(INDEX(GroupVertices[Group],MATCH(Edges[[#This Row],[Vertex 1]],GroupVertices[Vertex],0)),1,1,"")</f>
        <v>5</v>
      </c>
      <c r="U229" s="80" t="str">
        <f>REPLACE(INDEX(GroupVertices[Group],MATCH(Edges[[#This Row],[Vertex 2]],GroupVertices[Vertex],0)),1,1,"")</f>
        <v>5</v>
      </c>
      <c r="V229" s="49">
        <v>0</v>
      </c>
      <c r="W229" s="50">
        <v>0</v>
      </c>
      <c r="X229" s="49">
        <v>1</v>
      </c>
      <c r="Y229" s="50">
        <v>16.666666666666668</v>
      </c>
      <c r="Z229" s="49">
        <v>0</v>
      </c>
      <c r="AA229" s="50">
        <v>0</v>
      </c>
      <c r="AB229" s="49">
        <v>5</v>
      </c>
      <c r="AC229" s="50">
        <v>83.33333333333333</v>
      </c>
      <c r="AD229" s="49">
        <v>6</v>
      </c>
    </row>
    <row r="230" spans="1:30" ht="15">
      <c r="A230" s="65" t="s">
        <v>363</v>
      </c>
      <c r="B230" s="65" t="s">
        <v>341</v>
      </c>
      <c r="C230" s="66" t="s">
        <v>1298</v>
      </c>
      <c r="D230" s="67">
        <v>10</v>
      </c>
      <c r="E230" s="68"/>
      <c r="F230" s="69">
        <v>40</v>
      </c>
      <c r="G230" s="66"/>
      <c r="H230" s="70"/>
      <c r="I230" s="71"/>
      <c r="J230" s="71"/>
      <c r="K230" s="35" t="s">
        <v>66</v>
      </c>
      <c r="L230" s="79">
        <v>230</v>
      </c>
      <c r="M230" s="79"/>
      <c r="N230" s="73"/>
      <c r="O230" s="81" t="s">
        <v>444</v>
      </c>
      <c r="P230" s="81">
        <v>2</v>
      </c>
      <c r="Q230" s="81" t="s">
        <v>445</v>
      </c>
      <c r="R230" s="81" t="s">
        <v>598</v>
      </c>
      <c r="S230" s="81">
        <v>206284</v>
      </c>
      <c r="T230" s="80" t="str">
        <f>REPLACE(INDEX(GroupVertices[Group],MATCH(Edges[[#This Row],[Vertex 1]],GroupVertices[Vertex],0)),1,1,"")</f>
        <v>5</v>
      </c>
      <c r="U230" s="80" t="str">
        <f>REPLACE(INDEX(GroupVertices[Group],MATCH(Edges[[#This Row],[Vertex 2]],GroupVertices[Vertex],0)),1,1,"")</f>
        <v>2</v>
      </c>
      <c r="V230" s="49">
        <v>1</v>
      </c>
      <c r="W230" s="50">
        <v>33.333333333333336</v>
      </c>
      <c r="X230" s="49">
        <v>0</v>
      </c>
      <c r="Y230" s="50">
        <v>0</v>
      </c>
      <c r="Z230" s="49">
        <v>0</v>
      </c>
      <c r="AA230" s="50">
        <v>0</v>
      </c>
      <c r="AB230" s="49">
        <v>2</v>
      </c>
      <c r="AC230" s="50">
        <v>66.66666666666667</v>
      </c>
      <c r="AD230" s="49">
        <v>3</v>
      </c>
    </row>
    <row r="231" spans="1:30" ht="15">
      <c r="A231" s="65" t="s">
        <v>413</v>
      </c>
      <c r="B231" s="65" t="s">
        <v>363</v>
      </c>
      <c r="C231" s="66" t="s">
        <v>1297</v>
      </c>
      <c r="D231" s="67">
        <v>3</v>
      </c>
      <c r="E231" s="68"/>
      <c r="F231" s="69">
        <v>70</v>
      </c>
      <c r="G231" s="66"/>
      <c r="H231" s="70"/>
      <c r="I231" s="71"/>
      <c r="J231" s="71"/>
      <c r="K231" s="35" t="s">
        <v>65</v>
      </c>
      <c r="L231" s="79">
        <v>231</v>
      </c>
      <c r="M231" s="79"/>
      <c r="N231" s="73"/>
      <c r="O231" s="81" t="s">
        <v>444</v>
      </c>
      <c r="P231" s="81">
        <v>1</v>
      </c>
      <c r="Q231" s="81" t="s">
        <v>445</v>
      </c>
      <c r="R231" s="81" t="s">
        <v>564</v>
      </c>
      <c r="S231" s="81">
        <v>206782</v>
      </c>
      <c r="T231" s="80" t="str">
        <f>REPLACE(INDEX(GroupVertices[Group],MATCH(Edges[[#This Row],[Vertex 1]],GroupVertices[Vertex],0)),1,1,"")</f>
        <v>7</v>
      </c>
      <c r="U231" s="80" t="str">
        <f>REPLACE(INDEX(GroupVertices[Group],MATCH(Edges[[#This Row],[Vertex 2]],GroupVertices[Vertex],0)),1,1,"")</f>
        <v>5</v>
      </c>
      <c r="V231" s="49">
        <v>0</v>
      </c>
      <c r="W231" s="50">
        <v>0</v>
      </c>
      <c r="X231" s="49">
        <v>0</v>
      </c>
      <c r="Y231" s="50">
        <v>0</v>
      </c>
      <c r="Z231" s="49">
        <v>0</v>
      </c>
      <c r="AA231" s="50">
        <v>0</v>
      </c>
      <c r="AB231" s="49">
        <v>4</v>
      </c>
      <c r="AC231" s="50">
        <v>100</v>
      </c>
      <c r="AD231" s="49">
        <v>4</v>
      </c>
    </row>
    <row r="232" spans="1:30" ht="15">
      <c r="A232" s="65" t="s">
        <v>363</v>
      </c>
      <c r="B232" s="65" t="s">
        <v>398</v>
      </c>
      <c r="C232" s="66" t="s">
        <v>1297</v>
      </c>
      <c r="D232" s="67">
        <v>3</v>
      </c>
      <c r="E232" s="68"/>
      <c r="F232" s="69">
        <v>70</v>
      </c>
      <c r="G232" s="66"/>
      <c r="H232" s="70"/>
      <c r="I232" s="71"/>
      <c r="J232" s="71"/>
      <c r="K232" s="35" t="s">
        <v>65</v>
      </c>
      <c r="L232" s="79">
        <v>232</v>
      </c>
      <c r="M232" s="79"/>
      <c r="N232" s="73"/>
      <c r="O232" s="81" t="s">
        <v>444</v>
      </c>
      <c r="P232" s="81">
        <v>1</v>
      </c>
      <c r="Q232" s="81" t="s">
        <v>445</v>
      </c>
      <c r="R232" s="81" t="s">
        <v>599</v>
      </c>
      <c r="S232" s="81">
        <v>141611</v>
      </c>
      <c r="T232" s="80" t="str">
        <f>REPLACE(INDEX(GroupVertices[Group],MATCH(Edges[[#This Row],[Vertex 1]],GroupVertices[Vertex],0)),1,1,"")</f>
        <v>5</v>
      </c>
      <c r="U232" s="80" t="str">
        <f>REPLACE(INDEX(GroupVertices[Group],MATCH(Edges[[#This Row],[Vertex 2]],GroupVertices[Vertex],0)),1,1,"")</f>
        <v>5</v>
      </c>
      <c r="V232" s="49">
        <v>0</v>
      </c>
      <c r="W232" s="50">
        <v>0</v>
      </c>
      <c r="X232" s="49">
        <v>0</v>
      </c>
      <c r="Y232" s="50">
        <v>0</v>
      </c>
      <c r="Z232" s="49">
        <v>0</v>
      </c>
      <c r="AA232" s="50">
        <v>0</v>
      </c>
      <c r="AB232" s="49">
        <v>11</v>
      </c>
      <c r="AC232" s="50">
        <v>100</v>
      </c>
      <c r="AD232" s="49">
        <v>11</v>
      </c>
    </row>
    <row r="233" spans="1:30" ht="15">
      <c r="A233" s="65" t="s">
        <v>348</v>
      </c>
      <c r="B233" s="65" t="s">
        <v>363</v>
      </c>
      <c r="C233" s="66" t="s">
        <v>1298</v>
      </c>
      <c r="D233" s="67">
        <v>10</v>
      </c>
      <c r="E233" s="68"/>
      <c r="F233" s="69">
        <v>40</v>
      </c>
      <c r="G233" s="66"/>
      <c r="H233" s="70"/>
      <c r="I233" s="71"/>
      <c r="J233" s="71"/>
      <c r="K233" s="35" t="s">
        <v>66</v>
      </c>
      <c r="L233" s="79">
        <v>233</v>
      </c>
      <c r="M233" s="79"/>
      <c r="N233" s="73"/>
      <c r="O233" s="81" t="s">
        <v>444</v>
      </c>
      <c r="P233" s="81">
        <v>3</v>
      </c>
      <c r="Q233" s="81" t="s">
        <v>445</v>
      </c>
      <c r="R233" s="81" t="s">
        <v>539</v>
      </c>
      <c r="S233" s="81">
        <v>141769</v>
      </c>
      <c r="T233" s="80" t="str">
        <f>REPLACE(INDEX(GroupVertices[Group],MATCH(Edges[[#This Row],[Vertex 1]],GroupVertices[Vertex],0)),1,1,"")</f>
        <v>3</v>
      </c>
      <c r="U233" s="80" t="str">
        <f>REPLACE(INDEX(GroupVertices[Group],MATCH(Edges[[#This Row],[Vertex 2]],GroupVertices[Vertex],0)),1,1,"")</f>
        <v>5</v>
      </c>
      <c r="V233" s="49">
        <v>0</v>
      </c>
      <c r="W233" s="50">
        <v>0</v>
      </c>
      <c r="X233" s="49">
        <v>0</v>
      </c>
      <c r="Y233" s="50">
        <v>0</v>
      </c>
      <c r="Z233" s="49">
        <v>0</v>
      </c>
      <c r="AA233" s="50">
        <v>0</v>
      </c>
      <c r="AB233" s="49">
        <v>4</v>
      </c>
      <c r="AC233" s="50">
        <v>100</v>
      </c>
      <c r="AD233" s="49">
        <v>4</v>
      </c>
    </row>
    <row r="234" spans="1:30" ht="15">
      <c r="A234" s="65" t="s">
        <v>363</v>
      </c>
      <c r="B234" s="65" t="s">
        <v>348</v>
      </c>
      <c r="C234" s="66" t="s">
        <v>1298</v>
      </c>
      <c r="D234" s="67">
        <v>10</v>
      </c>
      <c r="E234" s="68"/>
      <c r="F234" s="69">
        <v>40</v>
      </c>
      <c r="G234" s="66"/>
      <c r="H234" s="70"/>
      <c r="I234" s="71"/>
      <c r="J234" s="71"/>
      <c r="K234" s="35" t="s">
        <v>66</v>
      </c>
      <c r="L234" s="79">
        <v>234</v>
      </c>
      <c r="M234" s="79"/>
      <c r="N234" s="73"/>
      <c r="O234" s="81" t="s">
        <v>444</v>
      </c>
      <c r="P234" s="81">
        <v>2</v>
      </c>
      <c r="Q234" s="81" t="s">
        <v>445</v>
      </c>
      <c r="R234" s="81" t="s">
        <v>600</v>
      </c>
      <c r="S234" s="81">
        <v>142197</v>
      </c>
      <c r="T234" s="80" t="str">
        <f>REPLACE(INDEX(GroupVertices[Group],MATCH(Edges[[#This Row],[Vertex 1]],GroupVertices[Vertex],0)),1,1,"")</f>
        <v>5</v>
      </c>
      <c r="U234" s="80"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363</v>
      </c>
      <c r="C235" s="66" t="s">
        <v>1297</v>
      </c>
      <c r="D235" s="67">
        <v>3</v>
      </c>
      <c r="E235" s="68"/>
      <c r="F235" s="69">
        <v>70</v>
      </c>
      <c r="G235" s="66"/>
      <c r="H235" s="70"/>
      <c r="I235" s="71"/>
      <c r="J235" s="71"/>
      <c r="K235" s="35" t="s">
        <v>66</v>
      </c>
      <c r="L235" s="79">
        <v>235</v>
      </c>
      <c r="M235" s="79"/>
      <c r="N235" s="73"/>
      <c r="O235" s="81" t="s">
        <v>444</v>
      </c>
      <c r="P235" s="81">
        <v>1</v>
      </c>
      <c r="Q235" s="81" t="s">
        <v>445</v>
      </c>
      <c r="R235" s="81" t="s">
        <v>481</v>
      </c>
      <c r="S235" s="81">
        <v>120158</v>
      </c>
      <c r="T235" s="80" t="str">
        <f>REPLACE(INDEX(GroupVertices[Group],MATCH(Edges[[#This Row],[Vertex 1]],GroupVertices[Vertex],0)),1,1,"")</f>
        <v>2</v>
      </c>
      <c r="U235" s="80" t="str">
        <f>REPLACE(INDEX(GroupVertices[Group],MATCH(Edges[[#This Row],[Vertex 2]],GroupVertices[Vertex],0)),1,1,"")</f>
        <v>5</v>
      </c>
      <c r="V235" s="49">
        <v>0</v>
      </c>
      <c r="W235" s="50">
        <v>0</v>
      </c>
      <c r="X235" s="49">
        <v>0</v>
      </c>
      <c r="Y235" s="50">
        <v>0</v>
      </c>
      <c r="Z235" s="49">
        <v>0</v>
      </c>
      <c r="AA235" s="50">
        <v>0</v>
      </c>
      <c r="AB235" s="49">
        <v>11</v>
      </c>
      <c r="AC235" s="50">
        <v>100</v>
      </c>
      <c r="AD235" s="49">
        <v>11</v>
      </c>
    </row>
    <row r="236" spans="1:30" ht="15">
      <c r="A236" s="65" t="s">
        <v>363</v>
      </c>
      <c r="B236" s="65" t="s">
        <v>355</v>
      </c>
      <c r="C236" s="66" t="s">
        <v>1297</v>
      </c>
      <c r="D236" s="67">
        <v>3</v>
      </c>
      <c r="E236" s="68"/>
      <c r="F236" s="69">
        <v>70</v>
      </c>
      <c r="G236" s="66"/>
      <c r="H236" s="70"/>
      <c r="I236" s="71"/>
      <c r="J236" s="71"/>
      <c r="K236" s="35" t="s">
        <v>66</v>
      </c>
      <c r="L236" s="79">
        <v>236</v>
      </c>
      <c r="M236" s="79"/>
      <c r="N236" s="73"/>
      <c r="O236" s="81" t="s">
        <v>444</v>
      </c>
      <c r="P236" s="81">
        <v>1</v>
      </c>
      <c r="Q236" s="81" t="s">
        <v>445</v>
      </c>
      <c r="R236" s="81" t="s">
        <v>601</v>
      </c>
      <c r="S236" s="81">
        <v>120819</v>
      </c>
      <c r="T236" s="80" t="str">
        <f>REPLACE(INDEX(GroupVertices[Group],MATCH(Edges[[#This Row],[Vertex 1]],GroupVertices[Vertex],0)),1,1,"")</f>
        <v>5</v>
      </c>
      <c r="U236" s="80" t="str">
        <f>REPLACE(INDEX(GroupVertices[Group],MATCH(Edges[[#This Row],[Vertex 2]],GroupVertices[Vertex],0)),1,1,"")</f>
        <v>2</v>
      </c>
      <c r="V236" s="49">
        <v>0</v>
      </c>
      <c r="W236" s="50">
        <v>0</v>
      </c>
      <c r="X236" s="49">
        <v>0</v>
      </c>
      <c r="Y236" s="50">
        <v>0</v>
      </c>
      <c r="Z236" s="49">
        <v>0</v>
      </c>
      <c r="AA236" s="50">
        <v>0</v>
      </c>
      <c r="AB236" s="49">
        <v>8</v>
      </c>
      <c r="AC236" s="50">
        <v>100</v>
      </c>
      <c r="AD236" s="49">
        <v>8</v>
      </c>
    </row>
    <row r="237" spans="1:30" ht="15">
      <c r="A237" s="65" t="s">
        <v>329</v>
      </c>
      <c r="B237" s="65" t="s">
        <v>363</v>
      </c>
      <c r="C237" s="66" t="s">
        <v>1297</v>
      </c>
      <c r="D237" s="67">
        <v>3</v>
      </c>
      <c r="E237" s="68"/>
      <c r="F237" s="69">
        <v>70</v>
      </c>
      <c r="G237" s="66"/>
      <c r="H237" s="70"/>
      <c r="I237" s="71"/>
      <c r="J237" s="71"/>
      <c r="K237" s="35" t="s">
        <v>66</v>
      </c>
      <c r="L237" s="79">
        <v>237</v>
      </c>
      <c r="M237" s="79"/>
      <c r="N237" s="73"/>
      <c r="O237" s="81" t="s">
        <v>444</v>
      </c>
      <c r="P237" s="81">
        <v>1</v>
      </c>
      <c r="Q237" s="81" t="s">
        <v>445</v>
      </c>
      <c r="R237" s="81" t="s">
        <v>602</v>
      </c>
      <c r="S237" s="81">
        <v>121022</v>
      </c>
      <c r="T237" s="80" t="str">
        <f>REPLACE(INDEX(GroupVertices[Group],MATCH(Edges[[#This Row],[Vertex 1]],GroupVertices[Vertex],0)),1,1,"")</f>
        <v>4</v>
      </c>
      <c r="U237" s="80" t="str">
        <f>REPLACE(INDEX(GroupVertices[Group],MATCH(Edges[[#This Row],[Vertex 2]],GroupVertices[Vertex],0)),1,1,"")</f>
        <v>5</v>
      </c>
      <c r="V237" s="49">
        <v>0</v>
      </c>
      <c r="W237" s="50">
        <v>0</v>
      </c>
      <c r="X237" s="49">
        <v>0</v>
      </c>
      <c r="Y237" s="50">
        <v>0</v>
      </c>
      <c r="Z237" s="49">
        <v>0</v>
      </c>
      <c r="AA237" s="50">
        <v>0</v>
      </c>
      <c r="AB237" s="49">
        <v>17</v>
      </c>
      <c r="AC237" s="50">
        <v>100</v>
      </c>
      <c r="AD237" s="49">
        <v>17</v>
      </c>
    </row>
    <row r="238" spans="1:30" ht="15">
      <c r="A238" s="65" t="s">
        <v>363</v>
      </c>
      <c r="B238" s="65" t="s">
        <v>329</v>
      </c>
      <c r="C238" s="66" t="s">
        <v>1298</v>
      </c>
      <c r="D238" s="67">
        <v>10</v>
      </c>
      <c r="E238" s="68"/>
      <c r="F238" s="69">
        <v>40</v>
      </c>
      <c r="G238" s="66"/>
      <c r="H238" s="70"/>
      <c r="I238" s="71"/>
      <c r="J238" s="71"/>
      <c r="K238" s="35" t="s">
        <v>66</v>
      </c>
      <c r="L238" s="79">
        <v>238</v>
      </c>
      <c r="M238" s="79"/>
      <c r="N238" s="73"/>
      <c r="O238" s="81" t="s">
        <v>444</v>
      </c>
      <c r="P238" s="81">
        <v>2</v>
      </c>
      <c r="Q238" s="81" t="s">
        <v>445</v>
      </c>
      <c r="R238" s="81" t="s">
        <v>603</v>
      </c>
      <c r="S238" s="81">
        <v>77271</v>
      </c>
      <c r="T238" s="80" t="str">
        <f>REPLACE(INDEX(GroupVertices[Group],MATCH(Edges[[#This Row],[Vertex 1]],GroupVertices[Vertex],0)),1,1,"")</f>
        <v>5</v>
      </c>
      <c r="U238" s="80" t="str">
        <f>REPLACE(INDEX(GroupVertices[Group],MATCH(Edges[[#This Row],[Vertex 2]],GroupVertices[Vertex],0)),1,1,"")</f>
        <v>4</v>
      </c>
      <c r="V238" s="49">
        <v>0</v>
      </c>
      <c r="W238" s="50">
        <v>0</v>
      </c>
      <c r="X238" s="49">
        <v>0</v>
      </c>
      <c r="Y238" s="50">
        <v>0</v>
      </c>
      <c r="Z238" s="49">
        <v>0</v>
      </c>
      <c r="AA238" s="50">
        <v>0</v>
      </c>
      <c r="AB238" s="49">
        <v>5</v>
      </c>
      <c r="AC238" s="50">
        <v>100</v>
      </c>
      <c r="AD238" s="49">
        <v>5</v>
      </c>
    </row>
    <row r="239" spans="1:30" ht="15">
      <c r="A239" s="65" t="s">
        <v>363</v>
      </c>
      <c r="B239" s="65" t="s">
        <v>366</v>
      </c>
      <c r="C239" s="66" t="s">
        <v>1297</v>
      </c>
      <c r="D239" s="67">
        <v>3</v>
      </c>
      <c r="E239" s="68"/>
      <c r="F239" s="69">
        <v>70</v>
      </c>
      <c r="G239" s="66"/>
      <c r="H239" s="70"/>
      <c r="I239" s="71"/>
      <c r="J239" s="71"/>
      <c r="K239" s="35" t="s">
        <v>65</v>
      </c>
      <c r="L239" s="79">
        <v>239</v>
      </c>
      <c r="M239" s="79"/>
      <c r="N239" s="73"/>
      <c r="O239" s="81" t="s">
        <v>444</v>
      </c>
      <c r="P239" s="81">
        <v>1</v>
      </c>
      <c r="Q239" s="81" t="s">
        <v>445</v>
      </c>
      <c r="R239" s="81" t="s">
        <v>604</v>
      </c>
      <c r="S239" s="81">
        <v>62449</v>
      </c>
      <c r="T239" s="80" t="str">
        <f>REPLACE(INDEX(GroupVertices[Group],MATCH(Edges[[#This Row],[Vertex 1]],GroupVertices[Vertex],0)),1,1,"")</f>
        <v>5</v>
      </c>
      <c r="U239" s="80" t="str">
        <f>REPLACE(INDEX(GroupVertices[Group],MATCH(Edges[[#This Row],[Vertex 2]],GroupVertices[Vertex],0)),1,1,"")</f>
        <v>1</v>
      </c>
      <c r="V239" s="49">
        <v>0</v>
      </c>
      <c r="W239" s="50">
        <v>0</v>
      </c>
      <c r="X239" s="49">
        <v>2</v>
      </c>
      <c r="Y239" s="50">
        <v>7.142857142857143</v>
      </c>
      <c r="Z239" s="49">
        <v>0</v>
      </c>
      <c r="AA239" s="50">
        <v>0</v>
      </c>
      <c r="AB239" s="49">
        <v>26</v>
      </c>
      <c r="AC239" s="50">
        <v>92.85714285714286</v>
      </c>
      <c r="AD239" s="49">
        <v>28</v>
      </c>
    </row>
    <row r="240" spans="1:30" ht="15">
      <c r="A240" s="65" t="s">
        <v>428</v>
      </c>
      <c r="B240" s="65" t="s">
        <v>363</v>
      </c>
      <c r="C240" s="66" t="s">
        <v>1297</v>
      </c>
      <c r="D240" s="67">
        <v>3</v>
      </c>
      <c r="E240" s="68"/>
      <c r="F240" s="69">
        <v>70</v>
      </c>
      <c r="G240" s="66"/>
      <c r="H240" s="70"/>
      <c r="I240" s="71"/>
      <c r="J240" s="71"/>
      <c r="K240" s="35" t="s">
        <v>65</v>
      </c>
      <c r="L240" s="79">
        <v>240</v>
      </c>
      <c r="M240" s="79"/>
      <c r="N240" s="73"/>
      <c r="O240" s="81" t="s">
        <v>444</v>
      </c>
      <c r="P240" s="81">
        <v>1</v>
      </c>
      <c r="Q240" s="81" t="s">
        <v>445</v>
      </c>
      <c r="R240" s="81" t="s">
        <v>593</v>
      </c>
      <c r="S240" s="81">
        <v>62646</v>
      </c>
      <c r="T240" s="80" t="str">
        <f>REPLACE(INDEX(GroupVertices[Group],MATCH(Edges[[#This Row],[Vertex 1]],GroupVertices[Vertex],0)),1,1,"")</f>
        <v>3</v>
      </c>
      <c r="U240" s="80" t="str">
        <f>REPLACE(INDEX(GroupVertices[Group],MATCH(Edges[[#This Row],[Vertex 2]],GroupVertices[Vertex],0)),1,1,"")</f>
        <v>5</v>
      </c>
      <c r="V240" s="49">
        <v>0</v>
      </c>
      <c r="W240" s="50">
        <v>0</v>
      </c>
      <c r="X240" s="49">
        <v>0</v>
      </c>
      <c r="Y240" s="50">
        <v>0</v>
      </c>
      <c r="Z240" s="49">
        <v>0</v>
      </c>
      <c r="AA240" s="50">
        <v>0</v>
      </c>
      <c r="AB240" s="49">
        <v>2</v>
      </c>
      <c r="AC240" s="50">
        <v>100</v>
      </c>
      <c r="AD240" s="49">
        <v>2</v>
      </c>
    </row>
    <row r="241" spans="1:30" ht="15">
      <c r="A241" s="65" t="s">
        <v>428</v>
      </c>
      <c r="B241" s="65" t="s">
        <v>329</v>
      </c>
      <c r="C241" s="66" t="s">
        <v>1297</v>
      </c>
      <c r="D241" s="67">
        <v>3</v>
      </c>
      <c r="E241" s="68"/>
      <c r="F241" s="69">
        <v>70</v>
      </c>
      <c r="G241" s="66"/>
      <c r="H241" s="70"/>
      <c r="I241" s="71"/>
      <c r="J241" s="71"/>
      <c r="K241" s="35" t="s">
        <v>65</v>
      </c>
      <c r="L241" s="79">
        <v>241</v>
      </c>
      <c r="M241" s="79"/>
      <c r="N241" s="73"/>
      <c r="O241" s="81" t="s">
        <v>444</v>
      </c>
      <c r="P241" s="81">
        <v>1</v>
      </c>
      <c r="Q241" s="81" t="s">
        <v>445</v>
      </c>
      <c r="R241" s="81" t="s">
        <v>479</v>
      </c>
      <c r="S241" s="81">
        <v>200693</v>
      </c>
      <c r="T241" s="80" t="str">
        <f>REPLACE(INDEX(GroupVertices[Group],MATCH(Edges[[#This Row],[Vertex 1]],GroupVertices[Vertex],0)),1,1,"")</f>
        <v>3</v>
      </c>
      <c r="U241" s="80" t="str">
        <f>REPLACE(INDEX(GroupVertices[Group],MATCH(Edges[[#This Row],[Vertex 2]],GroupVertices[Vertex],0)),1,1,"")</f>
        <v>4</v>
      </c>
      <c r="V241" s="49">
        <v>1</v>
      </c>
      <c r="W241" s="50">
        <v>11.11111111111111</v>
      </c>
      <c r="X241" s="49">
        <v>1</v>
      </c>
      <c r="Y241" s="50">
        <v>11.11111111111111</v>
      </c>
      <c r="Z241" s="49">
        <v>0</v>
      </c>
      <c r="AA241" s="50">
        <v>0</v>
      </c>
      <c r="AB241" s="49">
        <v>7</v>
      </c>
      <c r="AC241" s="50">
        <v>77.77777777777777</v>
      </c>
      <c r="AD241" s="49">
        <v>9</v>
      </c>
    </row>
    <row r="242" spans="1:30" ht="15">
      <c r="A242" s="65" t="s">
        <v>428</v>
      </c>
      <c r="B242" s="65" t="s">
        <v>355</v>
      </c>
      <c r="C242" s="66" t="s">
        <v>1297</v>
      </c>
      <c r="D242" s="67">
        <v>3</v>
      </c>
      <c r="E242" s="68"/>
      <c r="F242" s="69">
        <v>70</v>
      </c>
      <c r="G242" s="66"/>
      <c r="H242" s="70"/>
      <c r="I242" s="71"/>
      <c r="J242" s="71"/>
      <c r="K242" s="35" t="s">
        <v>65</v>
      </c>
      <c r="L242" s="79">
        <v>242</v>
      </c>
      <c r="M242" s="79"/>
      <c r="N242" s="73"/>
      <c r="O242" s="81" t="s">
        <v>444</v>
      </c>
      <c r="P242" s="81">
        <v>1</v>
      </c>
      <c r="Q242" s="81" t="s">
        <v>445</v>
      </c>
      <c r="R242" s="81" t="s">
        <v>479</v>
      </c>
      <c r="S242" s="81">
        <v>186527</v>
      </c>
      <c r="T242" s="80" t="str">
        <f>REPLACE(INDEX(GroupVertices[Group],MATCH(Edges[[#This Row],[Vertex 1]],GroupVertices[Vertex],0)),1,1,"")</f>
        <v>3</v>
      </c>
      <c r="U242" s="80" t="str">
        <f>REPLACE(INDEX(GroupVertices[Group],MATCH(Edges[[#This Row],[Vertex 2]],GroupVertices[Vertex],0)),1,1,"")</f>
        <v>2</v>
      </c>
      <c r="V242" s="49">
        <v>1</v>
      </c>
      <c r="W242" s="50">
        <v>11.11111111111111</v>
      </c>
      <c r="X242" s="49">
        <v>1</v>
      </c>
      <c r="Y242" s="50">
        <v>11.11111111111111</v>
      </c>
      <c r="Z242" s="49">
        <v>0</v>
      </c>
      <c r="AA242" s="50">
        <v>0</v>
      </c>
      <c r="AB242" s="49">
        <v>7</v>
      </c>
      <c r="AC242" s="50">
        <v>77.77777777777777</v>
      </c>
      <c r="AD242" s="49">
        <v>9</v>
      </c>
    </row>
    <row r="243" spans="1:30" ht="15">
      <c r="A243" s="65" t="s">
        <v>348</v>
      </c>
      <c r="B243" s="65" t="s">
        <v>428</v>
      </c>
      <c r="C243" s="66" t="s">
        <v>1297</v>
      </c>
      <c r="D243" s="67">
        <v>3</v>
      </c>
      <c r="E243" s="68"/>
      <c r="F243" s="69">
        <v>70</v>
      </c>
      <c r="G243" s="66"/>
      <c r="H243" s="70"/>
      <c r="I243" s="71"/>
      <c r="J243" s="71"/>
      <c r="K243" s="35" t="s">
        <v>65</v>
      </c>
      <c r="L243" s="79">
        <v>243</v>
      </c>
      <c r="M243" s="79"/>
      <c r="N243" s="73"/>
      <c r="O243" s="81" t="s">
        <v>444</v>
      </c>
      <c r="P243" s="81">
        <v>1</v>
      </c>
      <c r="Q243" s="81" t="s">
        <v>445</v>
      </c>
      <c r="R243" s="81" t="s">
        <v>479</v>
      </c>
      <c r="S243" s="81">
        <v>186840</v>
      </c>
      <c r="T243" s="80" t="str">
        <f>REPLACE(INDEX(GroupVertices[Group],MATCH(Edges[[#This Row],[Vertex 1]],GroupVertices[Vertex],0)),1,1,"")</f>
        <v>3</v>
      </c>
      <c r="U243" s="80" t="str">
        <f>REPLACE(INDEX(GroupVertices[Group],MATCH(Edges[[#This Row],[Vertex 2]],GroupVertices[Vertex],0)),1,1,"")</f>
        <v>3</v>
      </c>
      <c r="V243" s="49">
        <v>1</v>
      </c>
      <c r="W243" s="50">
        <v>11.11111111111111</v>
      </c>
      <c r="X243" s="49">
        <v>1</v>
      </c>
      <c r="Y243" s="50">
        <v>11.11111111111111</v>
      </c>
      <c r="Z243" s="49">
        <v>0</v>
      </c>
      <c r="AA243" s="50">
        <v>0</v>
      </c>
      <c r="AB243" s="49">
        <v>7</v>
      </c>
      <c r="AC243" s="50">
        <v>77.77777777777777</v>
      </c>
      <c r="AD243" s="49">
        <v>9</v>
      </c>
    </row>
    <row r="244" spans="1:30" ht="15">
      <c r="A244" s="65" t="s">
        <v>428</v>
      </c>
      <c r="B244" s="65" t="s">
        <v>428</v>
      </c>
      <c r="C244" s="66" t="s">
        <v>1298</v>
      </c>
      <c r="D244" s="67">
        <v>10</v>
      </c>
      <c r="E244" s="68"/>
      <c r="F244" s="69">
        <v>40</v>
      </c>
      <c r="G244" s="66"/>
      <c r="H244" s="70"/>
      <c r="I244" s="71"/>
      <c r="J244" s="71"/>
      <c r="K244" s="35" t="s">
        <v>65</v>
      </c>
      <c r="L244" s="79">
        <v>244</v>
      </c>
      <c r="M244" s="79"/>
      <c r="N244" s="73"/>
      <c r="O244" s="81" t="s">
        <v>444</v>
      </c>
      <c r="P244" s="81">
        <v>2</v>
      </c>
      <c r="Q244" s="81" t="s">
        <v>445</v>
      </c>
      <c r="R244" s="81" t="s">
        <v>593</v>
      </c>
      <c r="S244" s="81">
        <v>62670</v>
      </c>
      <c r="T244" s="80" t="str">
        <f>REPLACE(INDEX(GroupVertices[Group],MATCH(Edges[[#This Row],[Vertex 1]],GroupVertices[Vertex],0)),1,1,"")</f>
        <v>3</v>
      </c>
      <c r="U244" s="80" t="str">
        <f>REPLACE(INDEX(GroupVertices[Group],MATCH(Edges[[#This Row],[Vertex 2]],GroupVertices[Vertex],0)),1,1,"")</f>
        <v>3</v>
      </c>
      <c r="V244" s="49">
        <v>0</v>
      </c>
      <c r="W244" s="50">
        <v>0</v>
      </c>
      <c r="X244" s="49">
        <v>0</v>
      </c>
      <c r="Y244" s="50">
        <v>0</v>
      </c>
      <c r="Z244" s="49">
        <v>0</v>
      </c>
      <c r="AA244" s="50">
        <v>0</v>
      </c>
      <c r="AB244" s="49">
        <v>2</v>
      </c>
      <c r="AC244" s="50">
        <v>100</v>
      </c>
      <c r="AD244" s="49">
        <v>2</v>
      </c>
    </row>
    <row r="245" spans="1:30" ht="15">
      <c r="A245" s="65" t="s">
        <v>429</v>
      </c>
      <c r="B245" s="65" t="s">
        <v>428</v>
      </c>
      <c r="C245" s="66" t="s">
        <v>1297</v>
      </c>
      <c r="D245" s="67">
        <v>3</v>
      </c>
      <c r="E245" s="68"/>
      <c r="F245" s="69">
        <v>70</v>
      </c>
      <c r="G245" s="66"/>
      <c r="H245" s="70"/>
      <c r="I245" s="71"/>
      <c r="J245" s="71"/>
      <c r="K245" s="35" t="s">
        <v>65</v>
      </c>
      <c r="L245" s="79">
        <v>245</v>
      </c>
      <c r="M245" s="79"/>
      <c r="N245" s="73"/>
      <c r="O245" s="81" t="s">
        <v>444</v>
      </c>
      <c r="P245" s="81">
        <v>1</v>
      </c>
      <c r="Q245" s="81" t="s">
        <v>445</v>
      </c>
      <c r="R245" s="81" t="s">
        <v>605</v>
      </c>
      <c r="S245" s="81">
        <v>63350</v>
      </c>
      <c r="T245" s="80" t="str">
        <f>REPLACE(INDEX(GroupVertices[Group],MATCH(Edges[[#This Row],[Vertex 1]],GroupVertices[Vertex],0)),1,1,"")</f>
        <v>3</v>
      </c>
      <c r="U245" s="80" t="str">
        <f>REPLACE(INDEX(GroupVertices[Group],MATCH(Edges[[#This Row],[Vertex 2]],GroupVertices[Vertex],0)),1,1,"")</f>
        <v>3</v>
      </c>
      <c r="V245" s="49">
        <v>0</v>
      </c>
      <c r="W245" s="50">
        <v>0</v>
      </c>
      <c r="X245" s="49">
        <v>0</v>
      </c>
      <c r="Y245" s="50">
        <v>0</v>
      </c>
      <c r="Z245" s="49">
        <v>0</v>
      </c>
      <c r="AA245" s="50">
        <v>0</v>
      </c>
      <c r="AB245" s="49">
        <v>11</v>
      </c>
      <c r="AC245" s="50">
        <v>100</v>
      </c>
      <c r="AD245" s="49">
        <v>11</v>
      </c>
    </row>
    <row r="246" spans="1:30" ht="15">
      <c r="A246" s="65" t="s">
        <v>407</v>
      </c>
      <c r="B246" s="65" t="s">
        <v>429</v>
      </c>
      <c r="C246" s="66" t="s">
        <v>1297</v>
      </c>
      <c r="D246" s="67">
        <v>3</v>
      </c>
      <c r="E246" s="68"/>
      <c r="F246" s="69">
        <v>70</v>
      </c>
      <c r="G246" s="66"/>
      <c r="H246" s="70"/>
      <c r="I246" s="71"/>
      <c r="J246" s="71"/>
      <c r="K246" s="35" t="s">
        <v>65</v>
      </c>
      <c r="L246" s="79">
        <v>246</v>
      </c>
      <c r="M246" s="79"/>
      <c r="N246" s="73"/>
      <c r="O246" s="81" t="s">
        <v>444</v>
      </c>
      <c r="P246" s="81">
        <v>1</v>
      </c>
      <c r="Q246" s="81" t="s">
        <v>445</v>
      </c>
      <c r="R246" s="81" t="s">
        <v>606</v>
      </c>
      <c r="S246" s="81">
        <v>63563</v>
      </c>
      <c r="T246" s="80" t="str">
        <f>REPLACE(INDEX(GroupVertices[Group],MATCH(Edges[[#This Row],[Vertex 1]],GroupVertices[Vertex],0)),1,1,"")</f>
        <v>6</v>
      </c>
      <c r="U246" s="80" t="str">
        <f>REPLACE(INDEX(GroupVertices[Group],MATCH(Edges[[#This Row],[Vertex 2]],GroupVertices[Vertex],0)),1,1,"")</f>
        <v>3</v>
      </c>
      <c r="V246" s="49">
        <v>0</v>
      </c>
      <c r="W246" s="50">
        <v>0</v>
      </c>
      <c r="X246" s="49">
        <v>0</v>
      </c>
      <c r="Y246" s="50">
        <v>0</v>
      </c>
      <c r="Z246" s="49">
        <v>0</v>
      </c>
      <c r="AA246" s="50">
        <v>0</v>
      </c>
      <c r="AB246" s="49">
        <v>9</v>
      </c>
      <c r="AC246" s="50">
        <v>100</v>
      </c>
      <c r="AD246" s="49">
        <v>9</v>
      </c>
    </row>
    <row r="247" spans="1:30" ht="15">
      <c r="A247" s="65" t="s">
        <v>407</v>
      </c>
      <c r="B247" s="65" t="s">
        <v>405</v>
      </c>
      <c r="C247" s="66" t="s">
        <v>1297</v>
      </c>
      <c r="D247" s="67">
        <v>3</v>
      </c>
      <c r="E247" s="68"/>
      <c r="F247" s="69">
        <v>70</v>
      </c>
      <c r="G247" s="66"/>
      <c r="H247" s="70"/>
      <c r="I247" s="71"/>
      <c r="J247" s="71"/>
      <c r="K247" s="35" t="s">
        <v>65</v>
      </c>
      <c r="L247" s="79">
        <v>247</v>
      </c>
      <c r="M247" s="79"/>
      <c r="N247" s="73"/>
      <c r="O247" s="81" t="s">
        <v>444</v>
      </c>
      <c r="P247" s="81">
        <v>1</v>
      </c>
      <c r="Q247" s="81" t="s">
        <v>445</v>
      </c>
      <c r="R247" s="81" t="s">
        <v>547</v>
      </c>
      <c r="S247" s="81">
        <v>128180</v>
      </c>
      <c r="T247" s="80" t="str">
        <f>REPLACE(INDEX(GroupVertices[Group],MATCH(Edges[[#This Row],[Vertex 1]],GroupVertices[Vertex],0)),1,1,"")</f>
        <v>6</v>
      </c>
      <c r="U247" s="80" t="str">
        <f>REPLACE(INDEX(GroupVertices[Group],MATCH(Edges[[#This Row],[Vertex 2]],GroupVertices[Vertex],0)),1,1,"")</f>
        <v>6</v>
      </c>
      <c r="V247" s="49">
        <v>0</v>
      </c>
      <c r="W247" s="50">
        <v>0</v>
      </c>
      <c r="X247" s="49">
        <v>0</v>
      </c>
      <c r="Y247" s="50">
        <v>0</v>
      </c>
      <c r="Z247" s="49">
        <v>0</v>
      </c>
      <c r="AA247" s="50">
        <v>0</v>
      </c>
      <c r="AB247" s="49">
        <v>11</v>
      </c>
      <c r="AC247" s="50">
        <v>100</v>
      </c>
      <c r="AD247" s="49">
        <v>11</v>
      </c>
    </row>
    <row r="248" spans="1:30" ht="15">
      <c r="A248" s="65" t="s">
        <v>407</v>
      </c>
      <c r="B248" s="65" t="s">
        <v>407</v>
      </c>
      <c r="C248" s="66" t="s">
        <v>1298</v>
      </c>
      <c r="D248" s="67">
        <v>10</v>
      </c>
      <c r="E248" s="68"/>
      <c r="F248" s="69">
        <v>40</v>
      </c>
      <c r="G248" s="66"/>
      <c r="H248" s="70"/>
      <c r="I248" s="71"/>
      <c r="J248" s="71"/>
      <c r="K248" s="35" t="s">
        <v>65</v>
      </c>
      <c r="L248" s="79">
        <v>248</v>
      </c>
      <c r="M248" s="79"/>
      <c r="N248" s="73"/>
      <c r="O248" s="81" t="s">
        <v>444</v>
      </c>
      <c r="P248" s="81">
        <v>2</v>
      </c>
      <c r="Q248" s="81" t="s">
        <v>445</v>
      </c>
      <c r="R248" s="81" t="s">
        <v>547</v>
      </c>
      <c r="S248" s="81">
        <v>130344</v>
      </c>
      <c r="T248" s="80" t="str">
        <f>REPLACE(INDEX(GroupVertices[Group],MATCH(Edges[[#This Row],[Vertex 1]],GroupVertices[Vertex],0)),1,1,"")</f>
        <v>6</v>
      </c>
      <c r="U248" s="80" t="str">
        <f>REPLACE(INDEX(GroupVertices[Group],MATCH(Edges[[#This Row],[Vertex 2]],GroupVertices[Vertex],0)),1,1,"")</f>
        <v>6</v>
      </c>
      <c r="V248" s="49">
        <v>0</v>
      </c>
      <c r="W248" s="50">
        <v>0</v>
      </c>
      <c r="X248" s="49">
        <v>0</v>
      </c>
      <c r="Y248" s="50">
        <v>0</v>
      </c>
      <c r="Z248" s="49">
        <v>0</v>
      </c>
      <c r="AA248" s="50">
        <v>0</v>
      </c>
      <c r="AB248" s="49">
        <v>11</v>
      </c>
      <c r="AC248" s="50">
        <v>100</v>
      </c>
      <c r="AD248" s="49">
        <v>11</v>
      </c>
    </row>
    <row r="249" spans="1:30" ht="15">
      <c r="A249" s="65" t="s">
        <v>358</v>
      </c>
      <c r="B249" s="65" t="s">
        <v>407</v>
      </c>
      <c r="C249" s="66" t="s">
        <v>1297</v>
      </c>
      <c r="D249" s="67">
        <v>3</v>
      </c>
      <c r="E249" s="68"/>
      <c r="F249" s="69">
        <v>70</v>
      </c>
      <c r="G249" s="66"/>
      <c r="H249" s="70"/>
      <c r="I249" s="71"/>
      <c r="J249" s="71"/>
      <c r="K249" s="35" t="s">
        <v>65</v>
      </c>
      <c r="L249" s="79">
        <v>249</v>
      </c>
      <c r="M249" s="79"/>
      <c r="N249" s="73"/>
      <c r="O249" s="81" t="s">
        <v>444</v>
      </c>
      <c r="P249" s="81">
        <v>1</v>
      </c>
      <c r="Q249" s="81" t="s">
        <v>445</v>
      </c>
      <c r="R249" s="81" t="s">
        <v>593</v>
      </c>
      <c r="S249" s="81">
        <v>64059</v>
      </c>
      <c r="T249" s="80" t="str">
        <f>REPLACE(INDEX(GroupVertices[Group],MATCH(Edges[[#This Row],[Vertex 1]],GroupVertices[Vertex],0)),1,1,"")</f>
        <v>2</v>
      </c>
      <c r="U249" s="80" t="str">
        <f>REPLACE(INDEX(GroupVertices[Group],MATCH(Edges[[#This Row],[Vertex 2]],GroupVertices[Vertex],0)),1,1,"")</f>
        <v>6</v>
      </c>
      <c r="V249" s="49">
        <v>0</v>
      </c>
      <c r="W249" s="50">
        <v>0</v>
      </c>
      <c r="X249" s="49">
        <v>0</v>
      </c>
      <c r="Y249" s="50">
        <v>0</v>
      </c>
      <c r="Z249" s="49">
        <v>0</v>
      </c>
      <c r="AA249" s="50">
        <v>0</v>
      </c>
      <c r="AB249" s="49">
        <v>2</v>
      </c>
      <c r="AC249" s="50">
        <v>100</v>
      </c>
      <c r="AD249" s="49">
        <v>2</v>
      </c>
    </row>
    <row r="250" spans="1:30" ht="15">
      <c r="A250" s="65" t="s">
        <v>358</v>
      </c>
      <c r="B250" s="65" t="s">
        <v>355</v>
      </c>
      <c r="C250" s="66" t="s">
        <v>1297</v>
      </c>
      <c r="D250" s="67">
        <v>3</v>
      </c>
      <c r="E250" s="68"/>
      <c r="F250" s="69">
        <v>70</v>
      </c>
      <c r="G250" s="66"/>
      <c r="H250" s="70"/>
      <c r="I250" s="71"/>
      <c r="J250" s="71"/>
      <c r="K250" s="35" t="s">
        <v>65</v>
      </c>
      <c r="L250" s="79">
        <v>250</v>
      </c>
      <c r="M250" s="79"/>
      <c r="N250" s="73"/>
      <c r="O250" s="81" t="s">
        <v>444</v>
      </c>
      <c r="P250" s="81">
        <v>1</v>
      </c>
      <c r="Q250" s="81" t="s">
        <v>445</v>
      </c>
      <c r="R250" s="81" t="s">
        <v>607</v>
      </c>
      <c r="S250" s="81">
        <v>173663</v>
      </c>
      <c r="T250" s="80" t="str">
        <f>REPLACE(INDEX(GroupVertices[Group],MATCH(Edges[[#This Row],[Vertex 1]],GroupVertices[Vertex],0)),1,1,"")</f>
        <v>2</v>
      </c>
      <c r="U250" s="80" t="str">
        <f>REPLACE(INDEX(GroupVertices[Group],MATCH(Edges[[#This Row],[Vertex 2]],GroupVertices[Vertex],0)),1,1,"")</f>
        <v>2</v>
      </c>
      <c r="V250" s="49">
        <v>0</v>
      </c>
      <c r="W250" s="50">
        <v>0</v>
      </c>
      <c r="X250" s="49">
        <v>0</v>
      </c>
      <c r="Y250" s="50">
        <v>0</v>
      </c>
      <c r="Z250" s="49">
        <v>0</v>
      </c>
      <c r="AA250" s="50">
        <v>0</v>
      </c>
      <c r="AB250" s="49">
        <v>10</v>
      </c>
      <c r="AC250" s="50">
        <v>100</v>
      </c>
      <c r="AD250" s="49">
        <v>10</v>
      </c>
    </row>
    <row r="251" spans="1:30" ht="15">
      <c r="A251" s="65" t="s">
        <v>358</v>
      </c>
      <c r="B251" s="65" t="s">
        <v>356</v>
      </c>
      <c r="C251" s="66" t="s">
        <v>1297</v>
      </c>
      <c r="D251" s="67">
        <v>3</v>
      </c>
      <c r="E251" s="68"/>
      <c r="F251" s="69">
        <v>70</v>
      </c>
      <c r="G251" s="66"/>
      <c r="H251" s="70"/>
      <c r="I251" s="71"/>
      <c r="J251" s="71"/>
      <c r="K251" s="35" t="s">
        <v>65</v>
      </c>
      <c r="L251" s="79">
        <v>251</v>
      </c>
      <c r="M251" s="79"/>
      <c r="N251" s="73"/>
      <c r="O251" s="81" t="s">
        <v>444</v>
      </c>
      <c r="P251" s="81">
        <v>1</v>
      </c>
      <c r="Q251" s="81" t="s">
        <v>445</v>
      </c>
      <c r="R251" s="81" t="s">
        <v>479</v>
      </c>
      <c r="S251" s="81">
        <v>193090</v>
      </c>
      <c r="T251" s="80" t="str">
        <f>REPLACE(INDEX(GroupVertices[Group],MATCH(Edges[[#This Row],[Vertex 1]],GroupVertices[Vertex],0)),1,1,"")</f>
        <v>2</v>
      </c>
      <c r="U251" s="80" t="str">
        <f>REPLACE(INDEX(GroupVertices[Group],MATCH(Edges[[#This Row],[Vertex 2]],GroupVertices[Vertex],0)),1,1,"")</f>
        <v>2</v>
      </c>
      <c r="V251" s="49">
        <v>1</v>
      </c>
      <c r="W251" s="50">
        <v>11.11111111111111</v>
      </c>
      <c r="X251" s="49">
        <v>1</v>
      </c>
      <c r="Y251" s="50">
        <v>11.11111111111111</v>
      </c>
      <c r="Z251" s="49">
        <v>0</v>
      </c>
      <c r="AA251" s="50">
        <v>0</v>
      </c>
      <c r="AB251" s="49">
        <v>7</v>
      </c>
      <c r="AC251" s="50">
        <v>77.77777777777777</v>
      </c>
      <c r="AD251" s="49">
        <v>9</v>
      </c>
    </row>
    <row r="252" spans="1:30" ht="15">
      <c r="A252" s="65" t="s">
        <v>358</v>
      </c>
      <c r="B252" s="65" t="s">
        <v>341</v>
      </c>
      <c r="C252" s="66" t="s">
        <v>1297</v>
      </c>
      <c r="D252" s="67">
        <v>3</v>
      </c>
      <c r="E252" s="68"/>
      <c r="F252" s="69">
        <v>70</v>
      </c>
      <c r="G252" s="66"/>
      <c r="H252" s="70"/>
      <c r="I252" s="71"/>
      <c r="J252" s="71"/>
      <c r="K252" s="35" t="s">
        <v>66</v>
      </c>
      <c r="L252" s="79">
        <v>252</v>
      </c>
      <c r="M252" s="79"/>
      <c r="N252" s="73"/>
      <c r="O252" s="81" t="s">
        <v>444</v>
      </c>
      <c r="P252" s="81">
        <v>1</v>
      </c>
      <c r="Q252" s="81" t="s">
        <v>445</v>
      </c>
      <c r="R252" s="81" t="s">
        <v>479</v>
      </c>
      <c r="S252" s="81">
        <v>195928</v>
      </c>
      <c r="T252" s="80" t="str">
        <f>REPLACE(INDEX(GroupVertices[Group],MATCH(Edges[[#This Row],[Vertex 1]],GroupVertices[Vertex],0)),1,1,"")</f>
        <v>2</v>
      </c>
      <c r="U252" s="80" t="str">
        <f>REPLACE(INDEX(GroupVertices[Group],MATCH(Edges[[#This Row],[Vertex 2]],GroupVertices[Vertex],0)),1,1,"")</f>
        <v>2</v>
      </c>
      <c r="V252" s="49">
        <v>1</v>
      </c>
      <c r="W252" s="50">
        <v>11.11111111111111</v>
      </c>
      <c r="X252" s="49">
        <v>1</v>
      </c>
      <c r="Y252" s="50">
        <v>11.11111111111111</v>
      </c>
      <c r="Z252" s="49">
        <v>0</v>
      </c>
      <c r="AA252" s="50">
        <v>0</v>
      </c>
      <c r="AB252" s="49">
        <v>7</v>
      </c>
      <c r="AC252" s="50">
        <v>77.77777777777777</v>
      </c>
      <c r="AD252" s="49">
        <v>9</v>
      </c>
    </row>
    <row r="253" spans="1:30" ht="15">
      <c r="A253" s="65" t="s">
        <v>352</v>
      </c>
      <c r="B253" s="65" t="s">
        <v>358</v>
      </c>
      <c r="C253" s="66" t="s">
        <v>1297</v>
      </c>
      <c r="D253" s="67">
        <v>3</v>
      </c>
      <c r="E253" s="68"/>
      <c r="F253" s="69">
        <v>70</v>
      </c>
      <c r="G253" s="66"/>
      <c r="H253" s="70"/>
      <c r="I253" s="71"/>
      <c r="J253" s="71"/>
      <c r="K253" s="35" t="s">
        <v>65</v>
      </c>
      <c r="L253" s="79">
        <v>253</v>
      </c>
      <c r="M253" s="79"/>
      <c r="N253" s="73"/>
      <c r="O253" s="81" t="s">
        <v>444</v>
      </c>
      <c r="P253" s="81">
        <v>1</v>
      </c>
      <c r="Q253" s="81" t="s">
        <v>445</v>
      </c>
      <c r="R253" s="81" t="s">
        <v>479</v>
      </c>
      <c r="S253" s="81">
        <v>197568</v>
      </c>
      <c r="T253" s="80" t="str">
        <f>REPLACE(INDEX(GroupVertices[Group],MATCH(Edges[[#This Row],[Vertex 1]],GroupVertices[Vertex],0)),1,1,"")</f>
        <v>7</v>
      </c>
      <c r="U253" s="80" t="str">
        <f>REPLACE(INDEX(GroupVertices[Group],MATCH(Edges[[#This Row],[Vertex 2]],GroupVertices[Vertex],0)),1,1,"")</f>
        <v>2</v>
      </c>
      <c r="V253" s="49">
        <v>1</v>
      </c>
      <c r="W253" s="50">
        <v>11.11111111111111</v>
      </c>
      <c r="X253" s="49">
        <v>1</v>
      </c>
      <c r="Y253" s="50">
        <v>11.11111111111111</v>
      </c>
      <c r="Z253" s="49">
        <v>0</v>
      </c>
      <c r="AA253" s="50">
        <v>0</v>
      </c>
      <c r="AB253" s="49">
        <v>7</v>
      </c>
      <c r="AC253" s="50">
        <v>77.77777777777777</v>
      </c>
      <c r="AD253" s="49">
        <v>9</v>
      </c>
    </row>
    <row r="254" spans="1:30" ht="15">
      <c r="A254" s="65" t="s">
        <v>358</v>
      </c>
      <c r="B254" s="65" t="s">
        <v>433</v>
      </c>
      <c r="C254" s="66" t="s">
        <v>1297</v>
      </c>
      <c r="D254" s="67">
        <v>3</v>
      </c>
      <c r="E254" s="68"/>
      <c r="F254" s="69">
        <v>70</v>
      </c>
      <c r="G254" s="66"/>
      <c r="H254" s="70"/>
      <c r="I254" s="71"/>
      <c r="J254" s="71"/>
      <c r="K254" s="35" t="s">
        <v>65</v>
      </c>
      <c r="L254" s="79">
        <v>254</v>
      </c>
      <c r="M254" s="79"/>
      <c r="N254" s="73"/>
      <c r="O254" s="81" t="s">
        <v>444</v>
      </c>
      <c r="P254" s="81">
        <v>1</v>
      </c>
      <c r="Q254" s="81" t="s">
        <v>445</v>
      </c>
      <c r="R254" s="81" t="s">
        <v>479</v>
      </c>
      <c r="S254" s="81">
        <v>202564</v>
      </c>
      <c r="T254" s="80" t="str">
        <f>REPLACE(INDEX(GroupVertices[Group],MATCH(Edges[[#This Row],[Vertex 1]],GroupVertices[Vertex],0)),1,1,"")</f>
        <v>2</v>
      </c>
      <c r="U254" s="80" t="str">
        <f>REPLACE(INDEX(GroupVertices[Group],MATCH(Edges[[#This Row],[Vertex 2]],GroupVertices[Vertex],0)),1,1,"")</f>
        <v>2</v>
      </c>
      <c r="V254" s="49">
        <v>1</v>
      </c>
      <c r="W254" s="50">
        <v>11.11111111111111</v>
      </c>
      <c r="X254" s="49">
        <v>1</v>
      </c>
      <c r="Y254" s="50">
        <v>11.11111111111111</v>
      </c>
      <c r="Z254" s="49">
        <v>0</v>
      </c>
      <c r="AA254" s="50">
        <v>0</v>
      </c>
      <c r="AB254" s="49">
        <v>7</v>
      </c>
      <c r="AC254" s="50">
        <v>77.77777777777777</v>
      </c>
      <c r="AD254" s="49">
        <v>9</v>
      </c>
    </row>
    <row r="255" spans="1:30" ht="15">
      <c r="A255" s="65" t="s">
        <v>348</v>
      </c>
      <c r="B255" s="65" t="s">
        <v>358</v>
      </c>
      <c r="C255" s="66" t="s">
        <v>1297</v>
      </c>
      <c r="D255" s="67">
        <v>3</v>
      </c>
      <c r="E255" s="68"/>
      <c r="F255" s="69">
        <v>70</v>
      </c>
      <c r="G255" s="66"/>
      <c r="H255" s="70"/>
      <c r="I255" s="71"/>
      <c r="J255" s="71"/>
      <c r="K255" s="35" t="s">
        <v>66</v>
      </c>
      <c r="L255" s="79">
        <v>255</v>
      </c>
      <c r="M255" s="79"/>
      <c r="N255" s="73"/>
      <c r="O255" s="81" t="s">
        <v>444</v>
      </c>
      <c r="P255" s="81">
        <v>1</v>
      </c>
      <c r="Q255" s="81" t="s">
        <v>445</v>
      </c>
      <c r="R255" s="81" t="s">
        <v>479</v>
      </c>
      <c r="S255" s="81">
        <v>202834</v>
      </c>
      <c r="T255" s="80" t="str">
        <f>REPLACE(INDEX(GroupVertices[Group],MATCH(Edges[[#This Row],[Vertex 1]],GroupVertices[Vertex],0)),1,1,"")</f>
        <v>3</v>
      </c>
      <c r="U255" s="80" t="str">
        <f>REPLACE(INDEX(GroupVertices[Group],MATCH(Edges[[#This Row],[Vertex 2]],GroupVertices[Vertex],0)),1,1,"")</f>
        <v>2</v>
      </c>
      <c r="V255" s="49">
        <v>1</v>
      </c>
      <c r="W255" s="50">
        <v>11.11111111111111</v>
      </c>
      <c r="X255" s="49">
        <v>1</v>
      </c>
      <c r="Y255" s="50">
        <v>11.11111111111111</v>
      </c>
      <c r="Z255" s="49">
        <v>0</v>
      </c>
      <c r="AA255" s="50">
        <v>0</v>
      </c>
      <c r="AB255" s="49">
        <v>7</v>
      </c>
      <c r="AC255" s="50">
        <v>77.77777777777777</v>
      </c>
      <c r="AD255" s="49">
        <v>9</v>
      </c>
    </row>
    <row r="256" spans="1:30" ht="15">
      <c r="A256" s="65" t="s">
        <v>358</v>
      </c>
      <c r="B256" s="65" t="s">
        <v>348</v>
      </c>
      <c r="C256" s="66" t="s">
        <v>1297</v>
      </c>
      <c r="D256" s="67">
        <v>3</v>
      </c>
      <c r="E256" s="68"/>
      <c r="F256" s="69">
        <v>70</v>
      </c>
      <c r="G256" s="66"/>
      <c r="H256" s="70"/>
      <c r="I256" s="71"/>
      <c r="J256" s="71"/>
      <c r="K256" s="35" t="s">
        <v>66</v>
      </c>
      <c r="L256" s="79">
        <v>256</v>
      </c>
      <c r="M256" s="79"/>
      <c r="N256" s="73"/>
      <c r="O256" s="81" t="s">
        <v>444</v>
      </c>
      <c r="P256" s="81">
        <v>1</v>
      </c>
      <c r="Q256" s="81" t="s">
        <v>445</v>
      </c>
      <c r="R256" s="81" t="s">
        <v>564</v>
      </c>
      <c r="S256" s="81">
        <v>205405</v>
      </c>
      <c r="T256" s="80" t="str">
        <f>REPLACE(INDEX(GroupVertices[Group],MATCH(Edges[[#This Row],[Vertex 1]],GroupVertices[Vertex],0)),1,1,"")</f>
        <v>2</v>
      </c>
      <c r="U256" s="80" t="str">
        <f>REPLACE(INDEX(GroupVertices[Group],MATCH(Edges[[#This Row],[Vertex 2]],GroupVertices[Vertex],0)),1,1,"")</f>
        <v>3</v>
      </c>
      <c r="V256" s="49">
        <v>0</v>
      </c>
      <c r="W256" s="50">
        <v>0</v>
      </c>
      <c r="X256" s="49">
        <v>0</v>
      </c>
      <c r="Y256" s="50">
        <v>0</v>
      </c>
      <c r="Z256" s="49">
        <v>0</v>
      </c>
      <c r="AA256" s="50">
        <v>0</v>
      </c>
      <c r="AB256" s="49">
        <v>4</v>
      </c>
      <c r="AC256" s="50">
        <v>100</v>
      </c>
      <c r="AD256" s="49">
        <v>4</v>
      </c>
    </row>
    <row r="257" spans="1:30" ht="15">
      <c r="A257" s="65" t="s">
        <v>341</v>
      </c>
      <c r="B257" s="65" t="s">
        <v>358</v>
      </c>
      <c r="C257" s="66" t="s">
        <v>1298</v>
      </c>
      <c r="D257" s="67">
        <v>10</v>
      </c>
      <c r="E257" s="68"/>
      <c r="F257" s="69">
        <v>40</v>
      </c>
      <c r="G257" s="66"/>
      <c r="H257" s="70"/>
      <c r="I257" s="71"/>
      <c r="J257" s="71"/>
      <c r="K257" s="35" t="s">
        <v>66</v>
      </c>
      <c r="L257" s="79">
        <v>257</v>
      </c>
      <c r="M257" s="79"/>
      <c r="N257" s="73"/>
      <c r="O257" s="81" t="s">
        <v>444</v>
      </c>
      <c r="P257" s="81">
        <v>2</v>
      </c>
      <c r="Q257" s="81" t="s">
        <v>445</v>
      </c>
      <c r="R257" s="81" t="s">
        <v>480</v>
      </c>
      <c r="S257" s="81">
        <v>205600</v>
      </c>
      <c r="T257" s="80" t="str">
        <f>REPLACE(INDEX(GroupVertices[Group],MATCH(Edges[[#This Row],[Vertex 1]],GroupVertices[Vertex],0)),1,1,"")</f>
        <v>2</v>
      </c>
      <c r="U257" s="80" t="str">
        <f>REPLACE(INDEX(GroupVertices[Group],MATCH(Edges[[#This Row],[Vertex 2]],GroupVertices[Vertex],0)),1,1,"")</f>
        <v>2</v>
      </c>
      <c r="V257" s="49">
        <v>0</v>
      </c>
      <c r="W257" s="50">
        <v>0</v>
      </c>
      <c r="X257" s="49">
        <v>1</v>
      </c>
      <c r="Y257" s="50">
        <v>33.333333333333336</v>
      </c>
      <c r="Z257" s="49">
        <v>0</v>
      </c>
      <c r="AA257" s="50">
        <v>0</v>
      </c>
      <c r="AB257" s="49">
        <v>2</v>
      </c>
      <c r="AC257" s="50">
        <v>66.66666666666667</v>
      </c>
      <c r="AD257" s="49">
        <v>3</v>
      </c>
    </row>
    <row r="258" spans="1:30" ht="15">
      <c r="A258" s="65" t="s">
        <v>379</v>
      </c>
      <c r="B258" s="65" t="s">
        <v>358</v>
      </c>
      <c r="C258" s="66" t="s">
        <v>1297</v>
      </c>
      <c r="D258" s="67">
        <v>3</v>
      </c>
      <c r="E258" s="68"/>
      <c r="F258" s="69">
        <v>70</v>
      </c>
      <c r="G258" s="66"/>
      <c r="H258" s="70"/>
      <c r="I258" s="71"/>
      <c r="J258" s="71"/>
      <c r="K258" s="35" t="s">
        <v>65</v>
      </c>
      <c r="L258" s="79">
        <v>258</v>
      </c>
      <c r="M258" s="79"/>
      <c r="N258" s="73"/>
      <c r="O258" s="81" t="s">
        <v>444</v>
      </c>
      <c r="P258" s="81">
        <v>1</v>
      </c>
      <c r="Q258" s="81" t="s">
        <v>445</v>
      </c>
      <c r="R258" s="81" t="s">
        <v>608</v>
      </c>
      <c r="S258" s="81">
        <v>70292</v>
      </c>
      <c r="T258" s="80" t="str">
        <f>REPLACE(INDEX(GroupVertices[Group],MATCH(Edges[[#This Row],[Vertex 1]],GroupVertices[Vertex],0)),1,1,"")</f>
        <v>1</v>
      </c>
      <c r="U258" s="80" t="str">
        <f>REPLACE(INDEX(GroupVertices[Group],MATCH(Edges[[#This Row],[Vertex 2]],GroupVertices[Vertex],0)),1,1,"")</f>
        <v>2</v>
      </c>
      <c r="V258" s="49">
        <v>2</v>
      </c>
      <c r="W258" s="50">
        <v>7.6923076923076925</v>
      </c>
      <c r="X258" s="49">
        <v>0</v>
      </c>
      <c r="Y258" s="50">
        <v>0</v>
      </c>
      <c r="Z258" s="49">
        <v>0</v>
      </c>
      <c r="AA258" s="50">
        <v>0</v>
      </c>
      <c r="AB258" s="49">
        <v>24</v>
      </c>
      <c r="AC258" s="50">
        <v>92.3076923076923</v>
      </c>
      <c r="AD258" s="49">
        <v>26</v>
      </c>
    </row>
    <row r="259" spans="1:30" ht="15">
      <c r="A259" s="65" t="s">
        <v>358</v>
      </c>
      <c r="B259" s="65" t="s">
        <v>358</v>
      </c>
      <c r="C259" s="66" t="s">
        <v>1298</v>
      </c>
      <c r="D259" s="67">
        <v>10</v>
      </c>
      <c r="E259" s="68"/>
      <c r="F259" s="69">
        <v>40</v>
      </c>
      <c r="G259" s="66"/>
      <c r="H259" s="70"/>
      <c r="I259" s="71"/>
      <c r="J259" s="71"/>
      <c r="K259" s="35" t="s">
        <v>65</v>
      </c>
      <c r="L259" s="79">
        <v>259</v>
      </c>
      <c r="M259" s="79"/>
      <c r="N259" s="73"/>
      <c r="O259" s="81" t="s">
        <v>444</v>
      </c>
      <c r="P259" s="81">
        <v>2</v>
      </c>
      <c r="Q259" s="81" t="s">
        <v>445</v>
      </c>
      <c r="R259" s="81" t="s">
        <v>593</v>
      </c>
      <c r="S259" s="81">
        <v>64056</v>
      </c>
      <c r="T259" s="80" t="str">
        <f>REPLACE(INDEX(GroupVertices[Group],MATCH(Edges[[#This Row],[Vertex 1]],GroupVertices[Vertex],0)),1,1,"")</f>
        <v>2</v>
      </c>
      <c r="U259" s="80" t="str">
        <f>REPLACE(INDEX(GroupVertices[Group],MATCH(Edges[[#This Row],[Vertex 2]],GroupVertices[Vertex],0)),1,1,"")</f>
        <v>2</v>
      </c>
      <c r="V259" s="49">
        <v>0</v>
      </c>
      <c r="W259" s="50">
        <v>0</v>
      </c>
      <c r="X259" s="49">
        <v>0</v>
      </c>
      <c r="Y259" s="50">
        <v>0</v>
      </c>
      <c r="Z259" s="49">
        <v>0</v>
      </c>
      <c r="AA259" s="50">
        <v>0</v>
      </c>
      <c r="AB259" s="49">
        <v>2</v>
      </c>
      <c r="AC259" s="50">
        <v>100</v>
      </c>
      <c r="AD259" s="49">
        <v>2</v>
      </c>
    </row>
    <row r="260" spans="1:30" ht="15">
      <c r="A260" s="65" t="s">
        <v>430</v>
      </c>
      <c r="B260" s="65" t="s">
        <v>358</v>
      </c>
      <c r="C260" s="66" t="s">
        <v>1297</v>
      </c>
      <c r="D260" s="67">
        <v>3</v>
      </c>
      <c r="E260" s="68"/>
      <c r="F260" s="69">
        <v>70</v>
      </c>
      <c r="G260" s="66"/>
      <c r="H260" s="70"/>
      <c r="I260" s="71"/>
      <c r="J260" s="71"/>
      <c r="K260" s="35" t="s">
        <v>65</v>
      </c>
      <c r="L260" s="79">
        <v>260</v>
      </c>
      <c r="M260" s="79"/>
      <c r="N260" s="73"/>
      <c r="O260" s="81" t="s">
        <v>444</v>
      </c>
      <c r="P260" s="81">
        <v>1</v>
      </c>
      <c r="Q260" s="81" t="s">
        <v>445</v>
      </c>
      <c r="R260" s="81" t="s">
        <v>609</v>
      </c>
      <c r="S260" s="81">
        <v>64825</v>
      </c>
      <c r="T260" s="80" t="str">
        <f>REPLACE(INDEX(GroupVertices[Group],MATCH(Edges[[#This Row],[Vertex 1]],GroupVertices[Vertex],0)),1,1,"")</f>
        <v>1</v>
      </c>
      <c r="U260" s="80" t="str">
        <f>REPLACE(INDEX(GroupVertices[Group],MATCH(Edges[[#This Row],[Vertex 2]],GroupVertices[Vertex],0)),1,1,"")</f>
        <v>2</v>
      </c>
      <c r="V260" s="49">
        <v>0</v>
      </c>
      <c r="W260" s="50">
        <v>0</v>
      </c>
      <c r="X260" s="49">
        <v>0</v>
      </c>
      <c r="Y260" s="50">
        <v>0</v>
      </c>
      <c r="Z260" s="49">
        <v>0</v>
      </c>
      <c r="AA260" s="50">
        <v>0</v>
      </c>
      <c r="AB260" s="49">
        <v>11</v>
      </c>
      <c r="AC260" s="50">
        <v>100</v>
      </c>
      <c r="AD260" s="49">
        <v>11</v>
      </c>
    </row>
    <row r="261" spans="1:30" ht="15">
      <c r="A261" s="65" t="s">
        <v>335</v>
      </c>
      <c r="B261" s="65" t="s">
        <v>430</v>
      </c>
      <c r="C261" s="66" t="s">
        <v>1297</v>
      </c>
      <c r="D261" s="67">
        <v>3</v>
      </c>
      <c r="E261" s="68"/>
      <c r="F261" s="69">
        <v>70</v>
      </c>
      <c r="G261" s="66"/>
      <c r="H261" s="70"/>
      <c r="I261" s="71"/>
      <c r="J261" s="71"/>
      <c r="K261" s="35" t="s">
        <v>65</v>
      </c>
      <c r="L261" s="79">
        <v>261</v>
      </c>
      <c r="M261" s="79"/>
      <c r="N261" s="73"/>
      <c r="O261" s="81" t="s">
        <v>444</v>
      </c>
      <c r="P261" s="81">
        <v>1</v>
      </c>
      <c r="Q261" s="81" t="s">
        <v>445</v>
      </c>
      <c r="R261" s="81" t="s">
        <v>610</v>
      </c>
      <c r="S261" s="81">
        <v>65033</v>
      </c>
      <c r="T261" s="80" t="str">
        <f>REPLACE(INDEX(GroupVertices[Group],MATCH(Edges[[#This Row],[Vertex 1]],GroupVertices[Vertex],0)),1,1,"")</f>
        <v>1</v>
      </c>
      <c r="U261" s="80" t="str">
        <f>REPLACE(INDEX(GroupVertices[Group],MATCH(Edges[[#This Row],[Vertex 2]],GroupVertices[Vertex],0)),1,1,"")</f>
        <v>1</v>
      </c>
      <c r="V261" s="49">
        <v>0</v>
      </c>
      <c r="W261" s="50">
        <v>0</v>
      </c>
      <c r="X261" s="49">
        <v>0</v>
      </c>
      <c r="Y261" s="50">
        <v>0</v>
      </c>
      <c r="Z261" s="49">
        <v>0</v>
      </c>
      <c r="AA261" s="50">
        <v>0</v>
      </c>
      <c r="AB261" s="49">
        <v>9</v>
      </c>
      <c r="AC261" s="50">
        <v>100</v>
      </c>
      <c r="AD261" s="49">
        <v>9</v>
      </c>
    </row>
    <row r="262" spans="1:30" ht="15">
      <c r="A262" s="65" t="s">
        <v>431</v>
      </c>
      <c r="B262" s="65" t="s">
        <v>335</v>
      </c>
      <c r="C262" s="66" t="s">
        <v>1297</v>
      </c>
      <c r="D262" s="67">
        <v>3</v>
      </c>
      <c r="E262" s="68"/>
      <c r="F262" s="69">
        <v>70</v>
      </c>
      <c r="G262" s="66"/>
      <c r="H262" s="70"/>
      <c r="I262" s="71"/>
      <c r="J262" s="71"/>
      <c r="K262" s="35" t="s">
        <v>65</v>
      </c>
      <c r="L262" s="79">
        <v>262</v>
      </c>
      <c r="M262" s="79"/>
      <c r="N262" s="73"/>
      <c r="O262" s="81" t="s">
        <v>444</v>
      </c>
      <c r="P262" s="81">
        <v>1</v>
      </c>
      <c r="Q262" s="81" t="s">
        <v>445</v>
      </c>
      <c r="R262" s="81" t="s">
        <v>610</v>
      </c>
      <c r="S262" s="81">
        <v>65148</v>
      </c>
      <c r="T262" s="80" t="str">
        <f>REPLACE(INDEX(GroupVertices[Group],MATCH(Edges[[#This Row],[Vertex 1]],GroupVertices[Vertex],0)),1,1,"")</f>
        <v>3</v>
      </c>
      <c r="U262" s="80" t="str">
        <f>REPLACE(INDEX(GroupVertices[Group],MATCH(Edges[[#This Row],[Vertex 2]],GroupVertices[Vertex],0)),1,1,"")</f>
        <v>1</v>
      </c>
      <c r="V262" s="49">
        <v>0</v>
      </c>
      <c r="W262" s="50">
        <v>0</v>
      </c>
      <c r="X262" s="49">
        <v>0</v>
      </c>
      <c r="Y262" s="50">
        <v>0</v>
      </c>
      <c r="Z262" s="49">
        <v>0</v>
      </c>
      <c r="AA262" s="50">
        <v>0</v>
      </c>
      <c r="AB262" s="49">
        <v>9</v>
      </c>
      <c r="AC262" s="50">
        <v>100</v>
      </c>
      <c r="AD262" s="49">
        <v>9</v>
      </c>
    </row>
    <row r="263" spans="1:30" ht="15">
      <c r="A263" s="65" t="s">
        <v>431</v>
      </c>
      <c r="B263" s="65" t="s">
        <v>431</v>
      </c>
      <c r="C263" s="66" t="s">
        <v>1297</v>
      </c>
      <c r="D263" s="67">
        <v>3</v>
      </c>
      <c r="E263" s="68"/>
      <c r="F263" s="69">
        <v>70</v>
      </c>
      <c r="G263" s="66"/>
      <c r="H263" s="70"/>
      <c r="I263" s="71"/>
      <c r="J263" s="71"/>
      <c r="K263" s="35" t="s">
        <v>65</v>
      </c>
      <c r="L263" s="79">
        <v>263</v>
      </c>
      <c r="M263" s="79"/>
      <c r="N263" s="73"/>
      <c r="O263" s="81" t="s">
        <v>444</v>
      </c>
      <c r="P263" s="81">
        <v>1</v>
      </c>
      <c r="Q263" s="81" t="s">
        <v>445</v>
      </c>
      <c r="R263" s="81" t="s">
        <v>610</v>
      </c>
      <c r="S263" s="81">
        <v>65151</v>
      </c>
      <c r="T263" s="80" t="str">
        <f>REPLACE(INDEX(GroupVertices[Group],MATCH(Edges[[#This Row],[Vertex 1]],GroupVertices[Vertex],0)),1,1,"")</f>
        <v>3</v>
      </c>
      <c r="U263" s="80" t="str">
        <f>REPLACE(INDEX(GroupVertices[Group],MATCH(Edges[[#This Row],[Vertex 2]],GroupVertices[Vertex],0)),1,1,"")</f>
        <v>3</v>
      </c>
      <c r="V263" s="49">
        <v>0</v>
      </c>
      <c r="W263" s="50">
        <v>0</v>
      </c>
      <c r="X263" s="49">
        <v>0</v>
      </c>
      <c r="Y263" s="50">
        <v>0</v>
      </c>
      <c r="Z263" s="49">
        <v>0</v>
      </c>
      <c r="AA263" s="50">
        <v>0</v>
      </c>
      <c r="AB263" s="49">
        <v>9</v>
      </c>
      <c r="AC263" s="50">
        <v>100</v>
      </c>
      <c r="AD263" s="49">
        <v>9</v>
      </c>
    </row>
    <row r="264" spans="1:30" ht="15">
      <c r="A264" s="65" t="s">
        <v>348</v>
      </c>
      <c r="B264" s="65" t="s">
        <v>431</v>
      </c>
      <c r="C264" s="66" t="s">
        <v>1297</v>
      </c>
      <c r="D264" s="67">
        <v>3</v>
      </c>
      <c r="E264" s="68"/>
      <c r="F264" s="69">
        <v>70</v>
      </c>
      <c r="G264" s="66"/>
      <c r="H264" s="70"/>
      <c r="I264" s="71"/>
      <c r="J264" s="71"/>
      <c r="K264" s="35" t="s">
        <v>65</v>
      </c>
      <c r="L264" s="79">
        <v>264</v>
      </c>
      <c r="M264" s="79"/>
      <c r="N264" s="73"/>
      <c r="O264" s="81" t="s">
        <v>444</v>
      </c>
      <c r="P264" s="81">
        <v>1</v>
      </c>
      <c r="Q264" s="81" t="s">
        <v>445</v>
      </c>
      <c r="R264" s="81" t="s">
        <v>611</v>
      </c>
      <c r="S264" s="81">
        <v>64056</v>
      </c>
      <c r="T264" s="80" t="str">
        <f>REPLACE(INDEX(GroupVertices[Group],MATCH(Edges[[#This Row],[Vertex 1]],GroupVertices[Vertex],0)),1,1,"")</f>
        <v>3</v>
      </c>
      <c r="U264" s="80" t="str">
        <f>REPLACE(INDEX(GroupVertices[Group],MATCH(Edges[[#This Row],[Vertex 2]],GroupVertices[Vertex],0)),1,1,"")</f>
        <v>3</v>
      </c>
      <c r="V264" s="49">
        <v>0</v>
      </c>
      <c r="W264" s="50">
        <v>0</v>
      </c>
      <c r="X264" s="49">
        <v>0</v>
      </c>
      <c r="Y264" s="50">
        <v>0</v>
      </c>
      <c r="Z264" s="49">
        <v>0</v>
      </c>
      <c r="AA264" s="50">
        <v>0</v>
      </c>
      <c r="AB264" s="49">
        <v>13</v>
      </c>
      <c r="AC264" s="50">
        <v>100</v>
      </c>
      <c r="AD264" s="49">
        <v>13</v>
      </c>
    </row>
    <row r="265" spans="1:30" ht="15">
      <c r="A265" s="65" t="s">
        <v>348</v>
      </c>
      <c r="B265" s="65" t="s">
        <v>355</v>
      </c>
      <c r="C265" s="66" t="s">
        <v>1297</v>
      </c>
      <c r="D265" s="67">
        <v>3</v>
      </c>
      <c r="E265" s="68"/>
      <c r="F265" s="69">
        <v>70</v>
      </c>
      <c r="G265" s="66"/>
      <c r="H265" s="70"/>
      <c r="I265" s="71"/>
      <c r="J265" s="71"/>
      <c r="K265" s="35" t="s">
        <v>66</v>
      </c>
      <c r="L265" s="79">
        <v>265</v>
      </c>
      <c r="M265" s="79"/>
      <c r="N265" s="73"/>
      <c r="O265" s="81" t="s">
        <v>444</v>
      </c>
      <c r="P265" s="81">
        <v>1</v>
      </c>
      <c r="Q265" s="81" t="s">
        <v>445</v>
      </c>
      <c r="R265" s="81" t="s">
        <v>612</v>
      </c>
      <c r="S265" s="81">
        <v>194340</v>
      </c>
      <c r="T265" s="80" t="str">
        <f>REPLACE(INDEX(GroupVertices[Group],MATCH(Edges[[#This Row],[Vertex 1]],GroupVertices[Vertex],0)),1,1,"")</f>
        <v>3</v>
      </c>
      <c r="U265" s="80" t="str">
        <f>REPLACE(INDEX(GroupVertices[Group],MATCH(Edges[[#This Row],[Vertex 2]],GroupVertices[Vertex],0)),1,1,"")</f>
        <v>2</v>
      </c>
      <c r="V265" s="49">
        <v>0</v>
      </c>
      <c r="W265" s="50">
        <v>0</v>
      </c>
      <c r="X265" s="49">
        <v>0</v>
      </c>
      <c r="Y265" s="50">
        <v>0</v>
      </c>
      <c r="Z265" s="49">
        <v>0</v>
      </c>
      <c r="AA265" s="50">
        <v>0</v>
      </c>
      <c r="AB265" s="49">
        <v>13</v>
      </c>
      <c r="AC265" s="50">
        <v>100</v>
      </c>
      <c r="AD265" s="49">
        <v>13</v>
      </c>
    </row>
    <row r="266" spans="1:30" ht="15">
      <c r="A266" s="65" t="s">
        <v>348</v>
      </c>
      <c r="B266" s="65" t="s">
        <v>341</v>
      </c>
      <c r="C266" s="66" t="s">
        <v>1298</v>
      </c>
      <c r="D266" s="67">
        <v>10</v>
      </c>
      <c r="E266" s="68"/>
      <c r="F266" s="69">
        <v>40</v>
      </c>
      <c r="G266" s="66"/>
      <c r="H266" s="70"/>
      <c r="I266" s="71"/>
      <c r="J266" s="71"/>
      <c r="K266" s="35" t="s">
        <v>65</v>
      </c>
      <c r="L266" s="79">
        <v>266</v>
      </c>
      <c r="M266" s="79"/>
      <c r="N266" s="73"/>
      <c r="O266" s="81" t="s">
        <v>444</v>
      </c>
      <c r="P266" s="81">
        <v>3</v>
      </c>
      <c r="Q266" s="81" t="s">
        <v>445</v>
      </c>
      <c r="R266" s="81" t="s">
        <v>613</v>
      </c>
      <c r="S266" s="81">
        <v>191799</v>
      </c>
      <c r="T266" s="80" t="str">
        <f>REPLACE(INDEX(GroupVertices[Group],MATCH(Edges[[#This Row],[Vertex 1]],GroupVertices[Vertex],0)),1,1,"")</f>
        <v>3</v>
      </c>
      <c r="U266" s="80" t="str">
        <f>REPLACE(INDEX(GroupVertices[Group],MATCH(Edges[[#This Row],[Vertex 2]],GroupVertices[Vertex],0)),1,1,"")</f>
        <v>2</v>
      </c>
      <c r="V266" s="49">
        <v>0</v>
      </c>
      <c r="W266" s="50">
        <v>0</v>
      </c>
      <c r="X266" s="49">
        <v>0</v>
      </c>
      <c r="Y266" s="50">
        <v>0</v>
      </c>
      <c r="Z266" s="49">
        <v>0</v>
      </c>
      <c r="AA266" s="50">
        <v>0</v>
      </c>
      <c r="AB266" s="49">
        <v>1</v>
      </c>
      <c r="AC266" s="50">
        <v>100</v>
      </c>
      <c r="AD266" s="49">
        <v>1</v>
      </c>
    </row>
    <row r="267" spans="1:30" ht="15">
      <c r="A267" s="65" t="s">
        <v>356</v>
      </c>
      <c r="B267" s="65" t="s">
        <v>348</v>
      </c>
      <c r="C267" s="66" t="s">
        <v>1297</v>
      </c>
      <c r="D267" s="67">
        <v>3</v>
      </c>
      <c r="E267" s="68"/>
      <c r="F267" s="69">
        <v>70</v>
      </c>
      <c r="G267" s="66"/>
      <c r="H267" s="70"/>
      <c r="I267" s="71"/>
      <c r="J267" s="71"/>
      <c r="K267" s="35" t="s">
        <v>65</v>
      </c>
      <c r="L267" s="79">
        <v>267</v>
      </c>
      <c r="M267" s="79"/>
      <c r="N267" s="73"/>
      <c r="O267" s="81" t="s">
        <v>444</v>
      </c>
      <c r="P267" s="81">
        <v>1</v>
      </c>
      <c r="Q267" s="81" t="s">
        <v>445</v>
      </c>
      <c r="R267" s="81" t="s">
        <v>614</v>
      </c>
      <c r="S267" s="81">
        <v>192587</v>
      </c>
      <c r="T267" s="80" t="str">
        <f>REPLACE(INDEX(GroupVertices[Group],MATCH(Edges[[#This Row],[Vertex 1]],GroupVertices[Vertex],0)),1,1,"")</f>
        <v>2</v>
      </c>
      <c r="U267" s="80" t="str">
        <f>REPLACE(INDEX(GroupVertices[Group],MATCH(Edges[[#This Row],[Vertex 2]],GroupVertices[Vertex],0)),1,1,"")</f>
        <v>3</v>
      </c>
      <c r="V267" s="49">
        <v>0</v>
      </c>
      <c r="W267" s="50">
        <v>0</v>
      </c>
      <c r="X267" s="49">
        <v>0</v>
      </c>
      <c r="Y267" s="50">
        <v>0</v>
      </c>
      <c r="Z267" s="49">
        <v>0</v>
      </c>
      <c r="AA267" s="50">
        <v>0</v>
      </c>
      <c r="AB267" s="49">
        <v>13</v>
      </c>
      <c r="AC267" s="50">
        <v>100</v>
      </c>
      <c r="AD267" s="49">
        <v>13</v>
      </c>
    </row>
    <row r="268" spans="1:30" ht="15">
      <c r="A268" s="65" t="s">
        <v>348</v>
      </c>
      <c r="B268" s="65" t="s">
        <v>413</v>
      </c>
      <c r="C268" s="66" t="s">
        <v>1297</v>
      </c>
      <c r="D268" s="67">
        <v>3</v>
      </c>
      <c r="E268" s="68"/>
      <c r="F268" s="69">
        <v>70</v>
      </c>
      <c r="G268" s="66"/>
      <c r="H268" s="70"/>
      <c r="I268" s="71"/>
      <c r="J268" s="71"/>
      <c r="K268" s="35" t="s">
        <v>66</v>
      </c>
      <c r="L268" s="79">
        <v>268</v>
      </c>
      <c r="M268" s="79"/>
      <c r="N268" s="73"/>
      <c r="O268" s="81" t="s">
        <v>444</v>
      </c>
      <c r="P268" s="81">
        <v>1</v>
      </c>
      <c r="Q268" s="81" t="s">
        <v>445</v>
      </c>
      <c r="R268" s="81" t="s">
        <v>479</v>
      </c>
      <c r="S268" s="81">
        <v>200339</v>
      </c>
      <c r="T268" s="80" t="str">
        <f>REPLACE(INDEX(GroupVertices[Group],MATCH(Edges[[#This Row],[Vertex 1]],GroupVertices[Vertex],0)),1,1,"")</f>
        <v>3</v>
      </c>
      <c r="U268" s="80" t="str">
        <f>REPLACE(INDEX(GroupVertices[Group],MATCH(Edges[[#This Row],[Vertex 2]],GroupVertices[Vertex],0)),1,1,"")</f>
        <v>7</v>
      </c>
      <c r="V268" s="49">
        <v>1</v>
      </c>
      <c r="W268" s="50">
        <v>11.11111111111111</v>
      </c>
      <c r="X268" s="49">
        <v>1</v>
      </c>
      <c r="Y268" s="50">
        <v>11.11111111111111</v>
      </c>
      <c r="Z268" s="49">
        <v>0</v>
      </c>
      <c r="AA268" s="50">
        <v>0</v>
      </c>
      <c r="AB268" s="49">
        <v>7</v>
      </c>
      <c r="AC268" s="50">
        <v>77.77777777777777</v>
      </c>
      <c r="AD268" s="49">
        <v>9</v>
      </c>
    </row>
    <row r="269" spans="1:30" ht="15">
      <c r="A269" s="65" t="s">
        <v>355</v>
      </c>
      <c r="B269" s="65" t="s">
        <v>348</v>
      </c>
      <c r="C269" s="66" t="s">
        <v>1298</v>
      </c>
      <c r="D269" s="67">
        <v>10</v>
      </c>
      <c r="E269" s="68"/>
      <c r="F269" s="69">
        <v>40</v>
      </c>
      <c r="G269" s="66"/>
      <c r="H269" s="70"/>
      <c r="I269" s="71"/>
      <c r="J269" s="71"/>
      <c r="K269" s="35" t="s">
        <v>66</v>
      </c>
      <c r="L269" s="79">
        <v>269</v>
      </c>
      <c r="M269" s="79"/>
      <c r="N269" s="73"/>
      <c r="O269" s="81" t="s">
        <v>444</v>
      </c>
      <c r="P269" s="81">
        <v>4</v>
      </c>
      <c r="Q269" s="81" t="s">
        <v>445</v>
      </c>
      <c r="R269" s="81" t="s">
        <v>481</v>
      </c>
      <c r="S269" s="81">
        <v>196647</v>
      </c>
      <c r="T269" s="80" t="str">
        <f>REPLACE(INDEX(GroupVertices[Group],MATCH(Edges[[#This Row],[Vertex 1]],GroupVertices[Vertex],0)),1,1,"")</f>
        <v>2</v>
      </c>
      <c r="U269" s="80" t="str">
        <f>REPLACE(INDEX(GroupVertices[Group],MATCH(Edges[[#This Row],[Vertex 2]],GroupVertices[Vertex],0)),1,1,"")</f>
        <v>3</v>
      </c>
      <c r="V269" s="49">
        <v>0</v>
      </c>
      <c r="W269" s="50">
        <v>0</v>
      </c>
      <c r="X269" s="49">
        <v>0</v>
      </c>
      <c r="Y269" s="50">
        <v>0</v>
      </c>
      <c r="Z269" s="49">
        <v>0</v>
      </c>
      <c r="AA269" s="50">
        <v>0</v>
      </c>
      <c r="AB269" s="49">
        <v>11</v>
      </c>
      <c r="AC269" s="50">
        <v>100</v>
      </c>
      <c r="AD269" s="49">
        <v>11</v>
      </c>
    </row>
    <row r="270" spans="1:30" ht="15">
      <c r="A270" s="65" t="s">
        <v>413</v>
      </c>
      <c r="B270" s="65" t="s">
        <v>348</v>
      </c>
      <c r="C270" s="66" t="s">
        <v>1297</v>
      </c>
      <c r="D270" s="67">
        <v>3</v>
      </c>
      <c r="E270" s="68"/>
      <c r="F270" s="69">
        <v>70</v>
      </c>
      <c r="G270" s="66"/>
      <c r="H270" s="70"/>
      <c r="I270" s="71"/>
      <c r="J270" s="71"/>
      <c r="K270" s="35" t="s">
        <v>66</v>
      </c>
      <c r="L270" s="79">
        <v>270</v>
      </c>
      <c r="M270" s="79"/>
      <c r="N270" s="73"/>
      <c r="O270" s="81" t="s">
        <v>444</v>
      </c>
      <c r="P270" s="81">
        <v>1</v>
      </c>
      <c r="Q270" s="81" t="s">
        <v>445</v>
      </c>
      <c r="R270" s="81" t="s">
        <v>539</v>
      </c>
      <c r="S270" s="81">
        <v>198694</v>
      </c>
      <c r="T270" s="80" t="str">
        <f>REPLACE(INDEX(GroupVertices[Group],MATCH(Edges[[#This Row],[Vertex 1]],GroupVertices[Vertex],0)),1,1,"")</f>
        <v>7</v>
      </c>
      <c r="U270" s="80" t="str">
        <f>REPLACE(INDEX(GroupVertices[Group],MATCH(Edges[[#This Row],[Vertex 2]],GroupVertices[Vertex],0)),1,1,"")</f>
        <v>3</v>
      </c>
      <c r="V270" s="49">
        <v>0</v>
      </c>
      <c r="W270" s="50">
        <v>0</v>
      </c>
      <c r="X270" s="49">
        <v>0</v>
      </c>
      <c r="Y270" s="50">
        <v>0</v>
      </c>
      <c r="Z270" s="49">
        <v>0</v>
      </c>
      <c r="AA270" s="50">
        <v>0</v>
      </c>
      <c r="AB270" s="49">
        <v>4</v>
      </c>
      <c r="AC270" s="50">
        <v>100</v>
      </c>
      <c r="AD270" s="49">
        <v>4</v>
      </c>
    </row>
    <row r="271" spans="1:30" ht="15">
      <c r="A271" s="65" t="s">
        <v>348</v>
      </c>
      <c r="B271" s="65" t="s">
        <v>354</v>
      </c>
      <c r="C271" s="66" t="s">
        <v>1297</v>
      </c>
      <c r="D271" s="67">
        <v>3</v>
      </c>
      <c r="E271" s="68"/>
      <c r="F271" s="69">
        <v>70</v>
      </c>
      <c r="G271" s="66"/>
      <c r="H271" s="70"/>
      <c r="I271" s="71"/>
      <c r="J271" s="71"/>
      <c r="K271" s="35" t="s">
        <v>65</v>
      </c>
      <c r="L271" s="79">
        <v>271</v>
      </c>
      <c r="M271" s="79"/>
      <c r="N271" s="73"/>
      <c r="O271" s="81" t="s">
        <v>444</v>
      </c>
      <c r="P271" s="81">
        <v>1</v>
      </c>
      <c r="Q271" s="81" t="s">
        <v>445</v>
      </c>
      <c r="R271" s="81" t="s">
        <v>615</v>
      </c>
      <c r="S271" s="81">
        <v>208616</v>
      </c>
      <c r="T271" s="80" t="str">
        <f>REPLACE(INDEX(GroupVertices[Group],MATCH(Edges[[#This Row],[Vertex 1]],GroupVertices[Vertex],0)),1,1,"")</f>
        <v>3</v>
      </c>
      <c r="U271" s="80" t="str">
        <f>REPLACE(INDEX(GroupVertices[Group],MATCH(Edges[[#This Row],[Vertex 2]],GroupVertices[Vertex],0)),1,1,"")</f>
        <v>2</v>
      </c>
      <c r="V271" s="49">
        <v>0</v>
      </c>
      <c r="W271" s="50">
        <v>0</v>
      </c>
      <c r="X271" s="49">
        <v>1</v>
      </c>
      <c r="Y271" s="50">
        <v>50</v>
      </c>
      <c r="Z271" s="49">
        <v>0</v>
      </c>
      <c r="AA271" s="50">
        <v>0</v>
      </c>
      <c r="AB271" s="49">
        <v>1</v>
      </c>
      <c r="AC271" s="50">
        <v>50</v>
      </c>
      <c r="AD271" s="49">
        <v>2</v>
      </c>
    </row>
    <row r="272" spans="1:30" ht="15">
      <c r="A272" s="65" t="s">
        <v>399</v>
      </c>
      <c r="B272" s="65" t="s">
        <v>348</v>
      </c>
      <c r="C272" s="66" t="s">
        <v>1297</v>
      </c>
      <c r="D272" s="67">
        <v>3</v>
      </c>
      <c r="E272" s="68"/>
      <c r="F272" s="69">
        <v>70</v>
      </c>
      <c r="G272" s="66"/>
      <c r="H272" s="70"/>
      <c r="I272" s="71"/>
      <c r="J272" s="71"/>
      <c r="K272" s="35" t="s">
        <v>65</v>
      </c>
      <c r="L272" s="79">
        <v>272</v>
      </c>
      <c r="M272" s="79"/>
      <c r="N272" s="73"/>
      <c r="O272" s="81" t="s">
        <v>444</v>
      </c>
      <c r="P272" s="81">
        <v>1</v>
      </c>
      <c r="Q272" s="81" t="s">
        <v>445</v>
      </c>
      <c r="R272" s="81" t="s">
        <v>534</v>
      </c>
      <c r="S272" s="81">
        <v>117747</v>
      </c>
      <c r="T272" s="80" t="str">
        <f>REPLACE(INDEX(GroupVertices[Group],MATCH(Edges[[#This Row],[Vertex 1]],GroupVertices[Vertex],0)),1,1,"")</f>
        <v>3</v>
      </c>
      <c r="U272" s="80" t="str">
        <f>REPLACE(INDEX(GroupVertices[Group],MATCH(Edges[[#This Row],[Vertex 2]],GroupVertices[Vertex],0)),1,1,"")</f>
        <v>3</v>
      </c>
      <c r="V272" s="49">
        <v>0</v>
      </c>
      <c r="W272" s="50">
        <v>0</v>
      </c>
      <c r="X272" s="49">
        <v>0</v>
      </c>
      <c r="Y272" s="50">
        <v>0</v>
      </c>
      <c r="Z272" s="49">
        <v>0</v>
      </c>
      <c r="AA272" s="50">
        <v>0</v>
      </c>
      <c r="AB272" s="49">
        <v>2</v>
      </c>
      <c r="AC272" s="50">
        <v>100</v>
      </c>
      <c r="AD272" s="49">
        <v>2</v>
      </c>
    </row>
    <row r="273" spans="1:30" ht="15">
      <c r="A273" s="65" t="s">
        <v>348</v>
      </c>
      <c r="B273" s="65" t="s">
        <v>379</v>
      </c>
      <c r="C273" s="66" t="s">
        <v>1297</v>
      </c>
      <c r="D273" s="67">
        <v>3</v>
      </c>
      <c r="E273" s="68"/>
      <c r="F273" s="69">
        <v>70</v>
      </c>
      <c r="G273" s="66"/>
      <c r="H273" s="70"/>
      <c r="I273" s="71"/>
      <c r="J273" s="71"/>
      <c r="K273" s="35" t="s">
        <v>65</v>
      </c>
      <c r="L273" s="79">
        <v>273</v>
      </c>
      <c r="M273" s="79"/>
      <c r="N273" s="73"/>
      <c r="O273" s="81" t="s">
        <v>444</v>
      </c>
      <c r="P273" s="81">
        <v>1</v>
      </c>
      <c r="Q273" s="81" t="s">
        <v>445</v>
      </c>
      <c r="R273" s="81" t="s">
        <v>616</v>
      </c>
      <c r="S273" s="81">
        <v>70446</v>
      </c>
      <c r="T273" s="80" t="str">
        <f>REPLACE(INDEX(GroupVertices[Group],MATCH(Edges[[#This Row],[Vertex 1]],GroupVertices[Vertex],0)),1,1,"")</f>
        <v>3</v>
      </c>
      <c r="U273" s="80" t="str">
        <f>REPLACE(INDEX(GroupVertices[Group],MATCH(Edges[[#This Row],[Vertex 2]],GroupVertices[Vertex],0)),1,1,"")</f>
        <v>1</v>
      </c>
      <c r="V273" s="49">
        <v>0</v>
      </c>
      <c r="W273" s="50">
        <v>0</v>
      </c>
      <c r="X273" s="49">
        <v>0</v>
      </c>
      <c r="Y273" s="50">
        <v>0</v>
      </c>
      <c r="Z273" s="49">
        <v>0</v>
      </c>
      <c r="AA273" s="50">
        <v>0</v>
      </c>
      <c r="AB273" s="49">
        <v>2</v>
      </c>
      <c r="AC273" s="50">
        <v>100</v>
      </c>
      <c r="AD273" s="49">
        <v>2</v>
      </c>
    </row>
    <row r="274" spans="1:30" ht="15">
      <c r="A274" s="65" t="s">
        <v>348</v>
      </c>
      <c r="B274" s="65" t="s">
        <v>329</v>
      </c>
      <c r="C274" s="66" t="s">
        <v>1297</v>
      </c>
      <c r="D274" s="67">
        <v>3</v>
      </c>
      <c r="E274" s="68"/>
      <c r="F274" s="69">
        <v>70</v>
      </c>
      <c r="G274" s="66"/>
      <c r="H274" s="70"/>
      <c r="I274" s="71"/>
      <c r="J274" s="71"/>
      <c r="K274" s="35" t="s">
        <v>65</v>
      </c>
      <c r="L274" s="79">
        <v>274</v>
      </c>
      <c r="M274" s="79"/>
      <c r="N274" s="73"/>
      <c r="O274" s="81" t="s">
        <v>444</v>
      </c>
      <c r="P274" s="81">
        <v>1</v>
      </c>
      <c r="Q274" s="81" t="s">
        <v>445</v>
      </c>
      <c r="R274" s="81" t="s">
        <v>613</v>
      </c>
      <c r="S274" s="81">
        <v>72497</v>
      </c>
      <c r="T274" s="80" t="str">
        <f>REPLACE(INDEX(GroupVertices[Group],MATCH(Edges[[#This Row],[Vertex 1]],GroupVertices[Vertex],0)),1,1,"")</f>
        <v>3</v>
      </c>
      <c r="U274" s="80" t="str">
        <f>REPLACE(INDEX(GroupVertices[Group],MATCH(Edges[[#This Row],[Vertex 2]],GroupVertices[Vertex],0)),1,1,"")</f>
        <v>4</v>
      </c>
      <c r="V274" s="49">
        <v>0</v>
      </c>
      <c r="W274" s="50">
        <v>0</v>
      </c>
      <c r="X274" s="49">
        <v>0</v>
      </c>
      <c r="Y274" s="50">
        <v>0</v>
      </c>
      <c r="Z274" s="49">
        <v>0</v>
      </c>
      <c r="AA274" s="50">
        <v>0</v>
      </c>
      <c r="AB274" s="49">
        <v>1</v>
      </c>
      <c r="AC274" s="50">
        <v>100</v>
      </c>
      <c r="AD274" s="49">
        <v>1</v>
      </c>
    </row>
    <row r="275" spans="1:30" ht="15">
      <c r="A275" s="65" t="s">
        <v>348</v>
      </c>
      <c r="B275" s="65" t="s">
        <v>348</v>
      </c>
      <c r="C275" s="66" t="s">
        <v>1298</v>
      </c>
      <c r="D275" s="67">
        <v>10</v>
      </c>
      <c r="E275" s="68"/>
      <c r="F275" s="69">
        <v>40</v>
      </c>
      <c r="G275" s="66"/>
      <c r="H275" s="70"/>
      <c r="I275" s="71"/>
      <c r="J275" s="71"/>
      <c r="K275" s="35" t="s">
        <v>65</v>
      </c>
      <c r="L275" s="79">
        <v>275</v>
      </c>
      <c r="M275" s="79"/>
      <c r="N275" s="73"/>
      <c r="O275" s="81" t="s">
        <v>444</v>
      </c>
      <c r="P275" s="81">
        <v>2</v>
      </c>
      <c r="Q275" s="81" t="s">
        <v>445</v>
      </c>
      <c r="R275" s="81" t="s">
        <v>611</v>
      </c>
      <c r="S275" s="81">
        <v>63163</v>
      </c>
      <c r="T275" s="80" t="str">
        <f>REPLACE(INDEX(GroupVertices[Group],MATCH(Edges[[#This Row],[Vertex 1]],GroupVertices[Vertex],0)),1,1,"")</f>
        <v>3</v>
      </c>
      <c r="U275" s="80" t="str">
        <f>REPLACE(INDEX(GroupVertices[Group],MATCH(Edges[[#This Row],[Vertex 2]],GroupVertices[Vertex],0)),1,1,"")</f>
        <v>3</v>
      </c>
      <c r="V275" s="49">
        <v>0</v>
      </c>
      <c r="W275" s="50">
        <v>0</v>
      </c>
      <c r="X275" s="49">
        <v>0</v>
      </c>
      <c r="Y275" s="50">
        <v>0</v>
      </c>
      <c r="Z275" s="49">
        <v>0</v>
      </c>
      <c r="AA275" s="50">
        <v>0</v>
      </c>
      <c r="AB275" s="49">
        <v>13</v>
      </c>
      <c r="AC275" s="50">
        <v>100</v>
      </c>
      <c r="AD275" s="49">
        <v>13</v>
      </c>
    </row>
    <row r="276" spans="1:30" ht="15">
      <c r="A276" s="65" t="s">
        <v>352</v>
      </c>
      <c r="B276" s="65" t="s">
        <v>348</v>
      </c>
      <c r="C276" s="66" t="s">
        <v>1297</v>
      </c>
      <c r="D276" s="67">
        <v>3</v>
      </c>
      <c r="E276" s="68"/>
      <c r="F276" s="69">
        <v>70</v>
      </c>
      <c r="G276" s="66"/>
      <c r="H276" s="70"/>
      <c r="I276" s="71"/>
      <c r="J276" s="71"/>
      <c r="K276" s="35" t="s">
        <v>65</v>
      </c>
      <c r="L276" s="79">
        <v>276</v>
      </c>
      <c r="M276" s="79"/>
      <c r="N276" s="73"/>
      <c r="O276" s="81" t="s">
        <v>444</v>
      </c>
      <c r="P276" s="81">
        <v>1</v>
      </c>
      <c r="Q276" s="81" t="s">
        <v>445</v>
      </c>
      <c r="R276" s="81" t="s">
        <v>593</v>
      </c>
      <c r="S276" s="81">
        <v>63925</v>
      </c>
      <c r="T276" s="80" t="str">
        <f>REPLACE(INDEX(GroupVertices[Group],MATCH(Edges[[#This Row],[Vertex 1]],GroupVertices[Vertex],0)),1,1,"")</f>
        <v>7</v>
      </c>
      <c r="U276" s="80" t="str">
        <f>REPLACE(INDEX(GroupVertices[Group],MATCH(Edges[[#This Row],[Vertex 2]],GroupVertices[Vertex],0)),1,1,"")</f>
        <v>3</v>
      </c>
      <c r="V276" s="49">
        <v>0</v>
      </c>
      <c r="W276" s="50">
        <v>0</v>
      </c>
      <c r="X276" s="49">
        <v>0</v>
      </c>
      <c r="Y276" s="50">
        <v>0</v>
      </c>
      <c r="Z276" s="49">
        <v>0</v>
      </c>
      <c r="AA276" s="50">
        <v>0</v>
      </c>
      <c r="AB276" s="49">
        <v>2</v>
      </c>
      <c r="AC276" s="50">
        <v>100</v>
      </c>
      <c r="AD276" s="49">
        <v>2</v>
      </c>
    </row>
    <row r="277" spans="1:30" ht="15">
      <c r="A277" s="65" t="s">
        <v>352</v>
      </c>
      <c r="B277" s="65" t="s">
        <v>366</v>
      </c>
      <c r="C277" s="66" t="s">
        <v>1297</v>
      </c>
      <c r="D277" s="67">
        <v>3</v>
      </c>
      <c r="E277" s="68"/>
      <c r="F277" s="69">
        <v>70</v>
      </c>
      <c r="G277" s="66"/>
      <c r="H277" s="70"/>
      <c r="I277" s="71"/>
      <c r="J277" s="71"/>
      <c r="K277" s="35" t="s">
        <v>66</v>
      </c>
      <c r="L277" s="79">
        <v>277</v>
      </c>
      <c r="M277" s="79"/>
      <c r="N277" s="73"/>
      <c r="O277" s="81" t="s">
        <v>444</v>
      </c>
      <c r="P277" s="81">
        <v>1</v>
      </c>
      <c r="Q277" s="81" t="s">
        <v>445</v>
      </c>
      <c r="R277" s="81" t="s">
        <v>617</v>
      </c>
      <c r="S277" s="81">
        <v>185367</v>
      </c>
      <c r="T277" s="80" t="str">
        <f>REPLACE(INDEX(GroupVertices[Group],MATCH(Edges[[#This Row],[Vertex 1]],GroupVertices[Vertex],0)),1,1,"")</f>
        <v>7</v>
      </c>
      <c r="U277" s="80" t="str">
        <f>REPLACE(INDEX(GroupVertices[Group],MATCH(Edges[[#This Row],[Vertex 2]],GroupVertices[Vertex],0)),1,1,"")</f>
        <v>1</v>
      </c>
      <c r="V277" s="49">
        <v>2</v>
      </c>
      <c r="W277" s="50">
        <v>13.333333333333334</v>
      </c>
      <c r="X277" s="49">
        <v>0</v>
      </c>
      <c r="Y277" s="50">
        <v>0</v>
      </c>
      <c r="Z277" s="49">
        <v>0</v>
      </c>
      <c r="AA277" s="50">
        <v>0</v>
      </c>
      <c r="AB277" s="49">
        <v>13</v>
      </c>
      <c r="AC277" s="50">
        <v>86.66666666666667</v>
      </c>
      <c r="AD277" s="49">
        <v>15</v>
      </c>
    </row>
    <row r="278" spans="1:30" ht="15">
      <c r="A278" s="65" t="s">
        <v>366</v>
      </c>
      <c r="B278" s="65" t="s">
        <v>352</v>
      </c>
      <c r="C278" s="66" t="s">
        <v>1297</v>
      </c>
      <c r="D278" s="67">
        <v>3</v>
      </c>
      <c r="E278" s="68"/>
      <c r="F278" s="69">
        <v>70</v>
      </c>
      <c r="G278" s="66"/>
      <c r="H278" s="70"/>
      <c r="I278" s="71"/>
      <c r="J278" s="71"/>
      <c r="K278" s="35" t="s">
        <v>66</v>
      </c>
      <c r="L278" s="79">
        <v>278</v>
      </c>
      <c r="M278" s="79"/>
      <c r="N278" s="73"/>
      <c r="O278" s="81" t="s">
        <v>444</v>
      </c>
      <c r="P278" s="81">
        <v>1</v>
      </c>
      <c r="Q278" s="81" t="s">
        <v>445</v>
      </c>
      <c r="R278" s="81" t="s">
        <v>490</v>
      </c>
      <c r="S278" s="81">
        <v>185544</v>
      </c>
      <c r="T278" s="80" t="str">
        <f>REPLACE(INDEX(GroupVertices[Group],MATCH(Edges[[#This Row],[Vertex 1]],GroupVertices[Vertex],0)),1,1,"")</f>
        <v>1</v>
      </c>
      <c r="U278" s="80" t="str">
        <f>REPLACE(INDEX(GroupVertices[Group],MATCH(Edges[[#This Row],[Vertex 2]],GroupVertices[Vertex],0)),1,1,"")</f>
        <v>7</v>
      </c>
      <c r="V278" s="49">
        <v>0</v>
      </c>
      <c r="W278" s="50">
        <v>0</v>
      </c>
      <c r="X278" s="49">
        <v>0</v>
      </c>
      <c r="Y278" s="50">
        <v>0</v>
      </c>
      <c r="Z278" s="49">
        <v>0</v>
      </c>
      <c r="AA278" s="50">
        <v>0</v>
      </c>
      <c r="AB278" s="49">
        <v>4</v>
      </c>
      <c r="AC278" s="50">
        <v>100</v>
      </c>
      <c r="AD278" s="49">
        <v>4</v>
      </c>
    </row>
    <row r="279" spans="1:30" ht="15">
      <c r="A279" s="65" t="s">
        <v>432</v>
      </c>
      <c r="B279" s="65" t="s">
        <v>352</v>
      </c>
      <c r="C279" s="66" t="s">
        <v>1297</v>
      </c>
      <c r="D279" s="67">
        <v>3</v>
      </c>
      <c r="E279" s="68"/>
      <c r="F279" s="69">
        <v>70</v>
      </c>
      <c r="G279" s="66"/>
      <c r="H279" s="70"/>
      <c r="I279" s="71"/>
      <c r="J279" s="71"/>
      <c r="K279" s="35" t="s">
        <v>65</v>
      </c>
      <c r="L279" s="79">
        <v>279</v>
      </c>
      <c r="M279" s="79"/>
      <c r="N279" s="73"/>
      <c r="O279" s="81" t="s">
        <v>444</v>
      </c>
      <c r="P279" s="81">
        <v>1</v>
      </c>
      <c r="Q279" s="81" t="s">
        <v>445</v>
      </c>
      <c r="R279" s="81" t="s">
        <v>479</v>
      </c>
      <c r="S279" s="81">
        <v>197835</v>
      </c>
      <c r="T279" s="80" t="str">
        <f>REPLACE(INDEX(GroupVertices[Group],MATCH(Edges[[#This Row],[Vertex 1]],GroupVertices[Vertex],0)),1,1,"")</f>
        <v>7</v>
      </c>
      <c r="U279" s="80" t="str">
        <f>REPLACE(INDEX(GroupVertices[Group],MATCH(Edges[[#This Row],[Vertex 2]],GroupVertices[Vertex],0)),1,1,"")</f>
        <v>7</v>
      </c>
      <c r="V279" s="49">
        <v>1</v>
      </c>
      <c r="W279" s="50">
        <v>11.11111111111111</v>
      </c>
      <c r="X279" s="49">
        <v>1</v>
      </c>
      <c r="Y279" s="50">
        <v>11.11111111111111</v>
      </c>
      <c r="Z279" s="49">
        <v>0</v>
      </c>
      <c r="AA279" s="50">
        <v>0</v>
      </c>
      <c r="AB279" s="49">
        <v>7</v>
      </c>
      <c r="AC279" s="50">
        <v>77.77777777777777</v>
      </c>
      <c r="AD279" s="49">
        <v>9</v>
      </c>
    </row>
    <row r="280" spans="1:30" ht="15">
      <c r="A280" s="65" t="s">
        <v>352</v>
      </c>
      <c r="B280" s="65" t="s">
        <v>413</v>
      </c>
      <c r="C280" s="66" t="s">
        <v>1297</v>
      </c>
      <c r="D280" s="67">
        <v>3</v>
      </c>
      <c r="E280" s="68"/>
      <c r="F280" s="69">
        <v>70</v>
      </c>
      <c r="G280" s="66"/>
      <c r="H280" s="70"/>
      <c r="I280" s="71"/>
      <c r="J280" s="71"/>
      <c r="K280" s="35" t="s">
        <v>66</v>
      </c>
      <c r="L280" s="79">
        <v>280</v>
      </c>
      <c r="M280" s="79"/>
      <c r="N280" s="73"/>
      <c r="O280" s="81" t="s">
        <v>444</v>
      </c>
      <c r="P280" s="81">
        <v>1</v>
      </c>
      <c r="Q280" s="81" t="s">
        <v>445</v>
      </c>
      <c r="R280" s="81" t="s">
        <v>479</v>
      </c>
      <c r="S280" s="81">
        <v>199476</v>
      </c>
      <c r="T280" s="80" t="str">
        <f>REPLACE(INDEX(GroupVertices[Group],MATCH(Edges[[#This Row],[Vertex 1]],GroupVertices[Vertex],0)),1,1,"")</f>
        <v>7</v>
      </c>
      <c r="U280" s="80" t="str">
        <f>REPLACE(INDEX(GroupVertices[Group],MATCH(Edges[[#This Row],[Vertex 2]],GroupVertices[Vertex],0)),1,1,"")</f>
        <v>7</v>
      </c>
      <c r="V280" s="49">
        <v>1</v>
      </c>
      <c r="W280" s="50">
        <v>11.11111111111111</v>
      </c>
      <c r="X280" s="49">
        <v>1</v>
      </c>
      <c r="Y280" s="50">
        <v>11.11111111111111</v>
      </c>
      <c r="Z280" s="49">
        <v>0</v>
      </c>
      <c r="AA280" s="50">
        <v>0</v>
      </c>
      <c r="AB280" s="49">
        <v>7</v>
      </c>
      <c r="AC280" s="50">
        <v>77.77777777777777</v>
      </c>
      <c r="AD280" s="49">
        <v>9</v>
      </c>
    </row>
    <row r="281" spans="1:30" ht="15">
      <c r="A281" s="65" t="s">
        <v>413</v>
      </c>
      <c r="B281" s="65" t="s">
        <v>352</v>
      </c>
      <c r="C281" s="66" t="s">
        <v>1297</v>
      </c>
      <c r="D281" s="67">
        <v>3</v>
      </c>
      <c r="E281" s="68"/>
      <c r="F281" s="69">
        <v>70</v>
      </c>
      <c r="G281" s="66"/>
      <c r="H281" s="70"/>
      <c r="I281" s="71"/>
      <c r="J281" s="71"/>
      <c r="K281" s="35" t="s">
        <v>66</v>
      </c>
      <c r="L281" s="79">
        <v>281</v>
      </c>
      <c r="M281" s="79"/>
      <c r="N281" s="73"/>
      <c r="O281" s="81" t="s">
        <v>444</v>
      </c>
      <c r="P281" s="81">
        <v>1</v>
      </c>
      <c r="Q281" s="81" t="s">
        <v>445</v>
      </c>
      <c r="R281" s="81" t="s">
        <v>479</v>
      </c>
      <c r="S281" s="81">
        <v>200032</v>
      </c>
      <c r="T281" s="80" t="str">
        <f>REPLACE(INDEX(GroupVertices[Group],MATCH(Edges[[#This Row],[Vertex 1]],GroupVertices[Vertex],0)),1,1,"")</f>
        <v>7</v>
      </c>
      <c r="U281" s="80" t="str">
        <f>REPLACE(INDEX(GroupVertices[Group],MATCH(Edges[[#This Row],[Vertex 2]],GroupVertices[Vertex],0)),1,1,"")</f>
        <v>7</v>
      </c>
      <c r="V281" s="49">
        <v>1</v>
      </c>
      <c r="W281" s="50">
        <v>11.11111111111111</v>
      </c>
      <c r="X281" s="49">
        <v>1</v>
      </c>
      <c r="Y281" s="50">
        <v>11.11111111111111</v>
      </c>
      <c r="Z281" s="49">
        <v>0</v>
      </c>
      <c r="AA281" s="50">
        <v>0</v>
      </c>
      <c r="AB281" s="49">
        <v>7</v>
      </c>
      <c r="AC281" s="50">
        <v>77.77777777777777</v>
      </c>
      <c r="AD281" s="49">
        <v>9</v>
      </c>
    </row>
    <row r="282" spans="1:30" ht="15">
      <c r="A282" s="65" t="s">
        <v>335</v>
      </c>
      <c r="B282" s="65" t="s">
        <v>352</v>
      </c>
      <c r="C282" s="66" t="s">
        <v>1297</v>
      </c>
      <c r="D282" s="67">
        <v>3</v>
      </c>
      <c r="E282" s="68"/>
      <c r="F282" s="69">
        <v>70</v>
      </c>
      <c r="G282" s="66"/>
      <c r="H282" s="70"/>
      <c r="I282" s="71"/>
      <c r="J282" s="71"/>
      <c r="K282" s="35" t="s">
        <v>65</v>
      </c>
      <c r="L282" s="79">
        <v>282</v>
      </c>
      <c r="M282" s="79"/>
      <c r="N282" s="73"/>
      <c r="O282" s="81" t="s">
        <v>444</v>
      </c>
      <c r="P282" s="81">
        <v>1</v>
      </c>
      <c r="Q282" s="81" t="s">
        <v>445</v>
      </c>
      <c r="R282" s="81" t="s">
        <v>593</v>
      </c>
      <c r="S282" s="81">
        <v>64100</v>
      </c>
      <c r="T282" s="80" t="str">
        <f>REPLACE(INDEX(GroupVertices[Group],MATCH(Edges[[#This Row],[Vertex 1]],GroupVertices[Vertex],0)),1,1,"")</f>
        <v>1</v>
      </c>
      <c r="U282" s="80" t="str">
        <f>REPLACE(INDEX(GroupVertices[Group],MATCH(Edges[[#This Row],[Vertex 2]],GroupVertices[Vertex],0)),1,1,"")</f>
        <v>7</v>
      </c>
      <c r="V282" s="49">
        <v>0</v>
      </c>
      <c r="W282" s="50">
        <v>0</v>
      </c>
      <c r="X282" s="49">
        <v>0</v>
      </c>
      <c r="Y282" s="50">
        <v>0</v>
      </c>
      <c r="Z282" s="49">
        <v>0</v>
      </c>
      <c r="AA282" s="50">
        <v>0</v>
      </c>
      <c r="AB282" s="49">
        <v>2</v>
      </c>
      <c r="AC282" s="50">
        <v>100</v>
      </c>
      <c r="AD282" s="49">
        <v>2</v>
      </c>
    </row>
    <row r="283" spans="1:30" ht="15">
      <c r="A283" s="65" t="s">
        <v>413</v>
      </c>
      <c r="B283" s="65" t="s">
        <v>432</v>
      </c>
      <c r="C283" s="66" t="s">
        <v>1297</v>
      </c>
      <c r="D283" s="67">
        <v>3</v>
      </c>
      <c r="E283" s="68"/>
      <c r="F283" s="69">
        <v>70</v>
      </c>
      <c r="G283" s="66"/>
      <c r="H283" s="70"/>
      <c r="I283" s="71"/>
      <c r="J283" s="71"/>
      <c r="K283" s="35" t="s">
        <v>65</v>
      </c>
      <c r="L283" s="79">
        <v>283</v>
      </c>
      <c r="M283" s="79"/>
      <c r="N283" s="73"/>
      <c r="O283" s="81" t="s">
        <v>444</v>
      </c>
      <c r="P283" s="81">
        <v>1</v>
      </c>
      <c r="Q283" s="81" t="s">
        <v>445</v>
      </c>
      <c r="R283" s="81" t="s">
        <v>618</v>
      </c>
      <c r="S283" s="81">
        <v>198605</v>
      </c>
      <c r="T283" s="80" t="str">
        <f>REPLACE(INDEX(GroupVertices[Group],MATCH(Edges[[#This Row],[Vertex 1]],GroupVertices[Vertex],0)),1,1,"")</f>
        <v>7</v>
      </c>
      <c r="U283" s="80" t="str">
        <f>REPLACE(INDEX(GroupVertices[Group],MATCH(Edges[[#This Row],[Vertex 2]],GroupVertices[Vertex],0)),1,1,"")</f>
        <v>7</v>
      </c>
      <c r="V283" s="49">
        <v>0</v>
      </c>
      <c r="W283" s="50">
        <v>0</v>
      </c>
      <c r="X283" s="49">
        <v>1</v>
      </c>
      <c r="Y283" s="50">
        <v>20</v>
      </c>
      <c r="Z283" s="49">
        <v>0</v>
      </c>
      <c r="AA283" s="50">
        <v>0</v>
      </c>
      <c r="AB283" s="49">
        <v>4</v>
      </c>
      <c r="AC283" s="50">
        <v>80</v>
      </c>
      <c r="AD283" s="49">
        <v>5</v>
      </c>
    </row>
    <row r="284" spans="1:30" ht="15">
      <c r="A284" s="65" t="s">
        <v>432</v>
      </c>
      <c r="B284" s="65" t="s">
        <v>335</v>
      </c>
      <c r="C284" s="66" t="s">
        <v>1297</v>
      </c>
      <c r="D284" s="67">
        <v>3</v>
      </c>
      <c r="E284" s="68"/>
      <c r="F284" s="69">
        <v>70</v>
      </c>
      <c r="G284" s="66"/>
      <c r="H284" s="70"/>
      <c r="I284" s="71"/>
      <c r="J284" s="71"/>
      <c r="K284" s="35" t="s">
        <v>65</v>
      </c>
      <c r="L284" s="79">
        <v>284</v>
      </c>
      <c r="M284" s="79"/>
      <c r="N284" s="73"/>
      <c r="O284" s="81" t="s">
        <v>444</v>
      </c>
      <c r="P284" s="81">
        <v>1</v>
      </c>
      <c r="Q284" s="81" t="s">
        <v>445</v>
      </c>
      <c r="R284" s="81" t="s">
        <v>593</v>
      </c>
      <c r="S284" s="81">
        <v>64715</v>
      </c>
      <c r="T284" s="80" t="str">
        <f>REPLACE(INDEX(GroupVertices[Group],MATCH(Edges[[#This Row],[Vertex 1]],GroupVertices[Vertex],0)),1,1,"")</f>
        <v>7</v>
      </c>
      <c r="U284" s="80" t="str">
        <f>REPLACE(INDEX(GroupVertices[Group],MATCH(Edges[[#This Row],[Vertex 2]],GroupVertices[Vertex],0)),1,1,"")</f>
        <v>1</v>
      </c>
      <c r="V284" s="49">
        <v>0</v>
      </c>
      <c r="W284" s="50">
        <v>0</v>
      </c>
      <c r="X284" s="49">
        <v>0</v>
      </c>
      <c r="Y284" s="50">
        <v>0</v>
      </c>
      <c r="Z284" s="49">
        <v>0</v>
      </c>
      <c r="AA284" s="50">
        <v>0</v>
      </c>
      <c r="AB284" s="49">
        <v>2</v>
      </c>
      <c r="AC284" s="50">
        <v>100</v>
      </c>
      <c r="AD284" s="49">
        <v>2</v>
      </c>
    </row>
    <row r="285" spans="1:30" ht="15">
      <c r="A285" s="65" t="s">
        <v>432</v>
      </c>
      <c r="B285" s="65" t="s">
        <v>432</v>
      </c>
      <c r="C285" s="66" t="s">
        <v>1298</v>
      </c>
      <c r="D285" s="67">
        <v>10</v>
      </c>
      <c r="E285" s="68"/>
      <c r="F285" s="69">
        <v>40</v>
      </c>
      <c r="G285" s="66"/>
      <c r="H285" s="70"/>
      <c r="I285" s="71"/>
      <c r="J285" s="71"/>
      <c r="K285" s="35" t="s">
        <v>65</v>
      </c>
      <c r="L285" s="79">
        <v>285</v>
      </c>
      <c r="M285" s="79"/>
      <c r="N285" s="73"/>
      <c r="O285" s="81" t="s">
        <v>444</v>
      </c>
      <c r="P285" s="81">
        <v>2</v>
      </c>
      <c r="Q285" s="81" t="s">
        <v>445</v>
      </c>
      <c r="R285" s="81" t="s">
        <v>593</v>
      </c>
      <c r="S285" s="81">
        <v>64713</v>
      </c>
      <c r="T285" s="80" t="str">
        <f>REPLACE(INDEX(GroupVertices[Group],MATCH(Edges[[#This Row],[Vertex 1]],GroupVertices[Vertex],0)),1,1,"")</f>
        <v>7</v>
      </c>
      <c r="U285" s="80" t="str">
        <f>REPLACE(INDEX(GroupVertices[Group],MATCH(Edges[[#This Row],[Vertex 2]],GroupVertices[Vertex],0)),1,1,"")</f>
        <v>7</v>
      </c>
      <c r="V285" s="49">
        <v>0</v>
      </c>
      <c r="W285" s="50">
        <v>0</v>
      </c>
      <c r="X285" s="49">
        <v>0</v>
      </c>
      <c r="Y285" s="50">
        <v>0</v>
      </c>
      <c r="Z285" s="49">
        <v>0</v>
      </c>
      <c r="AA285" s="50">
        <v>0</v>
      </c>
      <c r="AB285" s="49">
        <v>2</v>
      </c>
      <c r="AC285" s="50">
        <v>100</v>
      </c>
      <c r="AD285" s="49">
        <v>2</v>
      </c>
    </row>
    <row r="286" spans="1:30" ht="15">
      <c r="A286" s="65" t="s">
        <v>381</v>
      </c>
      <c r="B286" s="65" t="s">
        <v>432</v>
      </c>
      <c r="C286" s="66" t="s">
        <v>1297</v>
      </c>
      <c r="D286" s="67">
        <v>3</v>
      </c>
      <c r="E286" s="68"/>
      <c r="F286" s="69">
        <v>70</v>
      </c>
      <c r="G286" s="66"/>
      <c r="H286" s="70"/>
      <c r="I286" s="71"/>
      <c r="J286" s="71"/>
      <c r="K286" s="35" t="s">
        <v>65</v>
      </c>
      <c r="L286" s="79">
        <v>286</v>
      </c>
      <c r="M286" s="79"/>
      <c r="N286" s="73"/>
      <c r="O286" s="81" t="s">
        <v>444</v>
      </c>
      <c r="P286" s="81">
        <v>1</v>
      </c>
      <c r="Q286" s="81" t="s">
        <v>445</v>
      </c>
      <c r="R286" s="81" t="s">
        <v>619</v>
      </c>
      <c r="S286" s="81">
        <v>68141</v>
      </c>
      <c r="T286" s="80" t="str">
        <f>REPLACE(INDEX(GroupVertices[Group],MATCH(Edges[[#This Row],[Vertex 1]],GroupVertices[Vertex],0)),1,1,"")</f>
        <v>1</v>
      </c>
      <c r="U286" s="80" t="str">
        <f>REPLACE(INDEX(GroupVertices[Group],MATCH(Edges[[#This Row],[Vertex 2]],GroupVertices[Vertex],0)),1,1,"")</f>
        <v>7</v>
      </c>
      <c r="V286" s="49">
        <v>1</v>
      </c>
      <c r="W286" s="50">
        <v>4.545454545454546</v>
      </c>
      <c r="X286" s="49">
        <v>0</v>
      </c>
      <c r="Y286" s="50">
        <v>0</v>
      </c>
      <c r="Z286" s="49">
        <v>0</v>
      </c>
      <c r="AA286" s="50">
        <v>0</v>
      </c>
      <c r="AB286" s="49">
        <v>21</v>
      </c>
      <c r="AC286" s="50">
        <v>95.45454545454545</v>
      </c>
      <c r="AD286" s="49">
        <v>22</v>
      </c>
    </row>
    <row r="287" spans="1:30" ht="15">
      <c r="A287" s="65" t="s">
        <v>329</v>
      </c>
      <c r="B287" s="65" t="s">
        <v>381</v>
      </c>
      <c r="C287" s="66" t="s">
        <v>1297</v>
      </c>
      <c r="D287" s="67">
        <v>3</v>
      </c>
      <c r="E287" s="68"/>
      <c r="F287" s="69">
        <v>70</v>
      </c>
      <c r="G287" s="66"/>
      <c r="H287" s="70"/>
      <c r="I287" s="71"/>
      <c r="J287" s="71"/>
      <c r="K287" s="35" t="s">
        <v>65</v>
      </c>
      <c r="L287" s="79">
        <v>287</v>
      </c>
      <c r="M287" s="79"/>
      <c r="N287" s="73"/>
      <c r="O287" s="81" t="s">
        <v>444</v>
      </c>
      <c r="P287" s="81">
        <v>1</v>
      </c>
      <c r="Q287" s="81" t="s">
        <v>445</v>
      </c>
      <c r="R287" s="81" t="s">
        <v>620</v>
      </c>
      <c r="S287" s="81">
        <v>213708</v>
      </c>
      <c r="T287" s="80" t="str">
        <f>REPLACE(INDEX(GroupVertices[Group],MATCH(Edges[[#This Row],[Vertex 1]],GroupVertices[Vertex],0)),1,1,"")</f>
        <v>4</v>
      </c>
      <c r="U287" s="80" t="str">
        <f>REPLACE(INDEX(GroupVertices[Group],MATCH(Edges[[#This Row],[Vertex 2]],GroupVertices[Vertex],0)),1,1,"")</f>
        <v>1</v>
      </c>
      <c r="V287" s="49">
        <v>1</v>
      </c>
      <c r="W287" s="50">
        <v>5.2631578947368425</v>
      </c>
      <c r="X287" s="49">
        <v>2</v>
      </c>
      <c r="Y287" s="50">
        <v>10.526315789473685</v>
      </c>
      <c r="Z287" s="49">
        <v>0</v>
      </c>
      <c r="AA287" s="50">
        <v>0</v>
      </c>
      <c r="AB287" s="49">
        <v>16</v>
      </c>
      <c r="AC287" s="50">
        <v>84.21052631578948</v>
      </c>
      <c r="AD287" s="49">
        <v>19</v>
      </c>
    </row>
    <row r="288" spans="1:30" ht="15">
      <c r="A288" s="65" t="s">
        <v>381</v>
      </c>
      <c r="B288" s="65" t="s">
        <v>335</v>
      </c>
      <c r="C288" s="66" t="s">
        <v>1297</v>
      </c>
      <c r="D288" s="67">
        <v>3</v>
      </c>
      <c r="E288" s="68"/>
      <c r="F288" s="69">
        <v>70</v>
      </c>
      <c r="G288" s="66"/>
      <c r="H288" s="70"/>
      <c r="I288" s="71"/>
      <c r="J288" s="71"/>
      <c r="K288" s="35" t="s">
        <v>65</v>
      </c>
      <c r="L288" s="79">
        <v>288</v>
      </c>
      <c r="M288" s="79"/>
      <c r="N288" s="73"/>
      <c r="O288" s="81" t="s">
        <v>444</v>
      </c>
      <c r="P288" s="81">
        <v>1</v>
      </c>
      <c r="Q288" s="81" t="s">
        <v>445</v>
      </c>
      <c r="R288" s="81" t="s">
        <v>621</v>
      </c>
      <c r="S288" s="81">
        <v>215565</v>
      </c>
      <c r="T288" s="80" t="str">
        <f>REPLACE(INDEX(GroupVertices[Group],MATCH(Edges[[#This Row],[Vertex 1]],GroupVertices[Vertex],0)),1,1,"")</f>
        <v>1</v>
      </c>
      <c r="U288" s="80" t="str">
        <f>REPLACE(INDEX(GroupVertices[Group],MATCH(Edges[[#This Row],[Vertex 2]],GroupVertices[Vertex],0)),1,1,"")</f>
        <v>1</v>
      </c>
      <c r="V288" s="49">
        <v>1</v>
      </c>
      <c r="W288" s="50">
        <v>6.666666666666667</v>
      </c>
      <c r="X288" s="49">
        <v>3</v>
      </c>
      <c r="Y288" s="50">
        <v>20</v>
      </c>
      <c r="Z288" s="49">
        <v>0</v>
      </c>
      <c r="AA288" s="50">
        <v>0</v>
      </c>
      <c r="AB288" s="49">
        <v>11</v>
      </c>
      <c r="AC288" s="50">
        <v>73.33333333333333</v>
      </c>
      <c r="AD288" s="49">
        <v>15</v>
      </c>
    </row>
    <row r="289" spans="1:30" ht="15">
      <c r="A289" s="65" t="s">
        <v>341</v>
      </c>
      <c r="B289" s="65" t="s">
        <v>381</v>
      </c>
      <c r="C289" s="66" t="s">
        <v>1297</v>
      </c>
      <c r="D289" s="67">
        <v>3</v>
      </c>
      <c r="E289" s="68"/>
      <c r="F289" s="69">
        <v>70</v>
      </c>
      <c r="G289" s="66"/>
      <c r="H289" s="70"/>
      <c r="I289" s="71"/>
      <c r="J289" s="71"/>
      <c r="K289" s="35" t="s">
        <v>65</v>
      </c>
      <c r="L289" s="79">
        <v>289</v>
      </c>
      <c r="M289" s="79"/>
      <c r="N289" s="73"/>
      <c r="O289" s="81" t="s">
        <v>444</v>
      </c>
      <c r="P289" s="81">
        <v>1</v>
      </c>
      <c r="Q289" s="81" t="s">
        <v>445</v>
      </c>
      <c r="R289" s="81" t="s">
        <v>490</v>
      </c>
      <c r="S289" s="81">
        <v>215714</v>
      </c>
      <c r="T289" s="80" t="str">
        <f>REPLACE(INDEX(GroupVertices[Group],MATCH(Edges[[#This Row],[Vertex 1]],GroupVertices[Vertex],0)),1,1,"")</f>
        <v>2</v>
      </c>
      <c r="U289" s="80" t="str">
        <f>REPLACE(INDEX(GroupVertices[Group],MATCH(Edges[[#This Row],[Vertex 2]],GroupVertices[Vertex],0)),1,1,"")</f>
        <v>1</v>
      </c>
      <c r="V289" s="49">
        <v>0</v>
      </c>
      <c r="W289" s="50">
        <v>0</v>
      </c>
      <c r="X289" s="49">
        <v>0</v>
      </c>
      <c r="Y289" s="50">
        <v>0</v>
      </c>
      <c r="Z289" s="49">
        <v>0</v>
      </c>
      <c r="AA289" s="50">
        <v>0</v>
      </c>
      <c r="AB289" s="49">
        <v>4</v>
      </c>
      <c r="AC289" s="50">
        <v>100</v>
      </c>
      <c r="AD289" s="49">
        <v>4</v>
      </c>
    </row>
    <row r="290" spans="1:30" ht="15">
      <c r="A290" s="65" t="s">
        <v>366</v>
      </c>
      <c r="B290" s="65" t="s">
        <v>381</v>
      </c>
      <c r="C290" s="66" t="s">
        <v>1297</v>
      </c>
      <c r="D290" s="67">
        <v>3</v>
      </c>
      <c r="E290" s="68"/>
      <c r="F290" s="69">
        <v>70</v>
      </c>
      <c r="G290" s="66"/>
      <c r="H290" s="70"/>
      <c r="I290" s="71"/>
      <c r="J290" s="71"/>
      <c r="K290" s="35" t="s">
        <v>65</v>
      </c>
      <c r="L290" s="79">
        <v>290</v>
      </c>
      <c r="M290" s="79"/>
      <c r="N290" s="73"/>
      <c r="O290" s="81" t="s">
        <v>444</v>
      </c>
      <c r="P290" s="81">
        <v>1</v>
      </c>
      <c r="Q290" s="81" t="s">
        <v>445</v>
      </c>
      <c r="R290" s="81" t="s">
        <v>591</v>
      </c>
      <c r="S290" s="81">
        <v>64617</v>
      </c>
      <c r="T290" s="80" t="str">
        <f>REPLACE(INDEX(GroupVertices[Group],MATCH(Edges[[#This Row],[Vertex 1]],GroupVertices[Vertex],0)),1,1,"")</f>
        <v>1</v>
      </c>
      <c r="U290" s="80" t="str">
        <f>REPLACE(INDEX(GroupVertices[Group],MATCH(Edges[[#This Row],[Vertex 2]],GroupVertices[Vertex],0)),1,1,"")</f>
        <v>1</v>
      </c>
      <c r="V290" s="49">
        <v>0</v>
      </c>
      <c r="W290" s="50">
        <v>0</v>
      </c>
      <c r="X290" s="49">
        <v>0</v>
      </c>
      <c r="Y290" s="50">
        <v>0</v>
      </c>
      <c r="Z290" s="49">
        <v>0</v>
      </c>
      <c r="AA290" s="50">
        <v>0</v>
      </c>
      <c r="AB290" s="49">
        <v>2</v>
      </c>
      <c r="AC290" s="50">
        <v>100</v>
      </c>
      <c r="AD290" s="49">
        <v>2</v>
      </c>
    </row>
    <row r="291" spans="1:30" ht="15">
      <c r="A291" s="65" t="s">
        <v>381</v>
      </c>
      <c r="B291" s="65" t="s">
        <v>381</v>
      </c>
      <c r="C291" s="66" t="s">
        <v>1298</v>
      </c>
      <c r="D291" s="67">
        <v>10</v>
      </c>
      <c r="E291" s="68"/>
      <c r="F291" s="69">
        <v>40</v>
      </c>
      <c r="G291" s="66"/>
      <c r="H291" s="70"/>
      <c r="I291" s="71"/>
      <c r="J291" s="71"/>
      <c r="K291" s="35" t="s">
        <v>65</v>
      </c>
      <c r="L291" s="79">
        <v>291</v>
      </c>
      <c r="M291" s="79"/>
      <c r="N291" s="73"/>
      <c r="O291" s="81" t="s">
        <v>444</v>
      </c>
      <c r="P291" s="81">
        <v>2</v>
      </c>
      <c r="Q291" s="81" t="s">
        <v>445</v>
      </c>
      <c r="R291" s="81" t="s">
        <v>622</v>
      </c>
      <c r="S291" s="81">
        <v>69396</v>
      </c>
      <c r="T291" s="80" t="str">
        <f>REPLACE(INDEX(GroupVertices[Group],MATCH(Edges[[#This Row],[Vertex 1]],GroupVertices[Vertex],0)),1,1,"")</f>
        <v>1</v>
      </c>
      <c r="U291" s="80" t="str">
        <f>REPLACE(INDEX(GroupVertices[Group],MATCH(Edges[[#This Row],[Vertex 2]],GroupVertices[Vertex],0)),1,1,"")</f>
        <v>1</v>
      </c>
      <c r="V291" s="49">
        <v>0</v>
      </c>
      <c r="W291" s="50">
        <v>0</v>
      </c>
      <c r="X291" s="49">
        <v>0</v>
      </c>
      <c r="Y291" s="50">
        <v>0</v>
      </c>
      <c r="Z291" s="49">
        <v>0</v>
      </c>
      <c r="AA291" s="50">
        <v>0</v>
      </c>
      <c r="AB291" s="49">
        <v>11</v>
      </c>
      <c r="AC291" s="50">
        <v>100</v>
      </c>
      <c r="AD291" s="49">
        <v>11</v>
      </c>
    </row>
    <row r="292" spans="1:30" ht="15">
      <c r="A292" s="65" t="s">
        <v>379</v>
      </c>
      <c r="B292" s="65" t="s">
        <v>381</v>
      </c>
      <c r="C292" s="66" t="s">
        <v>1297</v>
      </c>
      <c r="D292" s="67">
        <v>3</v>
      </c>
      <c r="E292" s="68"/>
      <c r="F292" s="69">
        <v>70</v>
      </c>
      <c r="G292" s="66"/>
      <c r="H292" s="70"/>
      <c r="I292" s="71"/>
      <c r="J292" s="71"/>
      <c r="K292" s="35" t="s">
        <v>65</v>
      </c>
      <c r="L292" s="79">
        <v>292</v>
      </c>
      <c r="M292" s="79"/>
      <c r="N292" s="73"/>
      <c r="O292" s="81" t="s">
        <v>444</v>
      </c>
      <c r="P292" s="81">
        <v>1</v>
      </c>
      <c r="Q292" s="81" t="s">
        <v>445</v>
      </c>
      <c r="R292" s="81" t="s">
        <v>623</v>
      </c>
      <c r="S292" s="81">
        <v>69898</v>
      </c>
      <c r="T292" s="80" t="str">
        <f>REPLACE(INDEX(GroupVertices[Group],MATCH(Edges[[#This Row],[Vertex 1]],GroupVertices[Vertex],0)),1,1,"")</f>
        <v>1</v>
      </c>
      <c r="U292" s="80" t="str">
        <f>REPLACE(INDEX(GroupVertices[Group],MATCH(Edges[[#This Row],[Vertex 2]],GroupVertices[Vertex],0)),1,1,"")</f>
        <v>1</v>
      </c>
      <c r="V292" s="49">
        <v>0</v>
      </c>
      <c r="W292" s="50">
        <v>0</v>
      </c>
      <c r="X292" s="49">
        <v>0</v>
      </c>
      <c r="Y292" s="50">
        <v>0</v>
      </c>
      <c r="Z292" s="49">
        <v>0</v>
      </c>
      <c r="AA292" s="50">
        <v>0</v>
      </c>
      <c r="AB292" s="49">
        <v>3</v>
      </c>
      <c r="AC292" s="50">
        <v>100</v>
      </c>
      <c r="AD292" s="49">
        <v>3</v>
      </c>
    </row>
    <row r="293" spans="1:30" ht="15">
      <c r="A293" s="65" t="s">
        <v>433</v>
      </c>
      <c r="B293" s="65" t="s">
        <v>341</v>
      </c>
      <c r="C293" s="66" t="s">
        <v>1297</v>
      </c>
      <c r="D293" s="67">
        <v>3</v>
      </c>
      <c r="E293" s="68"/>
      <c r="F293" s="69">
        <v>70</v>
      </c>
      <c r="G293" s="66"/>
      <c r="H293" s="70"/>
      <c r="I293" s="71"/>
      <c r="J293" s="71"/>
      <c r="K293" s="35" t="s">
        <v>65</v>
      </c>
      <c r="L293" s="79">
        <v>293</v>
      </c>
      <c r="M293" s="79"/>
      <c r="N293" s="73"/>
      <c r="O293" s="81" t="s">
        <v>444</v>
      </c>
      <c r="P293" s="81">
        <v>1</v>
      </c>
      <c r="Q293" s="81" t="s">
        <v>445</v>
      </c>
      <c r="R293" s="81" t="s">
        <v>479</v>
      </c>
      <c r="S293" s="81">
        <v>201527</v>
      </c>
      <c r="T293" s="80" t="str">
        <f>REPLACE(INDEX(GroupVertices[Group],MATCH(Edges[[#This Row],[Vertex 1]],GroupVertices[Vertex],0)),1,1,"")</f>
        <v>2</v>
      </c>
      <c r="U293" s="80" t="str">
        <f>REPLACE(INDEX(GroupVertices[Group],MATCH(Edges[[#This Row],[Vertex 2]],GroupVertices[Vertex],0)),1,1,"")</f>
        <v>2</v>
      </c>
      <c r="V293" s="49">
        <v>1</v>
      </c>
      <c r="W293" s="50">
        <v>11.11111111111111</v>
      </c>
      <c r="X293" s="49">
        <v>1</v>
      </c>
      <c r="Y293" s="50">
        <v>11.11111111111111</v>
      </c>
      <c r="Z293" s="49">
        <v>0</v>
      </c>
      <c r="AA293" s="50">
        <v>0</v>
      </c>
      <c r="AB293" s="49">
        <v>7</v>
      </c>
      <c r="AC293" s="50">
        <v>77.77777777777777</v>
      </c>
      <c r="AD293" s="49">
        <v>9</v>
      </c>
    </row>
    <row r="294" spans="1:30" ht="15">
      <c r="A294" s="65" t="s">
        <v>433</v>
      </c>
      <c r="B294" s="65" t="s">
        <v>355</v>
      </c>
      <c r="C294" s="66" t="s">
        <v>1297</v>
      </c>
      <c r="D294" s="67">
        <v>3</v>
      </c>
      <c r="E294" s="68"/>
      <c r="F294" s="69">
        <v>70</v>
      </c>
      <c r="G294" s="66"/>
      <c r="H294" s="70"/>
      <c r="I294" s="71"/>
      <c r="J294" s="71"/>
      <c r="K294" s="35" t="s">
        <v>65</v>
      </c>
      <c r="L294" s="79">
        <v>294</v>
      </c>
      <c r="M294" s="79"/>
      <c r="N294" s="73"/>
      <c r="O294" s="81" t="s">
        <v>444</v>
      </c>
      <c r="P294" s="81">
        <v>1</v>
      </c>
      <c r="Q294" s="81" t="s">
        <v>445</v>
      </c>
      <c r="R294" s="81" t="s">
        <v>624</v>
      </c>
      <c r="S294" s="81">
        <v>198484</v>
      </c>
      <c r="T294" s="80" t="str">
        <f>REPLACE(INDEX(GroupVertices[Group],MATCH(Edges[[#This Row],[Vertex 1]],GroupVertices[Vertex],0)),1,1,"")</f>
        <v>2</v>
      </c>
      <c r="U294" s="80" t="str">
        <f>REPLACE(INDEX(GroupVertices[Group],MATCH(Edges[[#This Row],[Vertex 2]],GroupVertices[Vertex],0)),1,1,"")</f>
        <v>2</v>
      </c>
      <c r="V294" s="49">
        <v>0</v>
      </c>
      <c r="W294" s="50">
        <v>0</v>
      </c>
      <c r="X294" s="49">
        <v>0</v>
      </c>
      <c r="Y294" s="50">
        <v>0</v>
      </c>
      <c r="Z294" s="49">
        <v>0</v>
      </c>
      <c r="AA294" s="50">
        <v>0</v>
      </c>
      <c r="AB294" s="49">
        <v>6</v>
      </c>
      <c r="AC294" s="50">
        <v>100</v>
      </c>
      <c r="AD294" s="49">
        <v>6</v>
      </c>
    </row>
    <row r="295" spans="1:30" ht="15">
      <c r="A295" s="65" t="s">
        <v>433</v>
      </c>
      <c r="B295" s="65" t="s">
        <v>413</v>
      </c>
      <c r="C295" s="66" t="s">
        <v>1297</v>
      </c>
      <c r="D295" s="67">
        <v>3</v>
      </c>
      <c r="E295" s="68"/>
      <c r="F295" s="69">
        <v>70</v>
      </c>
      <c r="G295" s="66"/>
      <c r="H295" s="70"/>
      <c r="I295" s="71"/>
      <c r="J295" s="71"/>
      <c r="K295" s="35" t="s">
        <v>65</v>
      </c>
      <c r="L295" s="79">
        <v>295</v>
      </c>
      <c r="M295" s="79"/>
      <c r="N295" s="73"/>
      <c r="O295" s="81" t="s">
        <v>444</v>
      </c>
      <c r="P295" s="81">
        <v>1</v>
      </c>
      <c r="Q295" s="81" t="s">
        <v>445</v>
      </c>
      <c r="R295" s="81" t="s">
        <v>625</v>
      </c>
      <c r="S295" s="81">
        <v>207628</v>
      </c>
      <c r="T295" s="80" t="str">
        <f>REPLACE(INDEX(GroupVertices[Group],MATCH(Edges[[#This Row],[Vertex 1]],GroupVertices[Vertex],0)),1,1,"")</f>
        <v>2</v>
      </c>
      <c r="U295" s="80" t="str">
        <f>REPLACE(INDEX(GroupVertices[Group],MATCH(Edges[[#This Row],[Vertex 2]],GroupVertices[Vertex],0)),1,1,"")</f>
        <v>7</v>
      </c>
      <c r="V295" s="49">
        <v>0</v>
      </c>
      <c r="W295" s="50">
        <v>0</v>
      </c>
      <c r="X295" s="49">
        <v>0</v>
      </c>
      <c r="Y295" s="50">
        <v>0</v>
      </c>
      <c r="Z295" s="49">
        <v>0</v>
      </c>
      <c r="AA295" s="50">
        <v>0</v>
      </c>
      <c r="AB295" s="49">
        <v>5</v>
      </c>
      <c r="AC295" s="50">
        <v>100</v>
      </c>
      <c r="AD295" s="49">
        <v>5</v>
      </c>
    </row>
    <row r="296" spans="1:30" ht="15">
      <c r="A296" s="65" t="s">
        <v>354</v>
      </c>
      <c r="B296" s="65" t="s">
        <v>433</v>
      </c>
      <c r="C296" s="66" t="s">
        <v>1297</v>
      </c>
      <c r="D296" s="67">
        <v>3</v>
      </c>
      <c r="E296" s="68"/>
      <c r="F296" s="69">
        <v>70</v>
      </c>
      <c r="G296" s="66"/>
      <c r="H296" s="70"/>
      <c r="I296" s="71"/>
      <c r="J296" s="71"/>
      <c r="K296" s="35" t="s">
        <v>65</v>
      </c>
      <c r="L296" s="79">
        <v>296</v>
      </c>
      <c r="M296" s="79"/>
      <c r="N296" s="73"/>
      <c r="O296" s="81" t="s">
        <v>444</v>
      </c>
      <c r="P296" s="81">
        <v>1</v>
      </c>
      <c r="Q296" s="81" t="s">
        <v>445</v>
      </c>
      <c r="R296" s="81" t="s">
        <v>626</v>
      </c>
      <c r="S296" s="81">
        <v>207965</v>
      </c>
      <c r="T296" s="80" t="str">
        <f>REPLACE(INDEX(GroupVertices[Group],MATCH(Edges[[#This Row],[Vertex 1]],GroupVertices[Vertex],0)),1,1,"")</f>
        <v>2</v>
      </c>
      <c r="U296" s="80" t="str">
        <f>REPLACE(INDEX(GroupVertices[Group],MATCH(Edges[[#This Row],[Vertex 2]],GroupVertices[Vertex],0)),1,1,"")</f>
        <v>2</v>
      </c>
      <c r="V296" s="49">
        <v>0</v>
      </c>
      <c r="W296" s="50">
        <v>0</v>
      </c>
      <c r="X296" s="49">
        <v>0</v>
      </c>
      <c r="Y296" s="50">
        <v>0</v>
      </c>
      <c r="Z296" s="49">
        <v>0</v>
      </c>
      <c r="AA296" s="50">
        <v>0</v>
      </c>
      <c r="AB296" s="49">
        <v>5</v>
      </c>
      <c r="AC296" s="50">
        <v>100</v>
      </c>
      <c r="AD296" s="49">
        <v>5</v>
      </c>
    </row>
    <row r="297" spans="1:30" ht="15">
      <c r="A297" s="65" t="s">
        <v>433</v>
      </c>
      <c r="B297" s="65" t="s">
        <v>379</v>
      </c>
      <c r="C297" s="66" t="s">
        <v>1297</v>
      </c>
      <c r="D297" s="67">
        <v>3</v>
      </c>
      <c r="E297" s="68"/>
      <c r="F297" s="69">
        <v>70</v>
      </c>
      <c r="G297" s="66"/>
      <c r="H297" s="70"/>
      <c r="I297" s="71"/>
      <c r="J297" s="71"/>
      <c r="K297" s="35" t="s">
        <v>65</v>
      </c>
      <c r="L297" s="79">
        <v>297</v>
      </c>
      <c r="M297" s="79"/>
      <c r="N297" s="73"/>
      <c r="O297" s="81" t="s">
        <v>444</v>
      </c>
      <c r="P297" s="81">
        <v>1</v>
      </c>
      <c r="Q297" s="81" t="s">
        <v>445</v>
      </c>
      <c r="R297" s="81" t="s">
        <v>627</v>
      </c>
      <c r="S297" s="81">
        <v>69919</v>
      </c>
      <c r="T297" s="80" t="str">
        <f>REPLACE(INDEX(GroupVertices[Group],MATCH(Edges[[#This Row],[Vertex 1]],GroupVertices[Vertex],0)),1,1,"")</f>
        <v>2</v>
      </c>
      <c r="U297" s="80" t="str">
        <f>REPLACE(INDEX(GroupVertices[Group],MATCH(Edges[[#This Row],[Vertex 2]],GroupVertices[Vertex],0)),1,1,"")</f>
        <v>1</v>
      </c>
      <c r="V297" s="49">
        <v>0</v>
      </c>
      <c r="W297" s="50">
        <v>0</v>
      </c>
      <c r="X297" s="49">
        <v>1</v>
      </c>
      <c r="Y297" s="50">
        <v>20</v>
      </c>
      <c r="Z297" s="49">
        <v>0</v>
      </c>
      <c r="AA297" s="50">
        <v>0</v>
      </c>
      <c r="AB297" s="49">
        <v>4</v>
      </c>
      <c r="AC297" s="50">
        <v>80</v>
      </c>
      <c r="AD297" s="49">
        <v>5</v>
      </c>
    </row>
    <row r="298" spans="1:30" ht="15">
      <c r="A298" s="65" t="s">
        <v>433</v>
      </c>
      <c r="B298" s="65" t="s">
        <v>433</v>
      </c>
      <c r="C298" s="66" t="s">
        <v>1298</v>
      </c>
      <c r="D298" s="67">
        <v>10</v>
      </c>
      <c r="E298" s="68"/>
      <c r="F298" s="69">
        <v>40</v>
      </c>
      <c r="G298" s="66"/>
      <c r="H298" s="70"/>
      <c r="I298" s="71"/>
      <c r="J298" s="71"/>
      <c r="K298" s="35" t="s">
        <v>65</v>
      </c>
      <c r="L298" s="79">
        <v>298</v>
      </c>
      <c r="M298" s="79"/>
      <c r="N298" s="73"/>
      <c r="O298" s="81" t="s">
        <v>444</v>
      </c>
      <c r="P298" s="81">
        <v>4</v>
      </c>
      <c r="Q298" s="81" t="s">
        <v>445</v>
      </c>
      <c r="R298" s="81" t="s">
        <v>553</v>
      </c>
      <c r="S298" s="81">
        <v>70171</v>
      </c>
      <c r="T298" s="80" t="str">
        <f>REPLACE(INDEX(GroupVertices[Group],MATCH(Edges[[#This Row],[Vertex 1]],GroupVertices[Vertex],0)),1,1,"")</f>
        <v>2</v>
      </c>
      <c r="U298" s="80" t="str">
        <f>REPLACE(INDEX(GroupVertices[Group],MATCH(Edges[[#This Row],[Vertex 2]],GroupVertices[Vertex],0)),1,1,"")</f>
        <v>2</v>
      </c>
      <c r="V298" s="49">
        <v>0</v>
      </c>
      <c r="W298" s="50">
        <v>0</v>
      </c>
      <c r="X298" s="49">
        <v>1</v>
      </c>
      <c r="Y298" s="50">
        <v>8.333333333333334</v>
      </c>
      <c r="Z298" s="49">
        <v>0</v>
      </c>
      <c r="AA298" s="50">
        <v>0</v>
      </c>
      <c r="AB298" s="49">
        <v>11</v>
      </c>
      <c r="AC298" s="50">
        <v>91.66666666666667</v>
      </c>
      <c r="AD298" s="49">
        <v>12</v>
      </c>
    </row>
    <row r="299" spans="1:30" ht="15">
      <c r="A299" s="65" t="s">
        <v>399</v>
      </c>
      <c r="B299" s="65" t="s">
        <v>433</v>
      </c>
      <c r="C299" s="66" t="s">
        <v>1297</v>
      </c>
      <c r="D299" s="67">
        <v>3</v>
      </c>
      <c r="E299" s="68"/>
      <c r="F299" s="69">
        <v>70</v>
      </c>
      <c r="G299" s="66"/>
      <c r="H299" s="70"/>
      <c r="I299" s="71"/>
      <c r="J299" s="71"/>
      <c r="K299" s="35" t="s">
        <v>65</v>
      </c>
      <c r="L299" s="79">
        <v>299</v>
      </c>
      <c r="M299" s="79"/>
      <c r="N299" s="73"/>
      <c r="O299" s="81" t="s">
        <v>444</v>
      </c>
      <c r="P299" s="81">
        <v>1</v>
      </c>
      <c r="Q299" s="81" t="s">
        <v>445</v>
      </c>
      <c r="R299" s="81" t="s">
        <v>628</v>
      </c>
      <c r="S299" s="81">
        <v>70542</v>
      </c>
      <c r="T299" s="80" t="str">
        <f>REPLACE(INDEX(GroupVertices[Group],MATCH(Edges[[#This Row],[Vertex 1]],GroupVertices[Vertex],0)),1,1,"")</f>
        <v>3</v>
      </c>
      <c r="U299" s="80" t="str">
        <f>REPLACE(INDEX(GroupVertices[Group],MATCH(Edges[[#This Row],[Vertex 2]],GroupVertices[Vertex],0)),1,1,"")</f>
        <v>2</v>
      </c>
      <c r="V299" s="49">
        <v>0</v>
      </c>
      <c r="W299" s="50">
        <v>0</v>
      </c>
      <c r="X299" s="49">
        <v>1</v>
      </c>
      <c r="Y299" s="50">
        <v>33.333333333333336</v>
      </c>
      <c r="Z299" s="49">
        <v>0</v>
      </c>
      <c r="AA299" s="50">
        <v>0</v>
      </c>
      <c r="AB299" s="49">
        <v>2</v>
      </c>
      <c r="AC299" s="50">
        <v>66.66666666666667</v>
      </c>
      <c r="AD299" s="49">
        <v>3</v>
      </c>
    </row>
    <row r="300" spans="1:30" ht="15">
      <c r="A300" s="65" t="s">
        <v>399</v>
      </c>
      <c r="B300" s="65" t="s">
        <v>399</v>
      </c>
      <c r="C300" s="66" t="s">
        <v>1298</v>
      </c>
      <c r="D300" s="67">
        <v>10</v>
      </c>
      <c r="E300" s="68"/>
      <c r="F300" s="69">
        <v>40</v>
      </c>
      <c r="G300" s="66"/>
      <c r="H300" s="70"/>
      <c r="I300" s="71"/>
      <c r="J300" s="71"/>
      <c r="K300" s="35" t="s">
        <v>65</v>
      </c>
      <c r="L300" s="79">
        <v>300</v>
      </c>
      <c r="M300" s="79"/>
      <c r="N300" s="73"/>
      <c r="O300" s="81" t="s">
        <v>444</v>
      </c>
      <c r="P300" s="81">
        <v>3</v>
      </c>
      <c r="Q300" s="81" t="s">
        <v>445</v>
      </c>
      <c r="R300" s="81" t="s">
        <v>629</v>
      </c>
      <c r="S300" s="81">
        <v>117748</v>
      </c>
      <c r="T300" s="80" t="str">
        <f>REPLACE(INDEX(GroupVertices[Group],MATCH(Edges[[#This Row],[Vertex 1]],GroupVertices[Vertex],0)),1,1,"")</f>
        <v>3</v>
      </c>
      <c r="U300" s="80" t="str">
        <f>REPLACE(INDEX(GroupVertices[Group],MATCH(Edges[[#This Row],[Vertex 2]],GroupVertices[Vertex],0)),1,1,"")</f>
        <v>3</v>
      </c>
      <c r="V300" s="49">
        <v>0</v>
      </c>
      <c r="W300" s="50">
        <v>0</v>
      </c>
      <c r="X300" s="49">
        <v>0</v>
      </c>
      <c r="Y300" s="50">
        <v>0</v>
      </c>
      <c r="Z300" s="49">
        <v>0</v>
      </c>
      <c r="AA300" s="50">
        <v>0</v>
      </c>
      <c r="AB300" s="49">
        <v>2</v>
      </c>
      <c r="AC300" s="50">
        <v>100</v>
      </c>
      <c r="AD300" s="49">
        <v>2</v>
      </c>
    </row>
    <row r="301" spans="1:30" ht="15">
      <c r="A301" s="65" t="s">
        <v>355</v>
      </c>
      <c r="B301" s="65" t="s">
        <v>399</v>
      </c>
      <c r="C301" s="66" t="s">
        <v>1297</v>
      </c>
      <c r="D301" s="67">
        <v>3</v>
      </c>
      <c r="E301" s="68"/>
      <c r="F301" s="69">
        <v>70</v>
      </c>
      <c r="G301" s="66"/>
      <c r="H301" s="70"/>
      <c r="I301" s="71"/>
      <c r="J301" s="71"/>
      <c r="K301" s="35" t="s">
        <v>65</v>
      </c>
      <c r="L301" s="79">
        <v>301</v>
      </c>
      <c r="M301" s="79"/>
      <c r="N301" s="73"/>
      <c r="O301" s="81" t="s">
        <v>444</v>
      </c>
      <c r="P301" s="81">
        <v>1</v>
      </c>
      <c r="Q301" s="81" t="s">
        <v>445</v>
      </c>
      <c r="R301" s="81" t="s">
        <v>481</v>
      </c>
      <c r="S301" s="81">
        <v>114804</v>
      </c>
      <c r="T301" s="80" t="str">
        <f>REPLACE(INDEX(GroupVertices[Group],MATCH(Edges[[#This Row],[Vertex 1]],GroupVertices[Vertex],0)),1,1,"")</f>
        <v>2</v>
      </c>
      <c r="U301" s="80" t="str">
        <f>REPLACE(INDEX(GroupVertices[Group],MATCH(Edges[[#This Row],[Vertex 2]],GroupVertices[Vertex],0)),1,1,"")</f>
        <v>3</v>
      </c>
      <c r="V301" s="49">
        <v>0</v>
      </c>
      <c r="W301" s="50">
        <v>0</v>
      </c>
      <c r="X301" s="49">
        <v>0</v>
      </c>
      <c r="Y301" s="50">
        <v>0</v>
      </c>
      <c r="Z301" s="49">
        <v>0</v>
      </c>
      <c r="AA301" s="50">
        <v>0</v>
      </c>
      <c r="AB301" s="49">
        <v>11</v>
      </c>
      <c r="AC301" s="50">
        <v>100</v>
      </c>
      <c r="AD301" s="49">
        <v>11</v>
      </c>
    </row>
    <row r="302" spans="1:30" ht="15">
      <c r="A302" s="65" t="s">
        <v>399</v>
      </c>
      <c r="B302" s="65" t="s">
        <v>335</v>
      </c>
      <c r="C302" s="66" t="s">
        <v>1298</v>
      </c>
      <c r="D302" s="67">
        <v>10</v>
      </c>
      <c r="E302" s="68"/>
      <c r="F302" s="69">
        <v>40</v>
      </c>
      <c r="G302" s="66"/>
      <c r="H302" s="70"/>
      <c r="I302" s="71"/>
      <c r="J302" s="71"/>
      <c r="K302" s="35" t="s">
        <v>66</v>
      </c>
      <c r="L302" s="79">
        <v>302</v>
      </c>
      <c r="M302" s="79"/>
      <c r="N302" s="73"/>
      <c r="O302" s="81" t="s">
        <v>444</v>
      </c>
      <c r="P302" s="81">
        <v>3</v>
      </c>
      <c r="Q302" s="81" t="s">
        <v>445</v>
      </c>
      <c r="R302" s="81" t="s">
        <v>630</v>
      </c>
      <c r="S302" s="81">
        <v>73101</v>
      </c>
      <c r="T302" s="80" t="str">
        <f>REPLACE(INDEX(GroupVertices[Group],MATCH(Edges[[#This Row],[Vertex 1]],GroupVertices[Vertex],0)),1,1,"")</f>
        <v>3</v>
      </c>
      <c r="U302" s="80" t="str">
        <f>REPLACE(INDEX(GroupVertices[Group],MATCH(Edges[[#This Row],[Vertex 2]],GroupVertices[Vertex],0)),1,1,"")</f>
        <v>1</v>
      </c>
      <c r="V302" s="49">
        <v>0</v>
      </c>
      <c r="W302" s="50">
        <v>0</v>
      </c>
      <c r="X302" s="49">
        <v>1</v>
      </c>
      <c r="Y302" s="50">
        <v>50</v>
      </c>
      <c r="Z302" s="49">
        <v>0</v>
      </c>
      <c r="AA302" s="50">
        <v>0</v>
      </c>
      <c r="AB302" s="49">
        <v>1</v>
      </c>
      <c r="AC302" s="50">
        <v>50</v>
      </c>
      <c r="AD302" s="49">
        <v>2</v>
      </c>
    </row>
    <row r="303" spans="1:30" ht="15">
      <c r="A303" s="65" t="s">
        <v>335</v>
      </c>
      <c r="B303" s="65" t="s">
        <v>399</v>
      </c>
      <c r="C303" s="66" t="s">
        <v>1298</v>
      </c>
      <c r="D303" s="67">
        <v>10</v>
      </c>
      <c r="E303" s="68"/>
      <c r="F303" s="69">
        <v>40</v>
      </c>
      <c r="G303" s="66"/>
      <c r="H303" s="70"/>
      <c r="I303" s="71"/>
      <c r="J303" s="71"/>
      <c r="K303" s="35" t="s">
        <v>66</v>
      </c>
      <c r="L303" s="79">
        <v>303</v>
      </c>
      <c r="M303" s="79"/>
      <c r="N303" s="73"/>
      <c r="O303" s="81" t="s">
        <v>444</v>
      </c>
      <c r="P303" s="81">
        <v>4</v>
      </c>
      <c r="Q303" s="81" t="s">
        <v>445</v>
      </c>
      <c r="R303" s="81" t="s">
        <v>631</v>
      </c>
      <c r="S303" s="81">
        <v>73460</v>
      </c>
      <c r="T303" s="80" t="str">
        <f>REPLACE(INDEX(GroupVertices[Group],MATCH(Edges[[#This Row],[Vertex 1]],GroupVertices[Vertex],0)),1,1,"")</f>
        <v>1</v>
      </c>
      <c r="U303" s="80" t="str">
        <f>REPLACE(INDEX(GroupVertices[Group],MATCH(Edges[[#This Row],[Vertex 2]],GroupVertices[Vertex],0)),1,1,"")</f>
        <v>3</v>
      </c>
      <c r="V303" s="49">
        <v>0</v>
      </c>
      <c r="W303" s="50">
        <v>0</v>
      </c>
      <c r="X303" s="49">
        <v>1</v>
      </c>
      <c r="Y303" s="50">
        <v>100</v>
      </c>
      <c r="Z303" s="49">
        <v>0</v>
      </c>
      <c r="AA303" s="50">
        <v>0</v>
      </c>
      <c r="AB303" s="49">
        <v>0</v>
      </c>
      <c r="AC303" s="50">
        <v>0</v>
      </c>
      <c r="AD303" s="49">
        <v>1</v>
      </c>
    </row>
    <row r="304" spans="1:30" ht="15">
      <c r="A304" s="65" t="s">
        <v>434</v>
      </c>
      <c r="B304" s="65" t="s">
        <v>335</v>
      </c>
      <c r="C304" s="66" t="s">
        <v>1297</v>
      </c>
      <c r="D304" s="67">
        <v>3</v>
      </c>
      <c r="E304" s="68"/>
      <c r="F304" s="69">
        <v>70</v>
      </c>
      <c r="G304" s="66"/>
      <c r="H304" s="70"/>
      <c r="I304" s="71"/>
      <c r="J304" s="71"/>
      <c r="K304" s="35" t="s">
        <v>65</v>
      </c>
      <c r="L304" s="79">
        <v>304</v>
      </c>
      <c r="M304" s="79"/>
      <c r="N304" s="73"/>
      <c r="O304" s="81" t="s">
        <v>444</v>
      </c>
      <c r="P304" s="81">
        <v>1</v>
      </c>
      <c r="Q304" s="81" t="s">
        <v>445</v>
      </c>
      <c r="R304" s="81" t="s">
        <v>631</v>
      </c>
      <c r="S304" s="81">
        <v>73822</v>
      </c>
      <c r="T304" s="80" t="str">
        <f>REPLACE(INDEX(GroupVertices[Group],MATCH(Edges[[#This Row],[Vertex 1]],GroupVertices[Vertex],0)),1,1,"")</f>
        <v>6</v>
      </c>
      <c r="U304" s="80" t="str">
        <f>REPLACE(INDEX(GroupVertices[Group],MATCH(Edges[[#This Row],[Vertex 2]],GroupVertices[Vertex],0)),1,1,"")</f>
        <v>1</v>
      </c>
      <c r="V304" s="49">
        <v>0</v>
      </c>
      <c r="W304" s="50">
        <v>0</v>
      </c>
      <c r="X304" s="49">
        <v>1</v>
      </c>
      <c r="Y304" s="50">
        <v>100</v>
      </c>
      <c r="Z304" s="49">
        <v>0</v>
      </c>
      <c r="AA304" s="50">
        <v>0</v>
      </c>
      <c r="AB304" s="49">
        <v>0</v>
      </c>
      <c r="AC304" s="50">
        <v>0</v>
      </c>
      <c r="AD304" s="49">
        <v>1</v>
      </c>
    </row>
    <row r="305" spans="1:30" ht="15">
      <c r="A305" s="65" t="s">
        <v>435</v>
      </c>
      <c r="B305" s="65" t="s">
        <v>434</v>
      </c>
      <c r="C305" s="66" t="s">
        <v>1297</v>
      </c>
      <c r="D305" s="67">
        <v>3</v>
      </c>
      <c r="E305" s="68"/>
      <c r="F305" s="69">
        <v>70</v>
      </c>
      <c r="G305" s="66"/>
      <c r="H305" s="70"/>
      <c r="I305" s="71"/>
      <c r="J305" s="71"/>
      <c r="K305" s="35" t="s">
        <v>65</v>
      </c>
      <c r="L305" s="79">
        <v>305</v>
      </c>
      <c r="M305" s="79"/>
      <c r="N305" s="73"/>
      <c r="O305" s="81" t="s">
        <v>444</v>
      </c>
      <c r="P305" s="81">
        <v>1</v>
      </c>
      <c r="Q305" s="81" t="s">
        <v>445</v>
      </c>
      <c r="R305" s="81" t="s">
        <v>632</v>
      </c>
      <c r="S305" s="81">
        <v>74393</v>
      </c>
      <c r="T305" s="80" t="str">
        <f>REPLACE(INDEX(GroupVertices[Group],MATCH(Edges[[#This Row],[Vertex 1]],GroupVertices[Vertex],0)),1,1,"")</f>
        <v>6</v>
      </c>
      <c r="U305" s="80" t="str">
        <f>REPLACE(INDEX(GroupVertices[Group],MATCH(Edges[[#This Row],[Vertex 2]],GroupVertices[Vertex],0)),1,1,"")</f>
        <v>6</v>
      </c>
      <c r="V305" s="49">
        <v>1</v>
      </c>
      <c r="W305" s="50">
        <v>14.285714285714286</v>
      </c>
      <c r="X305" s="49">
        <v>0</v>
      </c>
      <c r="Y305" s="50">
        <v>0</v>
      </c>
      <c r="Z305" s="49">
        <v>0</v>
      </c>
      <c r="AA305" s="50">
        <v>0</v>
      </c>
      <c r="AB305" s="49">
        <v>6</v>
      </c>
      <c r="AC305" s="50">
        <v>85.71428571428571</v>
      </c>
      <c r="AD305" s="49">
        <v>7</v>
      </c>
    </row>
    <row r="306" spans="1:30" ht="15">
      <c r="A306" s="65" t="s">
        <v>436</v>
      </c>
      <c r="B306" s="65" t="s">
        <v>435</v>
      </c>
      <c r="C306" s="66" t="s">
        <v>1297</v>
      </c>
      <c r="D306" s="67">
        <v>3</v>
      </c>
      <c r="E306" s="68"/>
      <c r="F306" s="69">
        <v>70</v>
      </c>
      <c r="G306" s="66"/>
      <c r="H306" s="70"/>
      <c r="I306" s="71"/>
      <c r="J306" s="71"/>
      <c r="K306" s="35" t="s">
        <v>65</v>
      </c>
      <c r="L306" s="79">
        <v>306</v>
      </c>
      <c r="M306" s="79"/>
      <c r="N306" s="73"/>
      <c r="O306" s="81" t="s">
        <v>444</v>
      </c>
      <c r="P306" s="81">
        <v>1</v>
      </c>
      <c r="Q306" s="81" t="s">
        <v>445</v>
      </c>
      <c r="R306" s="81"/>
      <c r="S306" s="81">
        <v>74323</v>
      </c>
      <c r="T306" s="80" t="str">
        <f>REPLACE(INDEX(GroupVertices[Group],MATCH(Edges[[#This Row],[Vertex 1]],GroupVertices[Vertex],0)),1,1,"")</f>
        <v>6</v>
      </c>
      <c r="U306" s="80" t="str">
        <f>REPLACE(INDEX(GroupVertices[Group],MATCH(Edges[[#This Row],[Vertex 2]],GroupVertices[Vertex],0)),1,1,"")</f>
        <v>6</v>
      </c>
      <c r="V306" s="49"/>
      <c r="W306" s="50"/>
      <c r="X306" s="49"/>
      <c r="Y306" s="50"/>
      <c r="Z306" s="49"/>
      <c r="AA306" s="50"/>
      <c r="AB306" s="49"/>
      <c r="AC306" s="50"/>
      <c r="AD306" s="49"/>
    </row>
    <row r="307" spans="1:30" ht="15">
      <c r="A307" s="65" t="s">
        <v>405</v>
      </c>
      <c r="B307" s="65" t="s">
        <v>436</v>
      </c>
      <c r="C307" s="66" t="s">
        <v>1297</v>
      </c>
      <c r="D307" s="67">
        <v>3</v>
      </c>
      <c r="E307" s="68"/>
      <c r="F307" s="69">
        <v>70</v>
      </c>
      <c r="G307" s="66"/>
      <c r="H307" s="70"/>
      <c r="I307" s="71"/>
      <c r="J307" s="71"/>
      <c r="K307" s="35" t="s">
        <v>65</v>
      </c>
      <c r="L307" s="79">
        <v>307</v>
      </c>
      <c r="M307" s="79"/>
      <c r="N307" s="73"/>
      <c r="O307" s="81" t="s">
        <v>444</v>
      </c>
      <c r="P307" s="81">
        <v>1</v>
      </c>
      <c r="Q307" s="81" t="s">
        <v>445</v>
      </c>
      <c r="R307" s="81" t="s">
        <v>633</v>
      </c>
      <c r="S307" s="81">
        <v>74394</v>
      </c>
      <c r="T307" s="80" t="str">
        <f>REPLACE(INDEX(GroupVertices[Group],MATCH(Edges[[#This Row],[Vertex 1]],GroupVertices[Vertex],0)),1,1,"")</f>
        <v>6</v>
      </c>
      <c r="U307" s="80" t="str">
        <f>REPLACE(INDEX(GroupVertices[Group],MATCH(Edges[[#This Row],[Vertex 2]],GroupVertices[Vertex],0)),1,1,"")</f>
        <v>6</v>
      </c>
      <c r="V307" s="49">
        <v>0</v>
      </c>
      <c r="W307" s="50">
        <v>0</v>
      </c>
      <c r="X307" s="49">
        <v>0</v>
      </c>
      <c r="Y307" s="50">
        <v>0</v>
      </c>
      <c r="Z307" s="49">
        <v>0</v>
      </c>
      <c r="AA307" s="50">
        <v>0</v>
      </c>
      <c r="AB307" s="49">
        <v>41</v>
      </c>
      <c r="AC307" s="50">
        <v>100</v>
      </c>
      <c r="AD307" s="49">
        <v>41</v>
      </c>
    </row>
    <row r="308" spans="1:30" ht="15">
      <c r="A308" s="65" t="s">
        <v>405</v>
      </c>
      <c r="B308" s="65" t="s">
        <v>335</v>
      </c>
      <c r="C308" s="66" t="s">
        <v>1297</v>
      </c>
      <c r="D308" s="67">
        <v>3</v>
      </c>
      <c r="E308" s="68"/>
      <c r="F308" s="69">
        <v>70</v>
      </c>
      <c r="G308" s="66"/>
      <c r="H308" s="70"/>
      <c r="I308" s="71"/>
      <c r="J308" s="71"/>
      <c r="K308" s="35" t="s">
        <v>66</v>
      </c>
      <c r="L308" s="79">
        <v>308</v>
      </c>
      <c r="M308" s="79"/>
      <c r="N308" s="73"/>
      <c r="O308" s="81" t="s">
        <v>444</v>
      </c>
      <c r="P308" s="81">
        <v>1</v>
      </c>
      <c r="Q308" s="81" t="s">
        <v>445</v>
      </c>
      <c r="R308" s="81" t="s">
        <v>634</v>
      </c>
      <c r="S308" s="81">
        <v>76336</v>
      </c>
      <c r="T308" s="80" t="str">
        <f>REPLACE(INDEX(GroupVertices[Group],MATCH(Edges[[#This Row],[Vertex 1]],GroupVertices[Vertex],0)),1,1,"")</f>
        <v>6</v>
      </c>
      <c r="U308" s="80" t="str">
        <f>REPLACE(INDEX(GroupVertices[Group],MATCH(Edges[[#This Row],[Vertex 2]],GroupVertices[Vertex],0)),1,1,"")</f>
        <v>1</v>
      </c>
      <c r="V308" s="49">
        <v>0</v>
      </c>
      <c r="W308" s="50">
        <v>0</v>
      </c>
      <c r="X308" s="49">
        <v>0</v>
      </c>
      <c r="Y308" s="50">
        <v>0</v>
      </c>
      <c r="Z308" s="49">
        <v>0</v>
      </c>
      <c r="AA308" s="50">
        <v>0</v>
      </c>
      <c r="AB308" s="49">
        <v>4</v>
      </c>
      <c r="AC308" s="50">
        <v>100</v>
      </c>
      <c r="AD308" s="49">
        <v>4</v>
      </c>
    </row>
    <row r="309" spans="1:30" ht="15">
      <c r="A309" s="65" t="s">
        <v>329</v>
      </c>
      <c r="B309" s="65" t="s">
        <v>405</v>
      </c>
      <c r="C309" s="66" t="s">
        <v>1297</v>
      </c>
      <c r="D309" s="67">
        <v>3</v>
      </c>
      <c r="E309" s="68"/>
      <c r="F309" s="69">
        <v>70</v>
      </c>
      <c r="G309" s="66"/>
      <c r="H309" s="70"/>
      <c r="I309" s="71"/>
      <c r="J309" s="71"/>
      <c r="K309" s="35" t="s">
        <v>65</v>
      </c>
      <c r="L309" s="79">
        <v>309</v>
      </c>
      <c r="M309" s="79"/>
      <c r="N309" s="73"/>
      <c r="O309" s="81" t="s">
        <v>444</v>
      </c>
      <c r="P309" s="81">
        <v>1</v>
      </c>
      <c r="Q309" s="81" t="s">
        <v>445</v>
      </c>
      <c r="R309" s="81" t="s">
        <v>635</v>
      </c>
      <c r="S309" s="81">
        <v>76767</v>
      </c>
      <c r="T309" s="80" t="str">
        <f>REPLACE(INDEX(GroupVertices[Group],MATCH(Edges[[#This Row],[Vertex 1]],GroupVertices[Vertex],0)),1,1,"")</f>
        <v>4</v>
      </c>
      <c r="U309" s="80" t="str">
        <f>REPLACE(INDEX(GroupVertices[Group],MATCH(Edges[[#This Row],[Vertex 2]],GroupVertices[Vertex],0)),1,1,"")</f>
        <v>6</v>
      </c>
      <c r="V309" s="49">
        <v>0</v>
      </c>
      <c r="W309" s="50">
        <v>0</v>
      </c>
      <c r="X309" s="49">
        <v>0</v>
      </c>
      <c r="Y309" s="50">
        <v>0</v>
      </c>
      <c r="Z309" s="49">
        <v>0</v>
      </c>
      <c r="AA309" s="50">
        <v>0</v>
      </c>
      <c r="AB309" s="49">
        <v>15</v>
      </c>
      <c r="AC309" s="50">
        <v>100</v>
      </c>
      <c r="AD309" s="49">
        <v>15</v>
      </c>
    </row>
    <row r="310" spans="1:30" ht="15">
      <c r="A310" s="65" t="s">
        <v>335</v>
      </c>
      <c r="B310" s="65" t="s">
        <v>405</v>
      </c>
      <c r="C310" s="66" t="s">
        <v>1297</v>
      </c>
      <c r="D310" s="67">
        <v>3</v>
      </c>
      <c r="E310" s="68"/>
      <c r="F310" s="69">
        <v>70</v>
      </c>
      <c r="G310" s="66"/>
      <c r="H310" s="70"/>
      <c r="I310" s="71"/>
      <c r="J310" s="71"/>
      <c r="K310" s="35" t="s">
        <v>66</v>
      </c>
      <c r="L310" s="79">
        <v>310</v>
      </c>
      <c r="M310" s="79"/>
      <c r="N310" s="73"/>
      <c r="O310" s="81" t="s">
        <v>444</v>
      </c>
      <c r="P310" s="81">
        <v>1</v>
      </c>
      <c r="Q310" s="81" t="s">
        <v>445</v>
      </c>
      <c r="R310" s="81" t="s">
        <v>563</v>
      </c>
      <c r="S310" s="81">
        <v>78409</v>
      </c>
      <c r="T310" s="80" t="str">
        <f>REPLACE(INDEX(GroupVertices[Group],MATCH(Edges[[#This Row],[Vertex 1]],GroupVertices[Vertex],0)),1,1,"")</f>
        <v>1</v>
      </c>
      <c r="U310" s="80" t="str">
        <f>REPLACE(INDEX(GroupVertices[Group],MATCH(Edges[[#This Row],[Vertex 2]],GroupVertices[Vertex],0)),1,1,"")</f>
        <v>6</v>
      </c>
      <c r="V310" s="49">
        <v>0</v>
      </c>
      <c r="W310" s="50">
        <v>0</v>
      </c>
      <c r="X310" s="49">
        <v>1</v>
      </c>
      <c r="Y310" s="50">
        <v>50</v>
      </c>
      <c r="Z310" s="49">
        <v>0</v>
      </c>
      <c r="AA310" s="50">
        <v>0</v>
      </c>
      <c r="AB310" s="49">
        <v>1</v>
      </c>
      <c r="AC310" s="50">
        <v>50</v>
      </c>
      <c r="AD310" s="49">
        <v>2</v>
      </c>
    </row>
    <row r="311" spans="1:30" ht="15">
      <c r="A311" s="65" t="s">
        <v>413</v>
      </c>
      <c r="B311" s="65" t="s">
        <v>405</v>
      </c>
      <c r="C311" s="66" t="s">
        <v>1297</v>
      </c>
      <c r="D311" s="67">
        <v>3</v>
      </c>
      <c r="E311" s="68"/>
      <c r="F311" s="69">
        <v>70</v>
      </c>
      <c r="G311" s="66"/>
      <c r="H311" s="70"/>
      <c r="I311" s="71"/>
      <c r="J311" s="71"/>
      <c r="K311" s="35" t="s">
        <v>65</v>
      </c>
      <c r="L311" s="79">
        <v>311</v>
      </c>
      <c r="M311" s="79"/>
      <c r="N311" s="73"/>
      <c r="O311" s="81" t="s">
        <v>444</v>
      </c>
      <c r="P311" s="81">
        <v>1</v>
      </c>
      <c r="Q311" s="81" t="s">
        <v>445</v>
      </c>
      <c r="R311" s="81" t="s">
        <v>593</v>
      </c>
      <c r="S311" s="81">
        <v>75255</v>
      </c>
      <c r="T311" s="80" t="str">
        <f>REPLACE(INDEX(GroupVertices[Group],MATCH(Edges[[#This Row],[Vertex 1]],GroupVertices[Vertex],0)),1,1,"")</f>
        <v>7</v>
      </c>
      <c r="U311" s="80" t="str">
        <f>REPLACE(INDEX(GroupVertices[Group],MATCH(Edges[[#This Row],[Vertex 2]],GroupVertices[Vertex],0)),1,1,"")</f>
        <v>6</v>
      </c>
      <c r="V311" s="49">
        <v>0</v>
      </c>
      <c r="W311" s="50">
        <v>0</v>
      </c>
      <c r="X311" s="49">
        <v>0</v>
      </c>
      <c r="Y311" s="50">
        <v>0</v>
      </c>
      <c r="Z311" s="49">
        <v>0</v>
      </c>
      <c r="AA311" s="50">
        <v>0</v>
      </c>
      <c r="AB311" s="49">
        <v>2</v>
      </c>
      <c r="AC311" s="50">
        <v>100</v>
      </c>
      <c r="AD311" s="49">
        <v>2</v>
      </c>
    </row>
    <row r="312" spans="1:30" ht="15">
      <c r="A312" s="65" t="s">
        <v>413</v>
      </c>
      <c r="B312" s="65" t="s">
        <v>413</v>
      </c>
      <c r="C312" s="66" t="s">
        <v>1298</v>
      </c>
      <c r="D312" s="67">
        <v>10</v>
      </c>
      <c r="E312" s="68"/>
      <c r="F312" s="69">
        <v>40</v>
      </c>
      <c r="G312" s="66"/>
      <c r="H312" s="70"/>
      <c r="I312" s="71"/>
      <c r="J312" s="71"/>
      <c r="K312" s="35" t="s">
        <v>65</v>
      </c>
      <c r="L312" s="79">
        <v>312</v>
      </c>
      <c r="M312" s="79"/>
      <c r="N312" s="73"/>
      <c r="O312" s="81" t="s">
        <v>444</v>
      </c>
      <c r="P312" s="81">
        <v>5</v>
      </c>
      <c r="Q312" s="81" t="s">
        <v>445</v>
      </c>
      <c r="R312" s="81" t="s">
        <v>593</v>
      </c>
      <c r="S312" s="81">
        <v>75398</v>
      </c>
      <c r="T312" s="80" t="str">
        <f>REPLACE(INDEX(GroupVertices[Group],MATCH(Edges[[#This Row],[Vertex 1]],GroupVertices[Vertex],0)),1,1,"")</f>
        <v>7</v>
      </c>
      <c r="U312" s="80" t="str">
        <f>REPLACE(INDEX(GroupVertices[Group],MATCH(Edges[[#This Row],[Vertex 2]],GroupVertices[Vertex],0)),1,1,"")</f>
        <v>7</v>
      </c>
      <c r="V312" s="49">
        <v>0</v>
      </c>
      <c r="W312" s="50">
        <v>0</v>
      </c>
      <c r="X312" s="49">
        <v>0</v>
      </c>
      <c r="Y312" s="50">
        <v>0</v>
      </c>
      <c r="Z312" s="49">
        <v>0</v>
      </c>
      <c r="AA312" s="50">
        <v>0</v>
      </c>
      <c r="AB312" s="49">
        <v>2</v>
      </c>
      <c r="AC312" s="50">
        <v>100</v>
      </c>
      <c r="AD312" s="49">
        <v>2</v>
      </c>
    </row>
    <row r="313" spans="1:30" ht="15">
      <c r="A313" s="65" t="s">
        <v>356</v>
      </c>
      <c r="B313" s="65" t="s">
        <v>413</v>
      </c>
      <c r="C313" s="66" t="s">
        <v>1297</v>
      </c>
      <c r="D313" s="67">
        <v>3</v>
      </c>
      <c r="E313" s="68"/>
      <c r="F313" s="69">
        <v>70</v>
      </c>
      <c r="G313" s="66"/>
      <c r="H313" s="70"/>
      <c r="I313" s="71"/>
      <c r="J313" s="71"/>
      <c r="K313" s="35" t="s">
        <v>65</v>
      </c>
      <c r="L313" s="79">
        <v>313</v>
      </c>
      <c r="M313" s="79"/>
      <c r="N313" s="73"/>
      <c r="O313" s="81" t="s">
        <v>444</v>
      </c>
      <c r="P313" s="81">
        <v>1</v>
      </c>
      <c r="Q313" s="81" t="s">
        <v>445</v>
      </c>
      <c r="R313" s="81" t="s">
        <v>636</v>
      </c>
      <c r="S313" s="81">
        <v>75654</v>
      </c>
      <c r="T313" s="80" t="str">
        <f>REPLACE(INDEX(GroupVertices[Group],MATCH(Edges[[#This Row],[Vertex 1]],GroupVertices[Vertex],0)),1,1,"")</f>
        <v>2</v>
      </c>
      <c r="U313" s="80" t="str">
        <f>REPLACE(INDEX(GroupVertices[Group],MATCH(Edges[[#This Row],[Vertex 2]],GroupVertices[Vertex],0)),1,1,"")</f>
        <v>7</v>
      </c>
      <c r="V313" s="49">
        <v>1</v>
      </c>
      <c r="W313" s="50">
        <v>10</v>
      </c>
      <c r="X313" s="49">
        <v>1</v>
      </c>
      <c r="Y313" s="50">
        <v>10</v>
      </c>
      <c r="Z313" s="49">
        <v>0</v>
      </c>
      <c r="AA313" s="50">
        <v>0</v>
      </c>
      <c r="AB313" s="49">
        <v>8</v>
      </c>
      <c r="AC313" s="50">
        <v>80</v>
      </c>
      <c r="AD313" s="49">
        <v>10</v>
      </c>
    </row>
    <row r="314" spans="1:30" ht="15">
      <c r="A314" s="65" t="s">
        <v>356</v>
      </c>
      <c r="B314" s="65" t="s">
        <v>354</v>
      </c>
      <c r="C314" s="66" t="s">
        <v>1297</v>
      </c>
      <c r="D314" s="67">
        <v>3</v>
      </c>
      <c r="E314" s="68"/>
      <c r="F314" s="69">
        <v>70</v>
      </c>
      <c r="G314" s="66"/>
      <c r="H314" s="70"/>
      <c r="I314" s="71"/>
      <c r="J314" s="71"/>
      <c r="K314" s="35" t="s">
        <v>65</v>
      </c>
      <c r="L314" s="79">
        <v>314</v>
      </c>
      <c r="M314" s="79"/>
      <c r="N314" s="73"/>
      <c r="O314" s="81" t="s">
        <v>444</v>
      </c>
      <c r="P314" s="81">
        <v>1</v>
      </c>
      <c r="Q314" s="81" t="s">
        <v>445</v>
      </c>
      <c r="R314" s="81" t="s">
        <v>637</v>
      </c>
      <c r="S314" s="81">
        <v>192682</v>
      </c>
      <c r="T314" s="80" t="str">
        <f>REPLACE(INDEX(GroupVertices[Group],MATCH(Edges[[#This Row],[Vertex 1]],GroupVertices[Vertex],0)),1,1,"")</f>
        <v>2</v>
      </c>
      <c r="U314" s="80" t="str">
        <f>REPLACE(INDEX(GroupVertices[Group],MATCH(Edges[[#This Row],[Vertex 2]],GroupVertices[Vertex],0)),1,1,"")</f>
        <v>2</v>
      </c>
      <c r="V314" s="49">
        <v>1</v>
      </c>
      <c r="W314" s="50">
        <v>9.090909090909092</v>
      </c>
      <c r="X314" s="49">
        <v>1</v>
      </c>
      <c r="Y314" s="50">
        <v>9.090909090909092</v>
      </c>
      <c r="Z314" s="49">
        <v>0</v>
      </c>
      <c r="AA314" s="50">
        <v>0</v>
      </c>
      <c r="AB314" s="49">
        <v>9</v>
      </c>
      <c r="AC314" s="50">
        <v>81.81818181818181</v>
      </c>
      <c r="AD314" s="49">
        <v>11</v>
      </c>
    </row>
    <row r="315" spans="1:30" ht="15">
      <c r="A315" s="65" t="s">
        <v>356</v>
      </c>
      <c r="B315" s="65" t="s">
        <v>341</v>
      </c>
      <c r="C315" s="66" t="s">
        <v>1297</v>
      </c>
      <c r="D315" s="67">
        <v>3</v>
      </c>
      <c r="E315" s="68"/>
      <c r="F315" s="69">
        <v>70</v>
      </c>
      <c r="G315" s="66"/>
      <c r="H315" s="70"/>
      <c r="I315" s="71"/>
      <c r="J315" s="71"/>
      <c r="K315" s="35" t="s">
        <v>66</v>
      </c>
      <c r="L315" s="79">
        <v>315</v>
      </c>
      <c r="M315" s="79"/>
      <c r="N315" s="73"/>
      <c r="O315" s="81" t="s">
        <v>444</v>
      </c>
      <c r="P315" s="81">
        <v>1</v>
      </c>
      <c r="Q315" s="81" t="s">
        <v>445</v>
      </c>
      <c r="R315" s="81" t="s">
        <v>638</v>
      </c>
      <c r="S315" s="81">
        <v>194927</v>
      </c>
      <c r="T315" s="80" t="str">
        <f>REPLACE(INDEX(GroupVertices[Group],MATCH(Edges[[#This Row],[Vertex 1]],GroupVertices[Vertex],0)),1,1,"")</f>
        <v>2</v>
      </c>
      <c r="U315" s="80" t="str">
        <f>REPLACE(INDEX(GroupVertices[Group],MATCH(Edges[[#This Row],[Vertex 2]],GroupVertices[Vertex],0)),1,1,"")</f>
        <v>2</v>
      </c>
      <c r="V315" s="49">
        <v>1</v>
      </c>
      <c r="W315" s="50">
        <v>9.090909090909092</v>
      </c>
      <c r="X315" s="49">
        <v>1</v>
      </c>
      <c r="Y315" s="50">
        <v>9.090909090909092</v>
      </c>
      <c r="Z315" s="49">
        <v>0</v>
      </c>
      <c r="AA315" s="50">
        <v>0</v>
      </c>
      <c r="AB315" s="49">
        <v>9</v>
      </c>
      <c r="AC315" s="50">
        <v>81.81818181818181</v>
      </c>
      <c r="AD315" s="49">
        <v>11</v>
      </c>
    </row>
    <row r="316" spans="1:30" ht="15">
      <c r="A316" s="65" t="s">
        <v>341</v>
      </c>
      <c r="B316" s="65" t="s">
        <v>356</v>
      </c>
      <c r="C316" s="66" t="s">
        <v>1297</v>
      </c>
      <c r="D316" s="67">
        <v>3</v>
      </c>
      <c r="E316" s="68"/>
      <c r="F316" s="69">
        <v>70</v>
      </c>
      <c r="G316" s="66"/>
      <c r="H316" s="70"/>
      <c r="I316" s="71"/>
      <c r="J316" s="71"/>
      <c r="K316" s="35" t="s">
        <v>66</v>
      </c>
      <c r="L316" s="79">
        <v>316</v>
      </c>
      <c r="M316" s="79"/>
      <c r="N316" s="73"/>
      <c r="O316" s="81" t="s">
        <v>444</v>
      </c>
      <c r="P316" s="81">
        <v>1</v>
      </c>
      <c r="Q316" s="81" t="s">
        <v>445</v>
      </c>
      <c r="R316" s="81" t="s">
        <v>479</v>
      </c>
      <c r="S316" s="81">
        <v>195762</v>
      </c>
      <c r="T316" s="80" t="str">
        <f>REPLACE(INDEX(GroupVertices[Group],MATCH(Edges[[#This Row],[Vertex 1]],GroupVertices[Vertex],0)),1,1,"")</f>
        <v>2</v>
      </c>
      <c r="U316" s="80" t="str">
        <f>REPLACE(INDEX(GroupVertices[Group],MATCH(Edges[[#This Row],[Vertex 2]],GroupVertices[Vertex],0)),1,1,"")</f>
        <v>2</v>
      </c>
      <c r="V316" s="49">
        <v>1</v>
      </c>
      <c r="W316" s="50">
        <v>11.11111111111111</v>
      </c>
      <c r="X316" s="49">
        <v>1</v>
      </c>
      <c r="Y316" s="50">
        <v>11.11111111111111</v>
      </c>
      <c r="Z316" s="49">
        <v>0</v>
      </c>
      <c r="AA316" s="50">
        <v>0</v>
      </c>
      <c r="AB316" s="49">
        <v>7</v>
      </c>
      <c r="AC316" s="50">
        <v>77.77777777777777</v>
      </c>
      <c r="AD316" s="49">
        <v>9</v>
      </c>
    </row>
    <row r="317" spans="1:30" ht="15">
      <c r="A317" s="65" t="s">
        <v>356</v>
      </c>
      <c r="B317" s="65" t="s">
        <v>356</v>
      </c>
      <c r="C317" s="66" t="s">
        <v>1298</v>
      </c>
      <c r="D317" s="67">
        <v>10</v>
      </c>
      <c r="E317" s="68"/>
      <c r="F317" s="69">
        <v>40</v>
      </c>
      <c r="G317" s="66"/>
      <c r="H317" s="70"/>
      <c r="I317" s="71"/>
      <c r="J317" s="71"/>
      <c r="K317" s="35" t="s">
        <v>65</v>
      </c>
      <c r="L317" s="79">
        <v>317</v>
      </c>
      <c r="M317" s="79"/>
      <c r="N317" s="73"/>
      <c r="O317" s="81" t="s">
        <v>444</v>
      </c>
      <c r="P317" s="81">
        <v>6</v>
      </c>
      <c r="Q317" s="81" t="s">
        <v>445</v>
      </c>
      <c r="R317" s="81" t="s">
        <v>639</v>
      </c>
      <c r="S317" s="81">
        <v>76835</v>
      </c>
      <c r="T317" s="80" t="str">
        <f>REPLACE(INDEX(GroupVertices[Group],MATCH(Edges[[#This Row],[Vertex 1]],GroupVertices[Vertex],0)),1,1,"")</f>
        <v>2</v>
      </c>
      <c r="U317" s="80" t="str">
        <f>REPLACE(INDEX(GroupVertices[Group],MATCH(Edges[[#This Row],[Vertex 2]],GroupVertices[Vertex],0)),1,1,"")</f>
        <v>2</v>
      </c>
      <c r="V317" s="49">
        <v>1</v>
      </c>
      <c r="W317" s="50">
        <v>16.666666666666668</v>
      </c>
      <c r="X317" s="49">
        <v>0</v>
      </c>
      <c r="Y317" s="50">
        <v>0</v>
      </c>
      <c r="Z317" s="49">
        <v>0</v>
      </c>
      <c r="AA317" s="50">
        <v>0</v>
      </c>
      <c r="AB317" s="49">
        <v>5</v>
      </c>
      <c r="AC317" s="50">
        <v>83.33333333333333</v>
      </c>
      <c r="AD317" s="49">
        <v>6</v>
      </c>
    </row>
    <row r="318" spans="1:30" ht="15">
      <c r="A318" s="65" t="s">
        <v>437</v>
      </c>
      <c r="B318" s="65" t="s">
        <v>356</v>
      </c>
      <c r="C318" s="66" t="s">
        <v>1297</v>
      </c>
      <c r="D318" s="67">
        <v>3</v>
      </c>
      <c r="E318" s="68"/>
      <c r="F318" s="69">
        <v>70</v>
      </c>
      <c r="G318" s="66"/>
      <c r="H318" s="70"/>
      <c r="I318" s="71"/>
      <c r="J318" s="71"/>
      <c r="K318" s="35" t="s">
        <v>65</v>
      </c>
      <c r="L318" s="79">
        <v>318</v>
      </c>
      <c r="M318" s="79"/>
      <c r="N318" s="73"/>
      <c r="O318" s="81" t="s">
        <v>444</v>
      </c>
      <c r="P318" s="81">
        <v>1</v>
      </c>
      <c r="Q318" s="81" t="s">
        <v>445</v>
      </c>
      <c r="R318" s="81"/>
      <c r="S318" s="81">
        <v>77643</v>
      </c>
      <c r="T318" s="80" t="str">
        <f>REPLACE(INDEX(GroupVertices[Group],MATCH(Edges[[#This Row],[Vertex 1]],GroupVertices[Vertex],0)),1,1,"")</f>
        <v>1</v>
      </c>
      <c r="U318" s="80" t="str">
        <f>REPLACE(INDEX(GroupVertices[Group],MATCH(Edges[[#This Row],[Vertex 2]],GroupVertices[Vertex],0)),1,1,"")</f>
        <v>2</v>
      </c>
      <c r="V318" s="49"/>
      <c r="W318" s="50"/>
      <c r="X318" s="49"/>
      <c r="Y318" s="50"/>
      <c r="Z318" s="49"/>
      <c r="AA318" s="50"/>
      <c r="AB318" s="49"/>
      <c r="AC318" s="50"/>
      <c r="AD318" s="49"/>
    </row>
    <row r="319" spans="1:30" ht="15">
      <c r="A319" s="65" t="s">
        <v>366</v>
      </c>
      <c r="B319" s="65" t="s">
        <v>437</v>
      </c>
      <c r="C319" s="66" t="s">
        <v>1297</v>
      </c>
      <c r="D319" s="67">
        <v>3</v>
      </c>
      <c r="E319" s="68"/>
      <c r="F319" s="69">
        <v>70</v>
      </c>
      <c r="G319" s="66"/>
      <c r="H319" s="70"/>
      <c r="I319" s="71"/>
      <c r="J319" s="71"/>
      <c r="K319" s="35" t="s">
        <v>65</v>
      </c>
      <c r="L319" s="79">
        <v>319</v>
      </c>
      <c r="M319" s="79"/>
      <c r="N319" s="73"/>
      <c r="O319" s="81" t="s">
        <v>444</v>
      </c>
      <c r="P319" s="81">
        <v>1</v>
      </c>
      <c r="Q319" s="81" t="s">
        <v>445</v>
      </c>
      <c r="R319" s="81" t="s">
        <v>640</v>
      </c>
      <c r="S319" s="81">
        <v>77942</v>
      </c>
      <c r="T319" s="80" t="str">
        <f>REPLACE(INDEX(GroupVertices[Group],MATCH(Edges[[#This Row],[Vertex 1]],GroupVertices[Vertex],0)),1,1,"")</f>
        <v>1</v>
      </c>
      <c r="U319" s="80" t="str">
        <f>REPLACE(INDEX(GroupVertices[Group],MATCH(Edges[[#This Row],[Vertex 2]],GroupVertices[Vertex],0)),1,1,"")</f>
        <v>1</v>
      </c>
      <c r="V319" s="49">
        <v>0</v>
      </c>
      <c r="W319" s="50">
        <v>0</v>
      </c>
      <c r="X319" s="49">
        <v>0</v>
      </c>
      <c r="Y319" s="50">
        <v>0</v>
      </c>
      <c r="Z319" s="49">
        <v>0</v>
      </c>
      <c r="AA319" s="50">
        <v>0</v>
      </c>
      <c r="AB319" s="49">
        <v>4</v>
      </c>
      <c r="AC319" s="50">
        <v>100</v>
      </c>
      <c r="AD319" s="49">
        <v>4</v>
      </c>
    </row>
    <row r="320" spans="1:30" ht="15">
      <c r="A320" s="65" t="s">
        <v>438</v>
      </c>
      <c r="B320" s="65" t="s">
        <v>366</v>
      </c>
      <c r="C320" s="66" t="s">
        <v>1297</v>
      </c>
      <c r="D320" s="67">
        <v>3</v>
      </c>
      <c r="E320" s="68"/>
      <c r="F320" s="69">
        <v>70</v>
      </c>
      <c r="G320" s="66"/>
      <c r="H320" s="70"/>
      <c r="I320" s="71"/>
      <c r="J320" s="71"/>
      <c r="K320" s="35" t="s">
        <v>65</v>
      </c>
      <c r="L320" s="79">
        <v>320</v>
      </c>
      <c r="M320" s="79"/>
      <c r="N320" s="73"/>
      <c r="O320" s="81" t="s">
        <v>444</v>
      </c>
      <c r="P320" s="81">
        <v>1</v>
      </c>
      <c r="Q320" s="81" t="s">
        <v>445</v>
      </c>
      <c r="R320" s="81"/>
      <c r="S320" s="81">
        <v>77980</v>
      </c>
      <c r="T320" s="80" t="str">
        <f>REPLACE(INDEX(GroupVertices[Group],MATCH(Edges[[#This Row],[Vertex 1]],GroupVertices[Vertex],0)),1,1,"")</f>
        <v>1</v>
      </c>
      <c r="U320" s="80" t="str">
        <f>REPLACE(INDEX(GroupVertices[Group],MATCH(Edges[[#This Row],[Vertex 2]],GroupVertices[Vertex],0)),1,1,"")</f>
        <v>1</v>
      </c>
      <c r="V320" s="49"/>
      <c r="W320" s="50"/>
      <c r="X320" s="49"/>
      <c r="Y320" s="50"/>
      <c r="Z320" s="49"/>
      <c r="AA320" s="50"/>
      <c r="AB320" s="49"/>
      <c r="AC320" s="50"/>
      <c r="AD320" s="49"/>
    </row>
    <row r="321" spans="1:30" ht="15">
      <c r="A321" s="65" t="s">
        <v>439</v>
      </c>
      <c r="B321" s="65" t="s">
        <v>438</v>
      </c>
      <c r="C321" s="66" t="s">
        <v>1297</v>
      </c>
      <c r="D321" s="67">
        <v>3</v>
      </c>
      <c r="E321" s="68"/>
      <c r="F321" s="69">
        <v>70</v>
      </c>
      <c r="G321" s="66"/>
      <c r="H321" s="70"/>
      <c r="I321" s="71"/>
      <c r="J321" s="71"/>
      <c r="K321" s="35" t="s">
        <v>65</v>
      </c>
      <c r="L321" s="79">
        <v>321</v>
      </c>
      <c r="M321" s="79"/>
      <c r="N321" s="73"/>
      <c r="O321" s="81" t="s">
        <v>444</v>
      </c>
      <c r="P321" s="81">
        <v>1</v>
      </c>
      <c r="Q321" s="81" t="s">
        <v>445</v>
      </c>
      <c r="R321" s="81" t="s">
        <v>641</v>
      </c>
      <c r="S321" s="81">
        <v>77942</v>
      </c>
      <c r="T321" s="80" t="str">
        <f>REPLACE(INDEX(GroupVertices[Group],MATCH(Edges[[#This Row],[Vertex 1]],GroupVertices[Vertex],0)),1,1,"")</f>
        <v>1</v>
      </c>
      <c r="U321" s="80" t="str">
        <f>REPLACE(INDEX(GroupVertices[Group],MATCH(Edges[[#This Row],[Vertex 2]],GroupVertices[Vertex],0)),1,1,"")</f>
        <v>1</v>
      </c>
      <c r="V321" s="49">
        <v>0</v>
      </c>
      <c r="W321" s="50">
        <v>0</v>
      </c>
      <c r="X321" s="49">
        <v>0</v>
      </c>
      <c r="Y321" s="50">
        <v>0</v>
      </c>
      <c r="Z321" s="49">
        <v>0</v>
      </c>
      <c r="AA321" s="50">
        <v>0</v>
      </c>
      <c r="AB321" s="49">
        <v>26</v>
      </c>
      <c r="AC321" s="50">
        <v>100</v>
      </c>
      <c r="AD321" s="49">
        <v>26</v>
      </c>
    </row>
    <row r="322" spans="1:30" ht="15">
      <c r="A322" s="65" t="s">
        <v>440</v>
      </c>
      <c r="B322" s="65" t="s">
        <v>439</v>
      </c>
      <c r="C322" s="66" t="s">
        <v>1297</v>
      </c>
      <c r="D322" s="67">
        <v>3</v>
      </c>
      <c r="E322" s="68"/>
      <c r="F322" s="69">
        <v>70</v>
      </c>
      <c r="G322" s="66"/>
      <c r="H322" s="70"/>
      <c r="I322" s="71"/>
      <c r="J322" s="71"/>
      <c r="K322" s="35" t="s">
        <v>65</v>
      </c>
      <c r="L322" s="79">
        <v>322</v>
      </c>
      <c r="M322" s="79"/>
      <c r="N322" s="73"/>
      <c r="O322" s="81" t="s">
        <v>444</v>
      </c>
      <c r="P322" s="81">
        <v>1</v>
      </c>
      <c r="Q322" s="81" t="s">
        <v>445</v>
      </c>
      <c r="R322" s="81" t="s">
        <v>642</v>
      </c>
      <c r="S322" s="81">
        <v>78029</v>
      </c>
      <c r="T322" s="80" t="str">
        <f>REPLACE(INDEX(GroupVertices[Group],MATCH(Edges[[#This Row],[Vertex 1]],GroupVertices[Vertex],0)),1,1,"")</f>
        <v>1</v>
      </c>
      <c r="U322" s="80" t="str">
        <f>REPLACE(INDEX(GroupVertices[Group],MATCH(Edges[[#This Row],[Vertex 2]],GroupVertices[Vertex],0)),1,1,"")</f>
        <v>1</v>
      </c>
      <c r="V322" s="49">
        <v>0</v>
      </c>
      <c r="W322" s="50">
        <v>0</v>
      </c>
      <c r="X322" s="49">
        <v>0</v>
      </c>
      <c r="Y322" s="50">
        <v>0</v>
      </c>
      <c r="Z322" s="49">
        <v>0</v>
      </c>
      <c r="AA322" s="50">
        <v>0</v>
      </c>
      <c r="AB322" s="49">
        <v>11</v>
      </c>
      <c r="AC322" s="50">
        <v>100</v>
      </c>
      <c r="AD322" s="49">
        <v>11</v>
      </c>
    </row>
    <row r="323" spans="1:30" ht="15">
      <c r="A323" s="65" t="s">
        <v>331</v>
      </c>
      <c r="B323" s="65" t="s">
        <v>440</v>
      </c>
      <c r="C323" s="66" t="s">
        <v>1297</v>
      </c>
      <c r="D323" s="67">
        <v>3</v>
      </c>
      <c r="E323" s="68"/>
      <c r="F323" s="69">
        <v>70</v>
      </c>
      <c r="G323" s="66"/>
      <c r="H323" s="70"/>
      <c r="I323" s="71"/>
      <c r="J323" s="71"/>
      <c r="K323" s="35" t="s">
        <v>65</v>
      </c>
      <c r="L323" s="79">
        <v>323</v>
      </c>
      <c r="M323" s="79"/>
      <c r="N323" s="73"/>
      <c r="O323" s="81" t="s">
        <v>444</v>
      </c>
      <c r="P323" s="81">
        <v>1</v>
      </c>
      <c r="Q323" s="81" t="s">
        <v>445</v>
      </c>
      <c r="R323" s="81" t="s">
        <v>643</v>
      </c>
      <c r="S323" s="81">
        <v>78315</v>
      </c>
      <c r="T323" s="80" t="str">
        <f>REPLACE(INDEX(GroupVertices[Group],MATCH(Edges[[#This Row],[Vertex 1]],GroupVertices[Vertex],0)),1,1,"")</f>
        <v>1</v>
      </c>
      <c r="U323" s="80" t="str">
        <f>REPLACE(INDEX(GroupVertices[Group],MATCH(Edges[[#This Row],[Vertex 2]],GroupVertices[Vertex],0)),1,1,"")</f>
        <v>1</v>
      </c>
      <c r="V323" s="49">
        <v>0</v>
      </c>
      <c r="W323" s="50">
        <v>0</v>
      </c>
      <c r="X323" s="49">
        <v>0</v>
      </c>
      <c r="Y323" s="50">
        <v>0</v>
      </c>
      <c r="Z323" s="49">
        <v>0</v>
      </c>
      <c r="AA323" s="50">
        <v>0</v>
      </c>
      <c r="AB323" s="49">
        <v>24</v>
      </c>
      <c r="AC323" s="50">
        <v>100</v>
      </c>
      <c r="AD323" s="49">
        <v>24</v>
      </c>
    </row>
    <row r="324" spans="1:30" ht="15">
      <c r="A324" s="65" t="s">
        <v>441</v>
      </c>
      <c r="B324" s="65" t="s">
        <v>335</v>
      </c>
      <c r="C324" s="66" t="s">
        <v>1297</v>
      </c>
      <c r="D324" s="67">
        <v>3</v>
      </c>
      <c r="E324" s="68"/>
      <c r="F324" s="69">
        <v>70</v>
      </c>
      <c r="G324" s="66"/>
      <c r="H324" s="70"/>
      <c r="I324" s="71"/>
      <c r="J324" s="71"/>
      <c r="K324" s="35" t="s">
        <v>65</v>
      </c>
      <c r="L324" s="79">
        <v>324</v>
      </c>
      <c r="M324" s="79"/>
      <c r="N324" s="73"/>
      <c r="O324" s="81" t="s">
        <v>444</v>
      </c>
      <c r="P324" s="81">
        <v>1</v>
      </c>
      <c r="Q324" s="81" t="s">
        <v>445</v>
      </c>
      <c r="R324" s="81" t="s">
        <v>644</v>
      </c>
      <c r="S324" s="81">
        <v>79064</v>
      </c>
      <c r="T324" s="80" t="str">
        <f>REPLACE(INDEX(GroupVertices[Group],MATCH(Edges[[#This Row],[Vertex 1]],GroupVertices[Vertex],0)),1,1,"")</f>
        <v>1</v>
      </c>
      <c r="U324" s="80" t="str">
        <f>REPLACE(INDEX(GroupVertices[Group],MATCH(Edges[[#This Row],[Vertex 2]],GroupVertices[Vertex],0)),1,1,"")</f>
        <v>1</v>
      </c>
      <c r="V324" s="49">
        <v>0</v>
      </c>
      <c r="W324" s="50">
        <v>0</v>
      </c>
      <c r="X324" s="49">
        <v>1</v>
      </c>
      <c r="Y324" s="50">
        <v>33.333333333333336</v>
      </c>
      <c r="Z324" s="49">
        <v>0</v>
      </c>
      <c r="AA324" s="50">
        <v>0</v>
      </c>
      <c r="AB324" s="49">
        <v>2</v>
      </c>
      <c r="AC324" s="50">
        <v>66.66666666666667</v>
      </c>
      <c r="AD324" s="49">
        <v>3</v>
      </c>
    </row>
    <row r="325" spans="1:30" ht="15">
      <c r="A325" s="65" t="s">
        <v>331</v>
      </c>
      <c r="B325" s="65" t="s">
        <v>441</v>
      </c>
      <c r="C325" s="66" t="s">
        <v>1297</v>
      </c>
      <c r="D325" s="67">
        <v>3</v>
      </c>
      <c r="E325" s="68"/>
      <c r="F325" s="69">
        <v>70</v>
      </c>
      <c r="G325" s="66"/>
      <c r="H325" s="70"/>
      <c r="I325" s="71"/>
      <c r="J325" s="71"/>
      <c r="K325" s="35" t="s">
        <v>65</v>
      </c>
      <c r="L325" s="79">
        <v>325</v>
      </c>
      <c r="M325" s="79"/>
      <c r="N325" s="73"/>
      <c r="O325" s="81" t="s">
        <v>444</v>
      </c>
      <c r="P325" s="81">
        <v>1</v>
      </c>
      <c r="Q325" s="81" t="s">
        <v>445</v>
      </c>
      <c r="R325" s="81" t="s">
        <v>645</v>
      </c>
      <c r="S325" s="81">
        <v>79367</v>
      </c>
      <c r="T325" s="80" t="str">
        <f>REPLACE(INDEX(GroupVertices[Group],MATCH(Edges[[#This Row],[Vertex 1]],GroupVertices[Vertex],0)),1,1,"")</f>
        <v>1</v>
      </c>
      <c r="U325" s="80" t="str">
        <f>REPLACE(INDEX(GroupVertices[Group],MATCH(Edges[[#This Row],[Vertex 2]],GroupVertices[Vertex],0)),1,1,"")</f>
        <v>1</v>
      </c>
      <c r="V325" s="49">
        <v>0</v>
      </c>
      <c r="W325" s="50">
        <v>0</v>
      </c>
      <c r="X325" s="49">
        <v>1</v>
      </c>
      <c r="Y325" s="50">
        <v>11.11111111111111</v>
      </c>
      <c r="Z325" s="49">
        <v>0</v>
      </c>
      <c r="AA325" s="50">
        <v>0</v>
      </c>
      <c r="AB325" s="49">
        <v>8</v>
      </c>
      <c r="AC325" s="50">
        <v>88.88888888888889</v>
      </c>
      <c r="AD325" s="49">
        <v>9</v>
      </c>
    </row>
    <row r="326" spans="1:30" ht="15">
      <c r="A326" s="65" t="s">
        <v>335</v>
      </c>
      <c r="B326" s="65" t="s">
        <v>354</v>
      </c>
      <c r="C326" s="66" t="s">
        <v>1297</v>
      </c>
      <c r="D326" s="67">
        <v>3</v>
      </c>
      <c r="E326" s="68"/>
      <c r="F326" s="69">
        <v>70</v>
      </c>
      <c r="G326" s="66"/>
      <c r="H326" s="70"/>
      <c r="I326" s="71"/>
      <c r="J326" s="71"/>
      <c r="K326" s="35" t="s">
        <v>65</v>
      </c>
      <c r="L326" s="79">
        <v>326</v>
      </c>
      <c r="M326" s="79"/>
      <c r="N326" s="73"/>
      <c r="O326" s="81" t="s">
        <v>444</v>
      </c>
      <c r="P326" s="81">
        <v>1</v>
      </c>
      <c r="Q326" s="81" t="s">
        <v>445</v>
      </c>
      <c r="R326" s="81" t="s">
        <v>573</v>
      </c>
      <c r="S326" s="81">
        <v>74517</v>
      </c>
      <c r="T326" s="80" t="str">
        <f>REPLACE(INDEX(GroupVertices[Group],MATCH(Edges[[#This Row],[Vertex 1]],GroupVertices[Vertex],0)),1,1,"")</f>
        <v>1</v>
      </c>
      <c r="U326" s="80" t="str">
        <f>REPLACE(INDEX(GroupVertices[Group],MATCH(Edges[[#This Row],[Vertex 2]],GroupVertices[Vertex],0)),1,1,"")</f>
        <v>2</v>
      </c>
      <c r="V326" s="49">
        <v>0</v>
      </c>
      <c r="W326" s="50">
        <v>0</v>
      </c>
      <c r="X326" s="49">
        <v>0</v>
      </c>
      <c r="Y326" s="50">
        <v>0</v>
      </c>
      <c r="Z326" s="49">
        <v>0</v>
      </c>
      <c r="AA326" s="50">
        <v>0</v>
      </c>
      <c r="AB326" s="49">
        <v>3</v>
      </c>
      <c r="AC326" s="50">
        <v>100</v>
      </c>
      <c r="AD326" s="49">
        <v>3</v>
      </c>
    </row>
    <row r="327" spans="1:30" ht="15">
      <c r="A327" s="65" t="s">
        <v>354</v>
      </c>
      <c r="B327" s="65" t="s">
        <v>341</v>
      </c>
      <c r="C327" s="66" t="s">
        <v>1297</v>
      </c>
      <c r="D327" s="67">
        <v>3</v>
      </c>
      <c r="E327" s="68"/>
      <c r="F327" s="69">
        <v>70</v>
      </c>
      <c r="G327" s="66"/>
      <c r="H327" s="70"/>
      <c r="I327" s="71"/>
      <c r="J327" s="71"/>
      <c r="K327" s="35" t="s">
        <v>65</v>
      </c>
      <c r="L327" s="79">
        <v>327</v>
      </c>
      <c r="M327" s="79"/>
      <c r="N327" s="73"/>
      <c r="O327" s="81" t="s">
        <v>444</v>
      </c>
      <c r="P327" s="81">
        <v>1</v>
      </c>
      <c r="Q327" s="81" t="s">
        <v>445</v>
      </c>
      <c r="R327" s="81" t="s">
        <v>646</v>
      </c>
      <c r="S327" s="81">
        <v>72909</v>
      </c>
      <c r="T327" s="80" t="str">
        <f>REPLACE(INDEX(GroupVertices[Group],MATCH(Edges[[#This Row],[Vertex 1]],GroupVertices[Vertex],0)),1,1,"")</f>
        <v>2</v>
      </c>
      <c r="U327" s="80" t="str">
        <f>REPLACE(INDEX(GroupVertices[Group],MATCH(Edges[[#This Row],[Vertex 2]],GroupVertices[Vertex],0)),1,1,"")</f>
        <v>2</v>
      </c>
      <c r="V327" s="49">
        <v>0</v>
      </c>
      <c r="W327" s="50">
        <v>0</v>
      </c>
      <c r="X327" s="49">
        <v>0</v>
      </c>
      <c r="Y327" s="50">
        <v>0</v>
      </c>
      <c r="Z327" s="49">
        <v>0</v>
      </c>
      <c r="AA327" s="50">
        <v>0</v>
      </c>
      <c r="AB327" s="49">
        <v>1</v>
      </c>
      <c r="AC327" s="50">
        <v>100</v>
      </c>
      <c r="AD327" s="49">
        <v>1</v>
      </c>
    </row>
    <row r="328" spans="1:30" ht="15">
      <c r="A328" s="65" t="s">
        <v>354</v>
      </c>
      <c r="B328" s="65" t="s">
        <v>354</v>
      </c>
      <c r="C328" s="66" t="s">
        <v>1298</v>
      </c>
      <c r="D328" s="67">
        <v>10</v>
      </c>
      <c r="E328" s="68"/>
      <c r="F328" s="69">
        <v>40</v>
      </c>
      <c r="G328" s="66"/>
      <c r="H328" s="70"/>
      <c r="I328" s="71"/>
      <c r="J328" s="71"/>
      <c r="K328" s="35" t="s">
        <v>65</v>
      </c>
      <c r="L328" s="79">
        <v>328</v>
      </c>
      <c r="M328" s="79"/>
      <c r="N328" s="73"/>
      <c r="O328" s="81" t="s">
        <v>444</v>
      </c>
      <c r="P328" s="81">
        <v>3</v>
      </c>
      <c r="Q328" s="81" t="s">
        <v>445</v>
      </c>
      <c r="R328" s="81" t="s">
        <v>647</v>
      </c>
      <c r="S328" s="81">
        <v>72905</v>
      </c>
      <c r="T328" s="80" t="str">
        <f>REPLACE(INDEX(GroupVertices[Group],MATCH(Edges[[#This Row],[Vertex 1]],GroupVertices[Vertex],0)),1,1,"")</f>
        <v>2</v>
      </c>
      <c r="U328" s="80" t="str">
        <f>REPLACE(INDEX(GroupVertices[Group],MATCH(Edges[[#This Row],[Vertex 2]],GroupVertices[Vertex],0)),1,1,"")</f>
        <v>2</v>
      </c>
      <c r="V328" s="49">
        <v>0</v>
      </c>
      <c r="W328" s="50">
        <v>0</v>
      </c>
      <c r="X328" s="49">
        <v>1</v>
      </c>
      <c r="Y328" s="50">
        <v>14.285714285714286</v>
      </c>
      <c r="Z328" s="49">
        <v>0</v>
      </c>
      <c r="AA328" s="50">
        <v>0</v>
      </c>
      <c r="AB328" s="49">
        <v>6</v>
      </c>
      <c r="AC328" s="50">
        <v>85.71428571428571</v>
      </c>
      <c r="AD328" s="49">
        <v>7</v>
      </c>
    </row>
    <row r="329" spans="1:30" ht="15">
      <c r="A329" s="65" t="s">
        <v>354</v>
      </c>
      <c r="B329" s="65" t="s">
        <v>331</v>
      </c>
      <c r="C329" s="66" t="s">
        <v>1298</v>
      </c>
      <c r="D329" s="67">
        <v>10</v>
      </c>
      <c r="E329" s="68"/>
      <c r="F329" s="69">
        <v>40</v>
      </c>
      <c r="G329" s="66"/>
      <c r="H329" s="70"/>
      <c r="I329" s="71"/>
      <c r="J329" s="71"/>
      <c r="K329" s="35" t="s">
        <v>65</v>
      </c>
      <c r="L329" s="79">
        <v>329</v>
      </c>
      <c r="M329" s="79"/>
      <c r="N329" s="73"/>
      <c r="O329" s="81" t="s">
        <v>444</v>
      </c>
      <c r="P329" s="81">
        <v>2</v>
      </c>
      <c r="Q329" s="81" t="s">
        <v>445</v>
      </c>
      <c r="R329" s="81" t="s">
        <v>648</v>
      </c>
      <c r="S329" s="81">
        <v>78933</v>
      </c>
      <c r="T329" s="80" t="str">
        <f>REPLACE(INDEX(GroupVertices[Group],MATCH(Edges[[#This Row],[Vertex 1]],GroupVertices[Vertex],0)),1,1,"")</f>
        <v>2</v>
      </c>
      <c r="U329" s="80" t="str">
        <f>REPLACE(INDEX(GroupVertices[Group],MATCH(Edges[[#This Row],[Vertex 2]],GroupVertices[Vertex],0)),1,1,"")</f>
        <v>1</v>
      </c>
      <c r="V329" s="49">
        <v>1</v>
      </c>
      <c r="W329" s="50">
        <v>7.6923076923076925</v>
      </c>
      <c r="X329" s="49">
        <v>1</v>
      </c>
      <c r="Y329" s="50">
        <v>7.6923076923076925</v>
      </c>
      <c r="Z329" s="49">
        <v>0</v>
      </c>
      <c r="AA329" s="50">
        <v>0</v>
      </c>
      <c r="AB329" s="49">
        <v>11</v>
      </c>
      <c r="AC329" s="50">
        <v>84.61538461538461</v>
      </c>
      <c r="AD329" s="49">
        <v>13</v>
      </c>
    </row>
    <row r="330" spans="1:30" ht="15">
      <c r="A330" s="65" t="s">
        <v>398</v>
      </c>
      <c r="B330" s="65" t="s">
        <v>354</v>
      </c>
      <c r="C330" s="66" t="s">
        <v>1298</v>
      </c>
      <c r="D330" s="67">
        <v>10</v>
      </c>
      <c r="E330" s="68"/>
      <c r="F330" s="69">
        <v>40</v>
      </c>
      <c r="G330" s="66"/>
      <c r="H330" s="70"/>
      <c r="I330" s="71"/>
      <c r="J330" s="71"/>
      <c r="K330" s="35" t="s">
        <v>65</v>
      </c>
      <c r="L330" s="79">
        <v>330</v>
      </c>
      <c r="M330" s="79"/>
      <c r="N330" s="73"/>
      <c r="O330" s="81" t="s">
        <v>444</v>
      </c>
      <c r="P330" s="81">
        <v>2</v>
      </c>
      <c r="Q330" s="81" t="s">
        <v>445</v>
      </c>
      <c r="R330" s="81" t="s">
        <v>649</v>
      </c>
      <c r="S330" s="81">
        <v>78932</v>
      </c>
      <c r="T330" s="80" t="str">
        <f>REPLACE(INDEX(GroupVertices[Group],MATCH(Edges[[#This Row],[Vertex 1]],GroupVertices[Vertex],0)),1,1,"")</f>
        <v>5</v>
      </c>
      <c r="U330" s="80" t="str">
        <f>REPLACE(INDEX(GroupVertices[Group],MATCH(Edges[[#This Row],[Vertex 2]],GroupVertices[Vertex],0)),1,1,"")</f>
        <v>2</v>
      </c>
      <c r="V330" s="49">
        <v>0</v>
      </c>
      <c r="W330" s="50">
        <v>0</v>
      </c>
      <c r="X330" s="49">
        <v>0</v>
      </c>
      <c r="Y330" s="50">
        <v>0</v>
      </c>
      <c r="Z330" s="49">
        <v>0</v>
      </c>
      <c r="AA330" s="50">
        <v>0</v>
      </c>
      <c r="AB330" s="49">
        <v>2</v>
      </c>
      <c r="AC330" s="50">
        <v>100</v>
      </c>
      <c r="AD330" s="49">
        <v>2</v>
      </c>
    </row>
    <row r="331" spans="1:30" ht="15">
      <c r="A331" s="65" t="s">
        <v>398</v>
      </c>
      <c r="B331" s="65" t="s">
        <v>335</v>
      </c>
      <c r="C331" s="66" t="s">
        <v>1297</v>
      </c>
      <c r="D331" s="67">
        <v>3</v>
      </c>
      <c r="E331" s="68"/>
      <c r="F331" s="69">
        <v>70</v>
      </c>
      <c r="G331" s="66"/>
      <c r="H331" s="70"/>
      <c r="I331" s="71"/>
      <c r="J331" s="71"/>
      <c r="K331" s="35" t="s">
        <v>65</v>
      </c>
      <c r="L331" s="79">
        <v>331</v>
      </c>
      <c r="M331" s="79"/>
      <c r="N331" s="73"/>
      <c r="O331" s="81" t="s">
        <v>444</v>
      </c>
      <c r="P331" s="81">
        <v>1</v>
      </c>
      <c r="Q331" s="81" t="s">
        <v>445</v>
      </c>
      <c r="R331" s="81" t="s">
        <v>650</v>
      </c>
      <c r="S331" s="81">
        <v>71444</v>
      </c>
      <c r="T331" s="80" t="str">
        <f>REPLACE(INDEX(GroupVertices[Group],MATCH(Edges[[#This Row],[Vertex 1]],GroupVertices[Vertex],0)),1,1,"")</f>
        <v>5</v>
      </c>
      <c r="U331" s="80" t="str">
        <f>REPLACE(INDEX(GroupVertices[Group],MATCH(Edges[[#This Row],[Vertex 2]],GroupVertices[Vertex],0)),1,1,"")</f>
        <v>1</v>
      </c>
      <c r="V331" s="49">
        <v>0</v>
      </c>
      <c r="W331" s="50">
        <v>0</v>
      </c>
      <c r="X331" s="49">
        <v>0</v>
      </c>
      <c r="Y331" s="50">
        <v>0</v>
      </c>
      <c r="Z331" s="49">
        <v>0</v>
      </c>
      <c r="AA331" s="50">
        <v>0</v>
      </c>
      <c r="AB331" s="49">
        <v>5</v>
      </c>
      <c r="AC331" s="50">
        <v>100</v>
      </c>
      <c r="AD331" s="49">
        <v>5</v>
      </c>
    </row>
    <row r="332" spans="1:30" ht="15">
      <c r="A332" s="65" t="s">
        <v>398</v>
      </c>
      <c r="B332" s="65" t="s">
        <v>355</v>
      </c>
      <c r="C332" s="66" t="s">
        <v>1297</v>
      </c>
      <c r="D332" s="67">
        <v>3</v>
      </c>
      <c r="E332" s="68"/>
      <c r="F332" s="69">
        <v>70</v>
      </c>
      <c r="G332" s="66"/>
      <c r="H332" s="70"/>
      <c r="I332" s="71"/>
      <c r="J332" s="71"/>
      <c r="K332" s="35" t="s">
        <v>65</v>
      </c>
      <c r="L332" s="79">
        <v>332</v>
      </c>
      <c r="M332" s="79"/>
      <c r="N332" s="73"/>
      <c r="O332" s="81" t="s">
        <v>444</v>
      </c>
      <c r="P332" s="81">
        <v>1</v>
      </c>
      <c r="Q332" s="81" t="s">
        <v>445</v>
      </c>
      <c r="R332" s="81" t="s">
        <v>563</v>
      </c>
      <c r="S332" s="81">
        <v>77530</v>
      </c>
      <c r="T332" s="80" t="str">
        <f>REPLACE(INDEX(GroupVertices[Group],MATCH(Edges[[#This Row],[Vertex 1]],GroupVertices[Vertex],0)),1,1,"")</f>
        <v>5</v>
      </c>
      <c r="U332" s="80" t="str">
        <f>REPLACE(INDEX(GroupVertices[Group],MATCH(Edges[[#This Row],[Vertex 2]],GroupVertices[Vertex],0)),1,1,"")</f>
        <v>2</v>
      </c>
      <c r="V332" s="49">
        <v>0</v>
      </c>
      <c r="W332" s="50">
        <v>0</v>
      </c>
      <c r="X332" s="49">
        <v>1</v>
      </c>
      <c r="Y332" s="50">
        <v>50</v>
      </c>
      <c r="Z332" s="49">
        <v>0</v>
      </c>
      <c r="AA332" s="50">
        <v>0</v>
      </c>
      <c r="AB332" s="49">
        <v>1</v>
      </c>
      <c r="AC332" s="50">
        <v>50</v>
      </c>
      <c r="AD332" s="49">
        <v>2</v>
      </c>
    </row>
    <row r="333" spans="1:30" ht="15">
      <c r="A333" s="65" t="s">
        <v>398</v>
      </c>
      <c r="B333" s="65" t="s">
        <v>398</v>
      </c>
      <c r="C333" s="66" t="s">
        <v>1298</v>
      </c>
      <c r="D333" s="67">
        <v>10</v>
      </c>
      <c r="E333" s="68"/>
      <c r="F333" s="69">
        <v>40</v>
      </c>
      <c r="G333" s="66"/>
      <c r="H333" s="70"/>
      <c r="I333" s="71"/>
      <c r="J333" s="71"/>
      <c r="K333" s="35" t="s">
        <v>65</v>
      </c>
      <c r="L333" s="79">
        <v>333</v>
      </c>
      <c r="M333" s="79"/>
      <c r="N333" s="73"/>
      <c r="O333" s="81" t="s">
        <v>444</v>
      </c>
      <c r="P333" s="81">
        <v>5</v>
      </c>
      <c r="Q333" s="81" t="s">
        <v>445</v>
      </c>
      <c r="R333" s="81" t="s">
        <v>651</v>
      </c>
      <c r="S333" s="81">
        <v>78933</v>
      </c>
      <c r="T333" s="80" t="str">
        <f>REPLACE(INDEX(GroupVertices[Group],MATCH(Edges[[#This Row],[Vertex 1]],GroupVertices[Vertex],0)),1,1,"")</f>
        <v>5</v>
      </c>
      <c r="U333" s="80" t="str">
        <f>REPLACE(INDEX(GroupVertices[Group],MATCH(Edges[[#This Row],[Vertex 2]],GroupVertices[Vertex],0)),1,1,"")</f>
        <v>5</v>
      </c>
      <c r="V333" s="49">
        <v>0</v>
      </c>
      <c r="W333" s="50">
        <v>0</v>
      </c>
      <c r="X333" s="49">
        <v>0</v>
      </c>
      <c r="Y333" s="50">
        <v>0</v>
      </c>
      <c r="Z333" s="49">
        <v>0</v>
      </c>
      <c r="AA333" s="50">
        <v>0</v>
      </c>
      <c r="AB333" s="49">
        <v>4</v>
      </c>
      <c r="AC333" s="50">
        <v>100</v>
      </c>
      <c r="AD333" s="49">
        <v>4</v>
      </c>
    </row>
    <row r="334" spans="1:30" ht="15">
      <c r="A334" s="65" t="s">
        <v>379</v>
      </c>
      <c r="B334" s="65" t="s">
        <v>398</v>
      </c>
      <c r="C334" s="66" t="s">
        <v>1297</v>
      </c>
      <c r="D334" s="67">
        <v>3</v>
      </c>
      <c r="E334" s="68"/>
      <c r="F334" s="69">
        <v>70</v>
      </c>
      <c r="G334" s="66"/>
      <c r="H334" s="70"/>
      <c r="I334" s="71"/>
      <c r="J334" s="71"/>
      <c r="K334" s="35" t="s">
        <v>65</v>
      </c>
      <c r="L334" s="79">
        <v>334</v>
      </c>
      <c r="M334" s="79"/>
      <c r="N334" s="73"/>
      <c r="O334" s="81" t="s">
        <v>444</v>
      </c>
      <c r="P334" s="81">
        <v>1</v>
      </c>
      <c r="Q334" s="81" t="s">
        <v>445</v>
      </c>
      <c r="R334" s="81" t="s">
        <v>652</v>
      </c>
      <c r="S334" s="81">
        <v>78407</v>
      </c>
      <c r="T334" s="80" t="str">
        <f>REPLACE(INDEX(GroupVertices[Group],MATCH(Edges[[#This Row],[Vertex 1]],GroupVertices[Vertex],0)),1,1,"")</f>
        <v>1</v>
      </c>
      <c r="U334" s="80" t="str">
        <f>REPLACE(INDEX(GroupVertices[Group],MATCH(Edges[[#This Row],[Vertex 2]],GroupVertices[Vertex],0)),1,1,"")</f>
        <v>5</v>
      </c>
      <c r="V334" s="49">
        <v>0</v>
      </c>
      <c r="W334" s="50">
        <v>0</v>
      </c>
      <c r="X334" s="49">
        <v>0</v>
      </c>
      <c r="Y334" s="50">
        <v>0</v>
      </c>
      <c r="Z334" s="49">
        <v>0</v>
      </c>
      <c r="AA334" s="50">
        <v>0</v>
      </c>
      <c r="AB334" s="49">
        <v>38</v>
      </c>
      <c r="AC334" s="50">
        <v>100</v>
      </c>
      <c r="AD334" s="49">
        <v>38</v>
      </c>
    </row>
    <row r="335" spans="1:30" ht="15">
      <c r="A335" s="65" t="s">
        <v>355</v>
      </c>
      <c r="B335" s="65" t="s">
        <v>379</v>
      </c>
      <c r="C335" s="66" t="s">
        <v>1297</v>
      </c>
      <c r="D335" s="67">
        <v>3</v>
      </c>
      <c r="E335" s="68"/>
      <c r="F335" s="69">
        <v>70</v>
      </c>
      <c r="G335" s="66"/>
      <c r="H335" s="70"/>
      <c r="I335" s="71"/>
      <c r="J335" s="71"/>
      <c r="K335" s="35" t="s">
        <v>65</v>
      </c>
      <c r="L335" s="79">
        <v>335</v>
      </c>
      <c r="M335" s="79"/>
      <c r="N335" s="73"/>
      <c r="O335" s="81" t="s">
        <v>444</v>
      </c>
      <c r="P335" s="81">
        <v>1</v>
      </c>
      <c r="Q335" s="81" t="s">
        <v>445</v>
      </c>
      <c r="R335" s="81" t="s">
        <v>501</v>
      </c>
      <c r="S335" s="81">
        <v>140372</v>
      </c>
      <c r="T335" s="80" t="str">
        <f>REPLACE(INDEX(GroupVertices[Group],MATCH(Edges[[#This Row],[Vertex 1]],GroupVertices[Vertex],0)),1,1,"")</f>
        <v>2</v>
      </c>
      <c r="U335" s="80" t="str">
        <f>REPLACE(INDEX(GroupVertices[Group],MATCH(Edges[[#This Row],[Vertex 2]],GroupVertices[Vertex],0)),1,1,"")</f>
        <v>1</v>
      </c>
      <c r="V335" s="49">
        <v>0</v>
      </c>
      <c r="W335" s="50">
        <v>0</v>
      </c>
      <c r="X335" s="49">
        <v>0</v>
      </c>
      <c r="Y335" s="50">
        <v>0</v>
      </c>
      <c r="Z335" s="49">
        <v>0</v>
      </c>
      <c r="AA335" s="50">
        <v>0</v>
      </c>
      <c r="AB335" s="49">
        <v>11</v>
      </c>
      <c r="AC335" s="50">
        <v>100</v>
      </c>
      <c r="AD335" s="49">
        <v>11</v>
      </c>
    </row>
    <row r="336" spans="1:30" ht="15">
      <c r="A336" s="65" t="s">
        <v>379</v>
      </c>
      <c r="B336" s="65" t="s">
        <v>366</v>
      </c>
      <c r="C336" s="66" t="s">
        <v>1297</v>
      </c>
      <c r="D336" s="67">
        <v>3</v>
      </c>
      <c r="E336" s="68"/>
      <c r="F336" s="69">
        <v>70</v>
      </c>
      <c r="G336" s="66"/>
      <c r="H336" s="70"/>
      <c r="I336" s="71"/>
      <c r="J336" s="71"/>
      <c r="K336" s="35" t="s">
        <v>66</v>
      </c>
      <c r="L336" s="79">
        <v>336</v>
      </c>
      <c r="M336" s="79"/>
      <c r="N336" s="73"/>
      <c r="O336" s="81" t="s">
        <v>444</v>
      </c>
      <c r="P336" s="81">
        <v>1</v>
      </c>
      <c r="Q336" s="81" t="s">
        <v>445</v>
      </c>
      <c r="R336" s="81" t="s">
        <v>653</v>
      </c>
      <c r="S336" s="81">
        <v>121742</v>
      </c>
      <c r="T336" s="80" t="str">
        <f>REPLACE(INDEX(GroupVertices[Group],MATCH(Edges[[#This Row],[Vertex 1]],GroupVertices[Vertex],0)),1,1,"")</f>
        <v>1</v>
      </c>
      <c r="U336" s="80" t="str">
        <f>REPLACE(INDEX(GroupVertices[Group],MATCH(Edges[[#This Row],[Vertex 2]],GroupVertices[Vertex],0)),1,1,"")</f>
        <v>1</v>
      </c>
      <c r="V336" s="49">
        <v>0</v>
      </c>
      <c r="W336" s="50">
        <v>0</v>
      </c>
      <c r="X336" s="49">
        <v>0</v>
      </c>
      <c r="Y336" s="50">
        <v>0</v>
      </c>
      <c r="Z336" s="49">
        <v>0</v>
      </c>
      <c r="AA336" s="50">
        <v>0</v>
      </c>
      <c r="AB336" s="49">
        <v>38</v>
      </c>
      <c r="AC336" s="50">
        <v>100</v>
      </c>
      <c r="AD336" s="49">
        <v>38</v>
      </c>
    </row>
    <row r="337" spans="1:30" ht="15">
      <c r="A337" s="65" t="s">
        <v>366</v>
      </c>
      <c r="B337" s="65" t="s">
        <v>379</v>
      </c>
      <c r="C337" s="66" t="s">
        <v>1297</v>
      </c>
      <c r="D337" s="67">
        <v>3</v>
      </c>
      <c r="E337" s="68"/>
      <c r="F337" s="69">
        <v>70</v>
      </c>
      <c r="G337" s="66"/>
      <c r="H337" s="70"/>
      <c r="I337" s="71"/>
      <c r="J337" s="71"/>
      <c r="K337" s="35" t="s">
        <v>66</v>
      </c>
      <c r="L337" s="79">
        <v>337</v>
      </c>
      <c r="M337" s="79"/>
      <c r="N337" s="73"/>
      <c r="O337" s="81" t="s">
        <v>444</v>
      </c>
      <c r="P337" s="81">
        <v>1</v>
      </c>
      <c r="Q337" s="81" t="s">
        <v>445</v>
      </c>
      <c r="R337" s="81" t="s">
        <v>654</v>
      </c>
      <c r="S337" s="81">
        <v>122286</v>
      </c>
      <c r="T337" s="80" t="str">
        <f>REPLACE(INDEX(GroupVertices[Group],MATCH(Edges[[#This Row],[Vertex 1]],GroupVertices[Vertex],0)),1,1,"")</f>
        <v>1</v>
      </c>
      <c r="U337" s="80" t="str">
        <f>REPLACE(INDEX(GroupVertices[Group],MATCH(Edges[[#This Row],[Vertex 2]],GroupVertices[Vertex],0)),1,1,"")</f>
        <v>1</v>
      </c>
      <c r="V337" s="49">
        <v>0</v>
      </c>
      <c r="W337" s="50">
        <v>0</v>
      </c>
      <c r="X337" s="49">
        <v>0</v>
      </c>
      <c r="Y337" s="50">
        <v>0</v>
      </c>
      <c r="Z337" s="49">
        <v>0</v>
      </c>
      <c r="AA337" s="50">
        <v>0</v>
      </c>
      <c r="AB337" s="49">
        <v>4</v>
      </c>
      <c r="AC337" s="50">
        <v>100</v>
      </c>
      <c r="AD337" s="49">
        <v>4</v>
      </c>
    </row>
    <row r="338" spans="1:30" ht="15">
      <c r="A338" s="65" t="s">
        <v>379</v>
      </c>
      <c r="B338" s="65" t="s">
        <v>335</v>
      </c>
      <c r="C338" s="66" t="s">
        <v>1297</v>
      </c>
      <c r="D338" s="67">
        <v>3</v>
      </c>
      <c r="E338" s="68"/>
      <c r="F338" s="69">
        <v>70</v>
      </c>
      <c r="G338" s="66"/>
      <c r="H338" s="70"/>
      <c r="I338" s="71"/>
      <c r="J338" s="71"/>
      <c r="K338" s="35" t="s">
        <v>65</v>
      </c>
      <c r="L338" s="79">
        <v>338</v>
      </c>
      <c r="M338" s="79"/>
      <c r="N338" s="73"/>
      <c r="O338" s="81" t="s">
        <v>444</v>
      </c>
      <c r="P338" s="81">
        <v>1</v>
      </c>
      <c r="Q338" s="81" t="s">
        <v>445</v>
      </c>
      <c r="R338" s="81" t="s">
        <v>655</v>
      </c>
      <c r="S338" s="81">
        <v>67593</v>
      </c>
      <c r="T338" s="80" t="str">
        <f>REPLACE(INDEX(GroupVertices[Group],MATCH(Edges[[#This Row],[Vertex 1]],GroupVertices[Vertex],0)),1,1,"")</f>
        <v>1</v>
      </c>
      <c r="U338" s="80" t="str">
        <f>REPLACE(INDEX(GroupVertices[Group],MATCH(Edges[[#This Row],[Vertex 2]],GroupVertices[Vertex],0)),1,1,"")</f>
        <v>1</v>
      </c>
      <c r="V338" s="49">
        <v>0</v>
      </c>
      <c r="W338" s="50">
        <v>0</v>
      </c>
      <c r="X338" s="49">
        <v>0</v>
      </c>
      <c r="Y338" s="50">
        <v>0</v>
      </c>
      <c r="Z338" s="49">
        <v>0</v>
      </c>
      <c r="AA338" s="50">
        <v>0</v>
      </c>
      <c r="AB338" s="49">
        <v>26</v>
      </c>
      <c r="AC338" s="50">
        <v>100</v>
      </c>
      <c r="AD338" s="49">
        <v>26</v>
      </c>
    </row>
    <row r="339" spans="1:30" ht="15">
      <c r="A339" s="65" t="s">
        <v>379</v>
      </c>
      <c r="B339" s="65" t="s">
        <v>379</v>
      </c>
      <c r="C339" s="66" t="s">
        <v>1298</v>
      </c>
      <c r="D339" s="67">
        <v>10</v>
      </c>
      <c r="E339" s="68"/>
      <c r="F339" s="69">
        <v>40</v>
      </c>
      <c r="G339" s="66"/>
      <c r="H339" s="70"/>
      <c r="I339" s="71"/>
      <c r="J339" s="71"/>
      <c r="K339" s="35" t="s">
        <v>65</v>
      </c>
      <c r="L339" s="79">
        <v>339</v>
      </c>
      <c r="M339" s="79"/>
      <c r="N339" s="73"/>
      <c r="O339" s="81" t="s">
        <v>444</v>
      </c>
      <c r="P339" s="81">
        <v>6</v>
      </c>
      <c r="Q339" s="81" t="s">
        <v>445</v>
      </c>
      <c r="R339" s="81" t="s">
        <v>656</v>
      </c>
      <c r="S339" s="81">
        <v>73990</v>
      </c>
      <c r="T339" s="80" t="str">
        <f>REPLACE(INDEX(GroupVertices[Group],MATCH(Edges[[#This Row],[Vertex 1]],GroupVertices[Vertex],0)),1,1,"")</f>
        <v>1</v>
      </c>
      <c r="U339" s="80" t="str">
        <f>REPLACE(INDEX(GroupVertices[Group],MATCH(Edges[[#This Row],[Vertex 2]],GroupVertices[Vertex],0)),1,1,"")</f>
        <v>1</v>
      </c>
      <c r="V339" s="49">
        <v>0</v>
      </c>
      <c r="W339" s="50">
        <v>0</v>
      </c>
      <c r="X339" s="49">
        <v>0</v>
      </c>
      <c r="Y339" s="50">
        <v>0</v>
      </c>
      <c r="Z339" s="49">
        <v>0</v>
      </c>
      <c r="AA339" s="50">
        <v>0</v>
      </c>
      <c r="AB339" s="49">
        <v>2</v>
      </c>
      <c r="AC339" s="50">
        <v>100</v>
      </c>
      <c r="AD339" s="49">
        <v>2</v>
      </c>
    </row>
    <row r="340" spans="1:30" ht="15">
      <c r="A340" s="65" t="s">
        <v>442</v>
      </c>
      <c r="B340" s="65" t="s">
        <v>379</v>
      </c>
      <c r="C340" s="66" t="s">
        <v>1297</v>
      </c>
      <c r="D340" s="67">
        <v>3</v>
      </c>
      <c r="E340" s="68"/>
      <c r="F340" s="69">
        <v>70</v>
      </c>
      <c r="G340" s="66"/>
      <c r="H340" s="70"/>
      <c r="I340" s="71"/>
      <c r="J340" s="71"/>
      <c r="K340" s="35" t="s">
        <v>65</v>
      </c>
      <c r="L340" s="79">
        <v>340</v>
      </c>
      <c r="M340" s="79"/>
      <c r="N340" s="73"/>
      <c r="O340" s="81" t="s">
        <v>444</v>
      </c>
      <c r="P340" s="81">
        <v>1</v>
      </c>
      <c r="Q340" s="81" t="s">
        <v>445</v>
      </c>
      <c r="R340" s="81"/>
      <c r="S340" s="81">
        <v>74117</v>
      </c>
      <c r="T340" s="80" t="str">
        <f>REPLACE(INDEX(GroupVertices[Group],MATCH(Edges[[#This Row],[Vertex 1]],GroupVertices[Vertex],0)),1,1,"")</f>
        <v>1</v>
      </c>
      <c r="U340" s="80" t="str">
        <f>REPLACE(INDEX(GroupVertices[Group],MATCH(Edges[[#This Row],[Vertex 2]],GroupVertices[Vertex],0)),1,1,"")</f>
        <v>1</v>
      </c>
      <c r="V340" s="49"/>
      <c r="W340" s="50"/>
      <c r="X340" s="49"/>
      <c r="Y340" s="50"/>
      <c r="Z340" s="49"/>
      <c r="AA340" s="50"/>
      <c r="AB340" s="49"/>
      <c r="AC340" s="50"/>
      <c r="AD340" s="49"/>
    </row>
    <row r="341" spans="1:30" ht="15">
      <c r="A341" s="65" t="s">
        <v>442</v>
      </c>
      <c r="B341" s="65" t="s">
        <v>331</v>
      </c>
      <c r="C341" s="66" t="s">
        <v>1297</v>
      </c>
      <c r="D341" s="67">
        <v>3</v>
      </c>
      <c r="E341" s="68"/>
      <c r="F341" s="69">
        <v>70</v>
      </c>
      <c r="G341" s="66"/>
      <c r="H341" s="70"/>
      <c r="I341" s="71"/>
      <c r="J341" s="71"/>
      <c r="K341" s="35" t="s">
        <v>66</v>
      </c>
      <c r="L341" s="79">
        <v>341</v>
      </c>
      <c r="M341" s="79"/>
      <c r="N341" s="73"/>
      <c r="O341" s="81" t="s">
        <v>444</v>
      </c>
      <c r="P341" s="81">
        <v>1</v>
      </c>
      <c r="Q341" s="81" t="s">
        <v>445</v>
      </c>
      <c r="R341" s="81" t="s">
        <v>657</v>
      </c>
      <c r="S341" s="81">
        <v>74481</v>
      </c>
      <c r="T341" s="80" t="str">
        <f>REPLACE(INDEX(GroupVertices[Group],MATCH(Edges[[#This Row],[Vertex 1]],GroupVertices[Vertex],0)),1,1,"")</f>
        <v>1</v>
      </c>
      <c r="U341" s="80" t="str">
        <f>REPLACE(INDEX(GroupVertices[Group],MATCH(Edges[[#This Row],[Vertex 2]],GroupVertices[Vertex],0)),1,1,"")</f>
        <v>1</v>
      </c>
      <c r="V341" s="49">
        <v>0</v>
      </c>
      <c r="W341" s="50">
        <v>0</v>
      </c>
      <c r="X341" s="49">
        <v>0</v>
      </c>
      <c r="Y341" s="50">
        <v>0</v>
      </c>
      <c r="Z341" s="49">
        <v>0</v>
      </c>
      <c r="AA341" s="50">
        <v>0</v>
      </c>
      <c r="AB341" s="49">
        <v>3</v>
      </c>
      <c r="AC341" s="50">
        <v>100</v>
      </c>
      <c r="AD341" s="49">
        <v>3</v>
      </c>
    </row>
    <row r="342" spans="1:30" ht="15">
      <c r="A342" s="65" t="s">
        <v>331</v>
      </c>
      <c r="B342" s="65" t="s">
        <v>442</v>
      </c>
      <c r="C342" s="66" t="s">
        <v>1298</v>
      </c>
      <c r="D342" s="67">
        <v>10</v>
      </c>
      <c r="E342" s="68"/>
      <c r="F342" s="69">
        <v>40</v>
      </c>
      <c r="G342" s="66"/>
      <c r="H342" s="70"/>
      <c r="I342" s="71"/>
      <c r="J342" s="71"/>
      <c r="K342" s="35" t="s">
        <v>66</v>
      </c>
      <c r="L342" s="79">
        <v>342</v>
      </c>
      <c r="M342" s="79"/>
      <c r="N342" s="73"/>
      <c r="O342" s="81" t="s">
        <v>444</v>
      </c>
      <c r="P342" s="81">
        <v>2</v>
      </c>
      <c r="Q342" s="81" t="s">
        <v>445</v>
      </c>
      <c r="R342" s="81" t="s">
        <v>658</v>
      </c>
      <c r="S342" s="81">
        <v>74802</v>
      </c>
      <c r="T342" s="80" t="str">
        <f>REPLACE(INDEX(GroupVertices[Group],MATCH(Edges[[#This Row],[Vertex 1]],GroupVertices[Vertex],0)),1,1,"")</f>
        <v>1</v>
      </c>
      <c r="U342" s="80" t="str">
        <f>REPLACE(INDEX(GroupVertices[Group],MATCH(Edges[[#This Row],[Vertex 2]],GroupVertices[Vertex],0)),1,1,"")</f>
        <v>1</v>
      </c>
      <c r="V342" s="49">
        <v>0</v>
      </c>
      <c r="W342" s="50">
        <v>0</v>
      </c>
      <c r="X342" s="49">
        <v>0</v>
      </c>
      <c r="Y342" s="50">
        <v>0</v>
      </c>
      <c r="Z342" s="49">
        <v>0</v>
      </c>
      <c r="AA342" s="50">
        <v>0</v>
      </c>
      <c r="AB342" s="49">
        <v>9</v>
      </c>
      <c r="AC342" s="50">
        <v>100</v>
      </c>
      <c r="AD342" s="49">
        <v>9</v>
      </c>
    </row>
    <row r="343" spans="1:30" ht="15">
      <c r="A343" s="65" t="s">
        <v>366</v>
      </c>
      <c r="B343" s="65" t="s">
        <v>331</v>
      </c>
      <c r="C343" s="66" t="s">
        <v>1297</v>
      </c>
      <c r="D343" s="67">
        <v>3</v>
      </c>
      <c r="E343" s="68"/>
      <c r="F343" s="69">
        <v>70</v>
      </c>
      <c r="G343" s="66"/>
      <c r="H343" s="70"/>
      <c r="I343" s="71"/>
      <c r="J343" s="71"/>
      <c r="K343" s="35" t="s">
        <v>65</v>
      </c>
      <c r="L343" s="79">
        <v>343</v>
      </c>
      <c r="M343" s="79"/>
      <c r="N343" s="73"/>
      <c r="O343" s="81" t="s">
        <v>444</v>
      </c>
      <c r="P343" s="81">
        <v>1</v>
      </c>
      <c r="Q343" s="81" t="s">
        <v>445</v>
      </c>
      <c r="R343" s="81" t="s">
        <v>490</v>
      </c>
      <c r="S343" s="81">
        <v>200933</v>
      </c>
      <c r="T343" s="80" t="str">
        <f>REPLACE(INDEX(GroupVertices[Group],MATCH(Edges[[#This Row],[Vertex 1]],GroupVertices[Vertex],0)),1,1,"")</f>
        <v>1</v>
      </c>
      <c r="U343" s="80" t="str">
        <f>REPLACE(INDEX(GroupVertices[Group],MATCH(Edges[[#This Row],[Vertex 2]],GroupVertices[Vertex],0)),1,1,"")</f>
        <v>1</v>
      </c>
      <c r="V343" s="49">
        <v>0</v>
      </c>
      <c r="W343" s="50">
        <v>0</v>
      </c>
      <c r="X343" s="49">
        <v>0</v>
      </c>
      <c r="Y343" s="50">
        <v>0</v>
      </c>
      <c r="Z343" s="49">
        <v>0</v>
      </c>
      <c r="AA343" s="50">
        <v>0</v>
      </c>
      <c r="AB343" s="49">
        <v>4</v>
      </c>
      <c r="AC343" s="50">
        <v>100</v>
      </c>
      <c r="AD343" s="49">
        <v>4</v>
      </c>
    </row>
    <row r="344" spans="1:30" ht="15">
      <c r="A344" s="65" t="s">
        <v>335</v>
      </c>
      <c r="B344" s="65" t="s">
        <v>331</v>
      </c>
      <c r="C344" s="66" t="s">
        <v>1298</v>
      </c>
      <c r="D344" s="67">
        <v>10</v>
      </c>
      <c r="E344" s="68"/>
      <c r="F344" s="69">
        <v>40</v>
      </c>
      <c r="G344" s="66"/>
      <c r="H344" s="70"/>
      <c r="I344" s="71"/>
      <c r="J344" s="71"/>
      <c r="K344" s="35" t="s">
        <v>65</v>
      </c>
      <c r="L344" s="79">
        <v>344</v>
      </c>
      <c r="M344" s="79"/>
      <c r="N344" s="73"/>
      <c r="O344" s="81" t="s">
        <v>444</v>
      </c>
      <c r="P344" s="81">
        <v>5</v>
      </c>
      <c r="Q344" s="81" t="s">
        <v>445</v>
      </c>
      <c r="R344" s="81" t="s">
        <v>659</v>
      </c>
      <c r="S344" s="81">
        <v>74438</v>
      </c>
      <c r="T344" s="80" t="str">
        <f>REPLACE(INDEX(GroupVertices[Group],MATCH(Edges[[#This Row],[Vertex 1]],GroupVertices[Vertex],0)),1,1,"")</f>
        <v>1</v>
      </c>
      <c r="U344" s="80" t="str">
        <f>REPLACE(INDEX(GroupVertices[Group],MATCH(Edges[[#This Row],[Vertex 2]],GroupVertices[Vertex],0)),1,1,"")</f>
        <v>1</v>
      </c>
      <c r="V344" s="49">
        <v>0</v>
      </c>
      <c r="W344" s="50">
        <v>0</v>
      </c>
      <c r="X344" s="49">
        <v>0</v>
      </c>
      <c r="Y344" s="50">
        <v>0</v>
      </c>
      <c r="Z344" s="49">
        <v>0</v>
      </c>
      <c r="AA344" s="50">
        <v>0</v>
      </c>
      <c r="AB344" s="49">
        <v>4</v>
      </c>
      <c r="AC344" s="50">
        <v>100</v>
      </c>
      <c r="AD344" s="49">
        <v>4</v>
      </c>
    </row>
    <row r="345" spans="1:30" ht="15">
      <c r="A345" s="65" t="s">
        <v>443</v>
      </c>
      <c r="B345" s="65" t="s">
        <v>335</v>
      </c>
      <c r="C345" s="66" t="s">
        <v>1297</v>
      </c>
      <c r="D345" s="67">
        <v>3</v>
      </c>
      <c r="E345" s="68"/>
      <c r="F345" s="69">
        <v>70</v>
      </c>
      <c r="G345" s="66"/>
      <c r="H345" s="70"/>
      <c r="I345" s="71"/>
      <c r="J345" s="71"/>
      <c r="K345" s="35" t="s">
        <v>65</v>
      </c>
      <c r="L345" s="79">
        <v>345</v>
      </c>
      <c r="M345" s="79"/>
      <c r="N345" s="73"/>
      <c r="O345" s="81" t="s">
        <v>444</v>
      </c>
      <c r="P345" s="81">
        <v>1</v>
      </c>
      <c r="Q345" s="81" t="s">
        <v>445</v>
      </c>
      <c r="R345" s="81"/>
      <c r="S345" s="81">
        <v>77089</v>
      </c>
      <c r="T345" s="80" t="str">
        <f>REPLACE(INDEX(GroupVertices[Group],MATCH(Edges[[#This Row],[Vertex 1]],GroupVertices[Vertex],0)),1,1,"")</f>
        <v>4</v>
      </c>
      <c r="U345" s="80" t="str">
        <f>REPLACE(INDEX(GroupVertices[Group],MATCH(Edges[[#This Row],[Vertex 2]],GroupVertices[Vertex],0)),1,1,"")</f>
        <v>1</v>
      </c>
      <c r="V345" s="49"/>
      <c r="W345" s="50"/>
      <c r="X345" s="49"/>
      <c r="Y345" s="50"/>
      <c r="Z345" s="49"/>
      <c r="AA345" s="50"/>
      <c r="AB345" s="49"/>
      <c r="AC345" s="50"/>
      <c r="AD345" s="49"/>
    </row>
    <row r="346" spans="1:30" ht="15">
      <c r="A346" s="65" t="s">
        <v>329</v>
      </c>
      <c r="B346" s="65" t="s">
        <v>443</v>
      </c>
      <c r="C346" s="66" t="s">
        <v>1297</v>
      </c>
      <c r="D346" s="67">
        <v>3</v>
      </c>
      <c r="E346" s="68"/>
      <c r="F346" s="69">
        <v>70</v>
      </c>
      <c r="G346" s="66"/>
      <c r="H346" s="70"/>
      <c r="I346" s="71"/>
      <c r="J346" s="71"/>
      <c r="K346" s="35" t="s">
        <v>65</v>
      </c>
      <c r="L346" s="79">
        <v>346</v>
      </c>
      <c r="M346" s="79"/>
      <c r="N346" s="73"/>
      <c r="O346" s="81" t="s">
        <v>444</v>
      </c>
      <c r="P346" s="81">
        <v>1</v>
      </c>
      <c r="Q346" s="81" t="s">
        <v>445</v>
      </c>
      <c r="R346" s="81" t="s">
        <v>660</v>
      </c>
      <c r="S346" s="81">
        <v>77476</v>
      </c>
      <c r="T346" s="80" t="str">
        <f>REPLACE(INDEX(GroupVertices[Group],MATCH(Edges[[#This Row],[Vertex 1]],GroupVertices[Vertex],0)),1,1,"")</f>
        <v>4</v>
      </c>
      <c r="U346" s="80" t="str">
        <f>REPLACE(INDEX(GroupVertices[Group],MATCH(Edges[[#This Row],[Vertex 2]],GroupVertices[Vertex],0)),1,1,"")</f>
        <v>4</v>
      </c>
      <c r="V346" s="49">
        <v>0</v>
      </c>
      <c r="W346" s="50">
        <v>0</v>
      </c>
      <c r="X346" s="49">
        <v>0</v>
      </c>
      <c r="Y346" s="50">
        <v>0</v>
      </c>
      <c r="Z346" s="49">
        <v>0</v>
      </c>
      <c r="AA346" s="50">
        <v>0</v>
      </c>
      <c r="AB346" s="49">
        <v>16</v>
      </c>
      <c r="AC346" s="50">
        <v>100</v>
      </c>
      <c r="AD346" s="49">
        <v>16</v>
      </c>
    </row>
    <row r="347" spans="1:30" ht="15">
      <c r="A347" s="65" t="s">
        <v>355</v>
      </c>
      <c r="B347" s="65" t="s">
        <v>329</v>
      </c>
      <c r="C347" s="66" t="s">
        <v>1297</v>
      </c>
      <c r="D347" s="67">
        <v>3</v>
      </c>
      <c r="E347" s="68"/>
      <c r="F347" s="69">
        <v>70</v>
      </c>
      <c r="G347" s="66"/>
      <c r="H347" s="70"/>
      <c r="I347" s="71"/>
      <c r="J347" s="71"/>
      <c r="K347" s="35" t="s">
        <v>65</v>
      </c>
      <c r="L347" s="79">
        <v>347</v>
      </c>
      <c r="M347" s="79"/>
      <c r="N347" s="73"/>
      <c r="O347" s="81" t="s">
        <v>444</v>
      </c>
      <c r="P347" s="81">
        <v>1</v>
      </c>
      <c r="Q347" s="81" t="s">
        <v>445</v>
      </c>
      <c r="R347" s="81" t="s">
        <v>661</v>
      </c>
      <c r="S347" s="81">
        <v>213046</v>
      </c>
      <c r="T347" s="80" t="str">
        <f>REPLACE(INDEX(GroupVertices[Group],MATCH(Edges[[#This Row],[Vertex 1]],GroupVertices[Vertex],0)),1,1,"")</f>
        <v>2</v>
      </c>
      <c r="U347" s="80"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329</v>
      </c>
      <c r="B348" s="65" t="s">
        <v>335</v>
      </c>
      <c r="C348" s="66" t="s">
        <v>1297</v>
      </c>
      <c r="D348" s="67">
        <v>3</v>
      </c>
      <c r="E348" s="68"/>
      <c r="F348" s="69">
        <v>70</v>
      </c>
      <c r="G348" s="66"/>
      <c r="H348" s="70"/>
      <c r="I348" s="71"/>
      <c r="J348" s="71"/>
      <c r="K348" s="35" t="s">
        <v>66</v>
      </c>
      <c r="L348" s="79">
        <v>348</v>
      </c>
      <c r="M348" s="79"/>
      <c r="N348" s="73"/>
      <c r="O348" s="81" t="s">
        <v>444</v>
      </c>
      <c r="P348" s="81">
        <v>1</v>
      </c>
      <c r="Q348" s="81" t="s">
        <v>445</v>
      </c>
      <c r="R348" s="81" t="s">
        <v>573</v>
      </c>
      <c r="S348" s="81">
        <v>72488</v>
      </c>
      <c r="T348" s="80" t="str">
        <f>REPLACE(INDEX(GroupVertices[Group],MATCH(Edges[[#This Row],[Vertex 1]],GroupVertices[Vertex],0)),1,1,"")</f>
        <v>4</v>
      </c>
      <c r="U348" s="80" t="str">
        <f>REPLACE(INDEX(GroupVertices[Group],MATCH(Edges[[#This Row],[Vertex 2]],GroupVertices[Vertex],0)),1,1,"")</f>
        <v>1</v>
      </c>
      <c r="V348" s="49">
        <v>0</v>
      </c>
      <c r="W348" s="50">
        <v>0</v>
      </c>
      <c r="X348" s="49">
        <v>0</v>
      </c>
      <c r="Y348" s="50">
        <v>0</v>
      </c>
      <c r="Z348" s="49">
        <v>0</v>
      </c>
      <c r="AA348" s="50">
        <v>0</v>
      </c>
      <c r="AB348" s="49">
        <v>3</v>
      </c>
      <c r="AC348" s="50">
        <v>100</v>
      </c>
      <c r="AD348" s="49">
        <v>3</v>
      </c>
    </row>
    <row r="349" spans="1:30" ht="15">
      <c r="A349" s="65" t="s">
        <v>329</v>
      </c>
      <c r="B349" s="65" t="s">
        <v>329</v>
      </c>
      <c r="C349" s="66" t="s">
        <v>1298</v>
      </c>
      <c r="D349" s="67">
        <v>10</v>
      </c>
      <c r="E349" s="68"/>
      <c r="F349" s="69">
        <v>40</v>
      </c>
      <c r="G349" s="66"/>
      <c r="H349" s="70"/>
      <c r="I349" s="71"/>
      <c r="J349" s="71"/>
      <c r="K349" s="35" t="s">
        <v>65</v>
      </c>
      <c r="L349" s="79">
        <v>349</v>
      </c>
      <c r="M349" s="79"/>
      <c r="N349" s="73"/>
      <c r="O349" s="81" t="s">
        <v>444</v>
      </c>
      <c r="P349" s="81">
        <v>3</v>
      </c>
      <c r="Q349" s="81" t="s">
        <v>445</v>
      </c>
      <c r="R349" s="81" t="s">
        <v>662</v>
      </c>
      <c r="S349" s="81">
        <v>77728</v>
      </c>
      <c r="T349" s="80" t="str">
        <f>REPLACE(INDEX(GroupVertices[Group],MATCH(Edges[[#This Row],[Vertex 1]],GroupVertices[Vertex],0)),1,1,"")</f>
        <v>4</v>
      </c>
      <c r="U349" s="80" t="str">
        <f>REPLACE(INDEX(GroupVertices[Group],MATCH(Edges[[#This Row],[Vertex 2]],GroupVertices[Vertex],0)),1,1,"")</f>
        <v>4</v>
      </c>
      <c r="V349" s="49">
        <v>0</v>
      </c>
      <c r="W349" s="50">
        <v>0</v>
      </c>
      <c r="X349" s="49">
        <v>0</v>
      </c>
      <c r="Y349" s="50">
        <v>0</v>
      </c>
      <c r="Z349" s="49">
        <v>0</v>
      </c>
      <c r="AA349" s="50">
        <v>0</v>
      </c>
      <c r="AB349" s="49">
        <v>4</v>
      </c>
      <c r="AC349" s="50">
        <v>100</v>
      </c>
      <c r="AD349" s="49">
        <v>4</v>
      </c>
    </row>
    <row r="350" spans="1:30" ht="15">
      <c r="A350" s="65" t="s">
        <v>335</v>
      </c>
      <c r="B350" s="65" t="s">
        <v>329</v>
      </c>
      <c r="C350" s="66" t="s">
        <v>1298</v>
      </c>
      <c r="D350" s="67">
        <v>10</v>
      </c>
      <c r="E350" s="68"/>
      <c r="F350" s="69">
        <v>40</v>
      </c>
      <c r="G350" s="66"/>
      <c r="H350" s="70"/>
      <c r="I350" s="71"/>
      <c r="J350" s="71"/>
      <c r="K350" s="35" t="s">
        <v>66</v>
      </c>
      <c r="L350" s="79">
        <v>350</v>
      </c>
      <c r="M350" s="79"/>
      <c r="N350" s="73"/>
      <c r="O350" s="81" t="s">
        <v>444</v>
      </c>
      <c r="P350" s="81">
        <v>2</v>
      </c>
      <c r="Q350" s="81" t="s">
        <v>445</v>
      </c>
      <c r="R350" s="81" t="s">
        <v>662</v>
      </c>
      <c r="S350" s="81">
        <v>77879</v>
      </c>
      <c r="T350" s="80" t="str">
        <f>REPLACE(INDEX(GroupVertices[Group],MATCH(Edges[[#This Row],[Vertex 1]],GroupVertices[Vertex],0)),1,1,"")</f>
        <v>1</v>
      </c>
      <c r="U350" s="80" t="str">
        <f>REPLACE(INDEX(GroupVertices[Group],MATCH(Edges[[#This Row],[Vertex 2]],GroupVertices[Vertex],0)),1,1,"")</f>
        <v>4</v>
      </c>
      <c r="V350" s="49">
        <v>0</v>
      </c>
      <c r="W350" s="50">
        <v>0</v>
      </c>
      <c r="X350" s="49">
        <v>0</v>
      </c>
      <c r="Y350" s="50">
        <v>0</v>
      </c>
      <c r="Z350" s="49">
        <v>0</v>
      </c>
      <c r="AA350" s="50">
        <v>0</v>
      </c>
      <c r="AB350" s="49">
        <v>4</v>
      </c>
      <c r="AC350" s="50">
        <v>100</v>
      </c>
      <c r="AD350" s="49">
        <v>4</v>
      </c>
    </row>
    <row r="351" spans="1:30" ht="15">
      <c r="A351" s="65" t="s">
        <v>341</v>
      </c>
      <c r="B351" s="65" t="s">
        <v>355</v>
      </c>
      <c r="C351" s="66" t="s">
        <v>1298</v>
      </c>
      <c r="D351" s="67">
        <v>10</v>
      </c>
      <c r="E351" s="68"/>
      <c r="F351" s="69">
        <v>40</v>
      </c>
      <c r="G351" s="66"/>
      <c r="H351" s="70"/>
      <c r="I351" s="71"/>
      <c r="J351" s="71"/>
      <c r="K351" s="35" t="s">
        <v>66</v>
      </c>
      <c r="L351" s="79">
        <v>351</v>
      </c>
      <c r="M351" s="79"/>
      <c r="N351" s="73"/>
      <c r="O351" s="81" t="s">
        <v>444</v>
      </c>
      <c r="P351" s="81">
        <v>2</v>
      </c>
      <c r="Q351" s="81" t="s">
        <v>445</v>
      </c>
      <c r="R351" s="81" t="s">
        <v>613</v>
      </c>
      <c r="S351" s="81">
        <v>190758</v>
      </c>
      <c r="T351" s="80" t="str">
        <f>REPLACE(INDEX(GroupVertices[Group],MATCH(Edges[[#This Row],[Vertex 1]],GroupVertices[Vertex],0)),1,1,"")</f>
        <v>2</v>
      </c>
      <c r="U351" s="80" t="str">
        <f>REPLACE(INDEX(GroupVertices[Group],MATCH(Edges[[#This Row],[Vertex 2]],GroupVertices[Vertex],0)),1,1,"")</f>
        <v>2</v>
      </c>
      <c r="V351" s="49">
        <v>0</v>
      </c>
      <c r="W351" s="50">
        <v>0</v>
      </c>
      <c r="X351" s="49">
        <v>0</v>
      </c>
      <c r="Y351" s="50">
        <v>0</v>
      </c>
      <c r="Z351" s="49">
        <v>0</v>
      </c>
      <c r="AA351" s="50">
        <v>0</v>
      </c>
      <c r="AB351" s="49">
        <v>1</v>
      </c>
      <c r="AC351" s="50">
        <v>100</v>
      </c>
      <c r="AD351" s="49">
        <v>1</v>
      </c>
    </row>
    <row r="352" spans="1:30" ht="15">
      <c r="A352" s="65" t="s">
        <v>341</v>
      </c>
      <c r="B352" s="65" t="s">
        <v>341</v>
      </c>
      <c r="C352" s="66" t="s">
        <v>1298</v>
      </c>
      <c r="D352" s="67">
        <v>10</v>
      </c>
      <c r="E352" s="68"/>
      <c r="F352" s="69">
        <v>40</v>
      </c>
      <c r="G352" s="66"/>
      <c r="H352" s="70"/>
      <c r="I352" s="71"/>
      <c r="J352" s="71"/>
      <c r="K352" s="35" t="s">
        <v>65</v>
      </c>
      <c r="L352" s="79">
        <v>352</v>
      </c>
      <c r="M352" s="79"/>
      <c r="N352" s="73"/>
      <c r="O352" s="81" t="s">
        <v>444</v>
      </c>
      <c r="P352" s="81">
        <v>5</v>
      </c>
      <c r="Q352" s="81" t="s">
        <v>445</v>
      </c>
      <c r="R352" s="81" t="s">
        <v>613</v>
      </c>
      <c r="S352" s="81">
        <v>205812</v>
      </c>
      <c r="T352" s="80" t="str">
        <f>REPLACE(INDEX(GroupVertices[Group],MATCH(Edges[[#This Row],[Vertex 1]],GroupVertices[Vertex],0)),1,1,"")</f>
        <v>2</v>
      </c>
      <c r="U352" s="80" t="str">
        <f>REPLACE(INDEX(GroupVertices[Group],MATCH(Edges[[#This Row],[Vertex 2]],GroupVertices[Vertex],0)),1,1,"")</f>
        <v>2</v>
      </c>
      <c r="V352" s="49">
        <v>0</v>
      </c>
      <c r="W352" s="50">
        <v>0</v>
      </c>
      <c r="X352" s="49">
        <v>0</v>
      </c>
      <c r="Y352" s="50">
        <v>0</v>
      </c>
      <c r="Z352" s="49">
        <v>0</v>
      </c>
      <c r="AA352" s="50">
        <v>0</v>
      </c>
      <c r="AB352" s="49">
        <v>1</v>
      </c>
      <c r="AC352" s="50">
        <v>100</v>
      </c>
      <c r="AD352" s="49">
        <v>1</v>
      </c>
    </row>
    <row r="353" spans="1:30" ht="15">
      <c r="A353" s="65" t="s">
        <v>341</v>
      </c>
      <c r="B353" s="65" t="s">
        <v>366</v>
      </c>
      <c r="C353" s="66" t="s">
        <v>1297</v>
      </c>
      <c r="D353" s="67">
        <v>3</v>
      </c>
      <c r="E353" s="68"/>
      <c r="F353" s="69">
        <v>70</v>
      </c>
      <c r="G353" s="66"/>
      <c r="H353" s="70"/>
      <c r="I353" s="71"/>
      <c r="J353" s="71"/>
      <c r="K353" s="35" t="s">
        <v>65</v>
      </c>
      <c r="L353" s="79">
        <v>353</v>
      </c>
      <c r="M353" s="79"/>
      <c r="N353" s="73"/>
      <c r="O353" s="81" t="s">
        <v>444</v>
      </c>
      <c r="P353" s="81">
        <v>1</v>
      </c>
      <c r="Q353" s="81" t="s">
        <v>445</v>
      </c>
      <c r="R353" s="81"/>
      <c r="S353" s="81">
        <v>78267</v>
      </c>
      <c r="T353" s="80" t="str">
        <f>REPLACE(INDEX(GroupVertices[Group],MATCH(Edges[[#This Row],[Vertex 1]],GroupVertices[Vertex],0)),1,1,"")</f>
        <v>2</v>
      </c>
      <c r="U353" s="80" t="str">
        <f>REPLACE(INDEX(GroupVertices[Group],MATCH(Edges[[#This Row],[Vertex 2]],GroupVertices[Vertex],0)),1,1,"")</f>
        <v>1</v>
      </c>
      <c r="V353" s="49"/>
      <c r="W353" s="50"/>
      <c r="X353" s="49"/>
      <c r="Y353" s="50"/>
      <c r="Z353" s="49"/>
      <c r="AA353" s="50"/>
      <c r="AB353" s="49"/>
      <c r="AC353" s="50"/>
      <c r="AD353" s="49"/>
    </row>
    <row r="354" spans="1:30" ht="15">
      <c r="A354" s="65" t="s">
        <v>355</v>
      </c>
      <c r="B354" s="65" t="s">
        <v>341</v>
      </c>
      <c r="C354" s="66" t="s">
        <v>1297</v>
      </c>
      <c r="D354" s="67">
        <v>3</v>
      </c>
      <c r="E354" s="68"/>
      <c r="F354" s="69">
        <v>70</v>
      </c>
      <c r="G354" s="66"/>
      <c r="H354" s="70"/>
      <c r="I354" s="71"/>
      <c r="J354" s="71"/>
      <c r="K354" s="35" t="s">
        <v>66</v>
      </c>
      <c r="L354" s="79">
        <v>354</v>
      </c>
      <c r="M354" s="79"/>
      <c r="N354" s="73"/>
      <c r="O354" s="81" t="s">
        <v>444</v>
      </c>
      <c r="P354" s="81">
        <v>1</v>
      </c>
      <c r="Q354" s="81" t="s">
        <v>445</v>
      </c>
      <c r="R354" s="81" t="s">
        <v>578</v>
      </c>
      <c r="S354" s="81">
        <v>77982</v>
      </c>
      <c r="T354" s="80" t="str">
        <f>REPLACE(INDEX(GroupVertices[Group],MATCH(Edges[[#This Row],[Vertex 1]],GroupVertices[Vertex],0)),1,1,"")</f>
        <v>2</v>
      </c>
      <c r="U354" s="80" t="str">
        <f>REPLACE(INDEX(GroupVertices[Group],MATCH(Edges[[#This Row],[Vertex 2]],GroupVertices[Vertex],0)),1,1,"")</f>
        <v>2</v>
      </c>
      <c r="V354" s="49">
        <v>0</v>
      </c>
      <c r="W354" s="50">
        <v>0</v>
      </c>
      <c r="X354" s="49">
        <v>0</v>
      </c>
      <c r="Y354" s="50">
        <v>0</v>
      </c>
      <c r="Z354" s="49">
        <v>0</v>
      </c>
      <c r="AA354" s="50">
        <v>0</v>
      </c>
      <c r="AB354" s="49">
        <v>11</v>
      </c>
      <c r="AC354" s="50">
        <v>100</v>
      </c>
      <c r="AD354" s="49">
        <v>11</v>
      </c>
    </row>
    <row r="355" spans="1:30" ht="15">
      <c r="A355" s="65" t="s">
        <v>366</v>
      </c>
      <c r="B355" s="65" t="s">
        <v>355</v>
      </c>
      <c r="C355" s="66" t="s">
        <v>1297</v>
      </c>
      <c r="D355" s="67">
        <v>3</v>
      </c>
      <c r="E355" s="68"/>
      <c r="F355" s="69">
        <v>70</v>
      </c>
      <c r="G355" s="66"/>
      <c r="H355" s="70"/>
      <c r="I355" s="71"/>
      <c r="J355" s="71"/>
      <c r="K355" s="35" t="s">
        <v>65</v>
      </c>
      <c r="L355" s="79">
        <v>355</v>
      </c>
      <c r="M355" s="79"/>
      <c r="N355" s="73"/>
      <c r="O355" s="81" t="s">
        <v>444</v>
      </c>
      <c r="P355" s="81">
        <v>1</v>
      </c>
      <c r="Q355" s="81" t="s">
        <v>445</v>
      </c>
      <c r="R355" s="81" t="s">
        <v>464</v>
      </c>
      <c r="S355" s="81">
        <v>184877</v>
      </c>
      <c r="T355" s="80" t="str">
        <f>REPLACE(INDEX(GroupVertices[Group],MATCH(Edges[[#This Row],[Vertex 1]],GroupVertices[Vertex],0)),1,1,"")</f>
        <v>1</v>
      </c>
      <c r="U355" s="80" t="str">
        <f>REPLACE(INDEX(GroupVertices[Group],MATCH(Edges[[#This Row],[Vertex 2]],GroupVertices[Vertex],0)),1,1,"")</f>
        <v>2</v>
      </c>
      <c r="V355" s="49">
        <v>0</v>
      </c>
      <c r="W355" s="50">
        <v>0</v>
      </c>
      <c r="X355" s="49">
        <v>0</v>
      </c>
      <c r="Y355" s="50">
        <v>0</v>
      </c>
      <c r="Z355" s="49">
        <v>0</v>
      </c>
      <c r="AA355" s="50">
        <v>0</v>
      </c>
      <c r="AB355" s="49">
        <v>12</v>
      </c>
      <c r="AC355" s="50">
        <v>100</v>
      </c>
      <c r="AD355" s="49">
        <v>12</v>
      </c>
    </row>
    <row r="356" spans="1:30" ht="15">
      <c r="A356" s="65" t="s">
        <v>435</v>
      </c>
      <c r="B356" s="65" t="s">
        <v>355</v>
      </c>
      <c r="C356" s="66" t="s">
        <v>1297</v>
      </c>
      <c r="D356" s="67">
        <v>3</v>
      </c>
      <c r="E356" s="68"/>
      <c r="F356" s="69">
        <v>70</v>
      </c>
      <c r="G356" s="66"/>
      <c r="H356" s="70"/>
      <c r="I356" s="71"/>
      <c r="J356" s="71"/>
      <c r="K356" s="35" t="s">
        <v>65</v>
      </c>
      <c r="L356" s="79">
        <v>356</v>
      </c>
      <c r="M356" s="79"/>
      <c r="N356" s="73"/>
      <c r="O356" s="81" t="s">
        <v>444</v>
      </c>
      <c r="P356" s="81">
        <v>1</v>
      </c>
      <c r="Q356" s="81" t="s">
        <v>445</v>
      </c>
      <c r="R356" s="81" t="s">
        <v>663</v>
      </c>
      <c r="S356" s="81">
        <v>78429</v>
      </c>
      <c r="T356" s="80" t="str">
        <f>REPLACE(INDEX(GroupVertices[Group],MATCH(Edges[[#This Row],[Vertex 1]],GroupVertices[Vertex],0)),1,1,"")</f>
        <v>6</v>
      </c>
      <c r="U356" s="80" t="str">
        <f>REPLACE(INDEX(GroupVertices[Group],MATCH(Edges[[#This Row],[Vertex 2]],GroupVertices[Vertex],0)),1,1,"")</f>
        <v>2</v>
      </c>
      <c r="V356" s="49">
        <v>1</v>
      </c>
      <c r="W356" s="50">
        <v>20</v>
      </c>
      <c r="X356" s="49">
        <v>0</v>
      </c>
      <c r="Y356" s="50">
        <v>0</v>
      </c>
      <c r="Z356" s="49">
        <v>0</v>
      </c>
      <c r="AA356" s="50">
        <v>0</v>
      </c>
      <c r="AB356" s="49">
        <v>4</v>
      </c>
      <c r="AC356" s="50">
        <v>80</v>
      </c>
      <c r="AD356" s="49">
        <v>5</v>
      </c>
    </row>
    <row r="357" spans="1:30" ht="15">
      <c r="A357" s="65" t="s">
        <v>435</v>
      </c>
      <c r="B357" s="65" t="s">
        <v>435</v>
      </c>
      <c r="C357" s="66" t="s">
        <v>1297</v>
      </c>
      <c r="D357" s="67">
        <v>3</v>
      </c>
      <c r="E357" s="68"/>
      <c r="F357" s="69">
        <v>70</v>
      </c>
      <c r="G357" s="66"/>
      <c r="H357" s="70"/>
      <c r="I357" s="71"/>
      <c r="J357" s="71"/>
      <c r="K357" s="35" t="s">
        <v>65</v>
      </c>
      <c r="L357" s="79">
        <v>357</v>
      </c>
      <c r="M357" s="79"/>
      <c r="N357" s="73"/>
      <c r="O357" s="81" t="s">
        <v>444</v>
      </c>
      <c r="P357" s="81">
        <v>1</v>
      </c>
      <c r="Q357" s="81" t="s">
        <v>445</v>
      </c>
      <c r="R357" s="81" t="s">
        <v>663</v>
      </c>
      <c r="S357" s="81">
        <v>74394</v>
      </c>
      <c r="T357" s="80" t="str">
        <f>REPLACE(INDEX(GroupVertices[Group],MATCH(Edges[[#This Row],[Vertex 1]],GroupVertices[Vertex],0)),1,1,"")</f>
        <v>6</v>
      </c>
      <c r="U357" s="80" t="str">
        <f>REPLACE(INDEX(GroupVertices[Group],MATCH(Edges[[#This Row],[Vertex 2]],GroupVertices[Vertex],0)),1,1,"")</f>
        <v>6</v>
      </c>
      <c r="V357" s="49">
        <v>1</v>
      </c>
      <c r="W357" s="50">
        <v>20</v>
      </c>
      <c r="X357" s="49">
        <v>0</v>
      </c>
      <c r="Y357" s="50">
        <v>0</v>
      </c>
      <c r="Z357" s="49">
        <v>0</v>
      </c>
      <c r="AA357" s="50">
        <v>0</v>
      </c>
      <c r="AB357" s="49">
        <v>4</v>
      </c>
      <c r="AC357" s="50">
        <v>80</v>
      </c>
      <c r="AD357" s="49">
        <v>5</v>
      </c>
    </row>
    <row r="358" spans="1:30" ht="15">
      <c r="A358" s="65" t="s">
        <v>366</v>
      </c>
      <c r="B358" s="65" t="s">
        <v>435</v>
      </c>
      <c r="C358" s="66" t="s">
        <v>1297</v>
      </c>
      <c r="D358" s="67">
        <v>3</v>
      </c>
      <c r="E358" s="68"/>
      <c r="F358" s="69">
        <v>70</v>
      </c>
      <c r="G358" s="66"/>
      <c r="H358" s="70"/>
      <c r="I358" s="71"/>
      <c r="J358" s="71"/>
      <c r="K358" s="35" t="s">
        <v>65</v>
      </c>
      <c r="L358" s="79">
        <v>358</v>
      </c>
      <c r="M358" s="79"/>
      <c r="N358" s="73"/>
      <c r="O358" s="81" t="s">
        <v>444</v>
      </c>
      <c r="P358" s="81">
        <v>1</v>
      </c>
      <c r="Q358" s="81" t="s">
        <v>445</v>
      </c>
      <c r="R358" s="81" t="s">
        <v>663</v>
      </c>
      <c r="S358" s="81">
        <v>79423</v>
      </c>
      <c r="T358" s="80" t="str">
        <f>REPLACE(INDEX(GroupVertices[Group],MATCH(Edges[[#This Row],[Vertex 1]],GroupVertices[Vertex],0)),1,1,"")</f>
        <v>1</v>
      </c>
      <c r="U358" s="80" t="str">
        <f>REPLACE(INDEX(GroupVertices[Group],MATCH(Edges[[#This Row],[Vertex 2]],GroupVertices[Vertex],0)),1,1,"")</f>
        <v>6</v>
      </c>
      <c r="V358" s="49">
        <v>1</v>
      </c>
      <c r="W358" s="50">
        <v>20</v>
      </c>
      <c r="X358" s="49">
        <v>0</v>
      </c>
      <c r="Y358" s="50">
        <v>0</v>
      </c>
      <c r="Z358" s="49">
        <v>0</v>
      </c>
      <c r="AA358" s="50">
        <v>0</v>
      </c>
      <c r="AB358" s="49">
        <v>4</v>
      </c>
      <c r="AC358" s="50">
        <v>80</v>
      </c>
      <c r="AD358" s="49">
        <v>5</v>
      </c>
    </row>
    <row r="359" spans="1:30" ht="15">
      <c r="A359" s="65" t="s">
        <v>366</v>
      </c>
      <c r="B359" s="65" t="s">
        <v>335</v>
      </c>
      <c r="C359" s="66" t="s">
        <v>1297</v>
      </c>
      <c r="D359" s="67">
        <v>3</v>
      </c>
      <c r="E359" s="68"/>
      <c r="F359" s="69">
        <v>70</v>
      </c>
      <c r="G359" s="66"/>
      <c r="H359" s="70"/>
      <c r="I359" s="71"/>
      <c r="J359" s="71"/>
      <c r="K359" s="35" t="s">
        <v>66</v>
      </c>
      <c r="L359" s="79">
        <v>359</v>
      </c>
      <c r="M359" s="79"/>
      <c r="N359" s="73"/>
      <c r="O359" s="81" t="s">
        <v>444</v>
      </c>
      <c r="P359" s="81">
        <v>1</v>
      </c>
      <c r="Q359" s="81" t="s">
        <v>445</v>
      </c>
      <c r="R359" s="81" t="s">
        <v>664</v>
      </c>
      <c r="S359" s="81">
        <v>78146</v>
      </c>
      <c r="T359" s="80" t="str">
        <f>REPLACE(INDEX(GroupVertices[Group],MATCH(Edges[[#This Row],[Vertex 1]],GroupVertices[Vertex],0)),1,1,"")</f>
        <v>1</v>
      </c>
      <c r="U359" s="80" t="str">
        <f>REPLACE(INDEX(GroupVertices[Group],MATCH(Edges[[#This Row],[Vertex 2]],GroupVertices[Vertex],0)),1,1,"")</f>
        <v>1</v>
      </c>
      <c r="V359" s="49">
        <v>0</v>
      </c>
      <c r="W359" s="50">
        <v>0</v>
      </c>
      <c r="X359" s="49">
        <v>0</v>
      </c>
      <c r="Y359" s="50">
        <v>0</v>
      </c>
      <c r="Z359" s="49">
        <v>0</v>
      </c>
      <c r="AA359" s="50">
        <v>0</v>
      </c>
      <c r="AB359" s="49">
        <v>2</v>
      </c>
      <c r="AC359" s="50">
        <v>100</v>
      </c>
      <c r="AD359" s="49">
        <v>2</v>
      </c>
    </row>
    <row r="360" spans="1:30" ht="15">
      <c r="A360" s="65" t="s">
        <v>366</v>
      </c>
      <c r="B360" s="65" t="s">
        <v>366</v>
      </c>
      <c r="C360" s="66" t="s">
        <v>1298</v>
      </c>
      <c r="D360" s="67">
        <v>10</v>
      </c>
      <c r="E360" s="68"/>
      <c r="F360" s="69">
        <v>40</v>
      </c>
      <c r="G360" s="66"/>
      <c r="H360" s="70"/>
      <c r="I360" s="71"/>
      <c r="J360" s="71"/>
      <c r="K360" s="35" t="s">
        <v>65</v>
      </c>
      <c r="L360" s="79">
        <v>360</v>
      </c>
      <c r="M360" s="79"/>
      <c r="N360" s="73"/>
      <c r="O360" s="81" t="s">
        <v>444</v>
      </c>
      <c r="P360" s="81">
        <v>4</v>
      </c>
      <c r="Q360" s="81" t="s">
        <v>445</v>
      </c>
      <c r="R360" s="81" t="s">
        <v>664</v>
      </c>
      <c r="S360" s="81">
        <v>79869</v>
      </c>
      <c r="T360" s="80" t="str">
        <f>REPLACE(INDEX(GroupVertices[Group],MATCH(Edges[[#This Row],[Vertex 1]],GroupVertices[Vertex],0)),1,1,"")</f>
        <v>1</v>
      </c>
      <c r="U360" s="80" t="str">
        <f>REPLACE(INDEX(GroupVertices[Group],MATCH(Edges[[#This Row],[Vertex 2]],GroupVertices[Vertex],0)),1,1,"")</f>
        <v>1</v>
      </c>
      <c r="V360" s="49">
        <v>0</v>
      </c>
      <c r="W360" s="50">
        <v>0</v>
      </c>
      <c r="X360" s="49">
        <v>0</v>
      </c>
      <c r="Y360" s="50">
        <v>0</v>
      </c>
      <c r="Z360" s="49">
        <v>0</v>
      </c>
      <c r="AA360" s="50">
        <v>0</v>
      </c>
      <c r="AB360" s="49">
        <v>2</v>
      </c>
      <c r="AC360" s="50">
        <v>100</v>
      </c>
      <c r="AD360" s="49">
        <v>2</v>
      </c>
    </row>
    <row r="361" spans="1:30" ht="15">
      <c r="A361" s="65" t="s">
        <v>335</v>
      </c>
      <c r="B361" s="65" t="s">
        <v>366</v>
      </c>
      <c r="C361" s="66" t="s">
        <v>1297</v>
      </c>
      <c r="D361" s="67">
        <v>3</v>
      </c>
      <c r="E361" s="68"/>
      <c r="F361" s="69">
        <v>70</v>
      </c>
      <c r="G361" s="66"/>
      <c r="H361" s="70"/>
      <c r="I361" s="71"/>
      <c r="J361" s="71"/>
      <c r="K361" s="35" t="s">
        <v>66</v>
      </c>
      <c r="L361" s="79">
        <v>361</v>
      </c>
      <c r="M361" s="79"/>
      <c r="N361" s="73"/>
      <c r="O361" s="81" t="s">
        <v>444</v>
      </c>
      <c r="P361" s="81">
        <v>1</v>
      </c>
      <c r="Q361" s="81" t="s">
        <v>445</v>
      </c>
      <c r="R361" s="81" t="s">
        <v>664</v>
      </c>
      <c r="S361" s="81">
        <v>79978</v>
      </c>
      <c r="T361" s="80" t="str">
        <f>REPLACE(INDEX(GroupVertices[Group],MATCH(Edges[[#This Row],[Vertex 1]],GroupVertices[Vertex],0)),1,1,"")</f>
        <v>1</v>
      </c>
      <c r="U361" s="80" t="str">
        <f>REPLACE(INDEX(GroupVertices[Group],MATCH(Edges[[#This Row],[Vertex 2]],GroupVertices[Vertex],0)),1,1,"")</f>
        <v>1</v>
      </c>
      <c r="V361" s="49">
        <v>0</v>
      </c>
      <c r="W361" s="50">
        <v>0</v>
      </c>
      <c r="X361" s="49">
        <v>0</v>
      </c>
      <c r="Y361" s="50">
        <v>0</v>
      </c>
      <c r="Z361" s="49">
        <v>0</v>
      </c>
      <c r="AA361" s="50">
        <v>0</v>
      </c>
      <c r="AB361" s="49">
        <v>2</v>
      </c>
      <c r="AC361" s="50">
        <v>100</v>
      </c>
      <c r="AD361" s="49">
        <v>2</v>
      </c>
    </row>
    <row r="362" spans="1:30" ht="15">
      <c r="A362" s="65" t="s">
        <v>335</v>
      </c>
      <c r="B362" s="65" t="s">
        <v>335</v>
      </c>
      <c r="C362" s="66" t="s">
        <v>1298</v>
      </c>
      <c r="D362" s="67">
        <v>10</v>
      </c>
      <c r="E362" s="68"/>
      <c r="F362" s="69">
        <v>40</v>
      </c>
      <c r="G362" s="66"/>
      <c r="H362" s="70"/>
      <c r="I362" s="71"/>
      <c r="J362" s="71"/>
      <c r="K362" s="35" t="s">
        <v>65</v>
      </c>
      <c r="L362" s="79">
        <v>362</v>
      </c>
      <c r="M362" s="79"/>
      <c r="N362" s="73"/>
      <c r="O362" s="81" t="s">
        <v>444</v>
      </c>
      <c r="P362" s="81">
        <v>9</v>
      </c>
      <c r="Q362" s="81" t="s">
        <v>445</v>
      </c>
      <c r="R362" s="81" t="s">
        <v>665</v>
      </c>
      <c r="S362" s="81">
        <v>73990</v>
      </c>
      <c r="T362" s="80" t="str">
        <f>REPLACE(INDEX(GroupVertices[Group],MATCH(Edges[[#This Row],[Vertex 1]],GroupVertices[Vertex],0)),1,1,"")</f>
        <v>1</v>
      </c>
      <c r="U362" s="80" t="str">
        <f>REPLACE(INDEX(GroupVertices[Group],MATCH(Edges[[#This Row],[Vertex 2]],GroupVertices[Vertex],0)),1,1,"")</f>
        <v>1</v>
      </c>
      <c r="V362" s="49">
        <v>0</v>
      </c>
      <c r="W362" s="50">
        <v>0</v>
      </c>
      <c r="X362" s="49">
        <v>0</v>
      </c>
      <c r="Y362" s="50">
        <v>0</v>
      </c>
      <c r="Z362" s="49">
        <v>0</v>
      </c>
      <c r="AA362" s="50">
        <v>0</v>
      </c>
      <c r="AB362" s="49">
        <v>3</v>
      </c>
      <c r="AC362" s="50">
        <v>100</v>
      </c>
      <c r="AD362"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ErrorMessage="1" sqref="N2:N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Color" prompt="To select an optional edge color, right-click and select Select Color on the right-click menu." sqref="C3:C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Opacity" prompt="Enter an optional edge opacity between 0 (transparent) and 100 (opaque)." errorTitle="Invalid Edge Opacity" error="The optional edge opacity must be a whole number between 0 and 10." sqref="F3:F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showErrorMessage="1" promptTitle="Vertex 1 Name" prompt="Enter the name of the edge's first vertex." sqref="A3:A362"/>
    <dataValidation allowBlank="1" showInputMessage="1" showErrorMessage="1" promptTitle="Vertex 2 Name" prompt="Enter the name of the edge's second vertex." sqref="B3:B362"/>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82E5-37CC-447A-A7A0-5689518D0994}">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v>
      </c>
      <c r="B2" s="107" t="s">
        <v>951</v>
      </c>
      <c r="C2" s="54" t="s">
        <v>952</v>
      </c>
    </row>
    <row r="3" spans="1:3" ht="15">
      <c r="A3" s="106" t="s">
        <v>688</v>
      </c>
      <c r="B3" s="106" t="s">
        <v>688</v>
      </c>
      <c r="C3" s="35">
        <v>51</v>
      </c>
    </row>
    <row r="4" spans="1:3" ht="15">
      <c r="A4" s="106" t="s">
        <v>688</v>
      </c>
      <c r="B4" s="106" t="s">
        <v>689</v>
      </c>
      <c r="C4" s="35">
        <v>10</v>
      </c>
    </row>
    <row r="5" spans="1:3" ht="15">
      <c r="A5" s="106" t="s">
        <v>688</v>
      </c>
      <c r="B5" s="106" t="s">
        <v>690</v>
      </c>
      <c r="C5" s="35">
        <v>3</v>
      </c>
    </row>
    <row r="6" spans="1:3" ht="15">
      <c r="A6" s="106" t="s">
        <v>688</v>
      </c>
      <c r="B6" s="106" t="s">
        <v>691</v>
      </c>
      <c r="C6" s="35">
        <v>2</v>
      </c>
    </row>
    <row r="7" spans="1:3" ht="15">
      <c r="A7" s="106" t="s">
        <v>688</v>
      </c>
      <c r="B7" s="106" t="s">
        <v>692</v>
      </c>
      <c r="C7" s="35">
        <v>5</v>
      </c>
    </row>
    <row r="8" spans="1:3" ht="15">
      <c r="A8" s="106" t="s">
        <v>688</v>
      </c>
      <c r="B8" s="106" t="s">
        <v>693</v>
      </c>
      <c r="C8" s="35">
        <v>2</v>
      </c>
    </row>
    <row r="9" spans="1:3" ht="15">
      <c r="A9" s="106" t="s">
        <v>688</v>
      </c>
      <c r="B9" s="106" t="s">
        <v>694</v>
      </c>
      <c r="C9" s="35">
        <v>4</v>
      </c>
    </row>
    <row r="10" spans="1:3" ht="15">
      <c r="A10" s="106" t="s">
        <v>688</v>
      </c>
      <c r="B10" s="106" t="s">
        <v>695</v>
      </c>
      <c r="C10" s="35">
        <v>1</v>
      </c>
    </row>
    <row r="11" spans="1:3" ht="15">
      <c r="A11" s="106" t="s">
        <v>688</v>
      </c>
      <c r="B11" s="106" t="s">
        <v>696</v>
      </c>
      <c r="C11" s="35">
        <v>1</v>
      </c>
    </row>
    <row r="12" spans="1:3" ht="15">
      <c r="A12" s="106" t="s">
        <v>689</v>
      </c>
      <c r="B12" s="106" t="s">
        <v>688</v>
      </c>
      <c r="C12" s="35">
        <v>8</v>
      </c>
    </row>
    <row r="13" spans="1:3" ht="15">
      <c r="A13" s="106" t="s">
        <v>689</v>
      </c>
      <c r="B13" s="106" t="s">
        <v>689</v>
      </c>
      <c r="C13" s="35">
        <v>55</v>
      </c>
    </row>
    <row r="14" spans="1:3" ht="15">
      <c r="A14" s="106" t="s">
        <v>689</v>
      </c>
      <c r="B14" s="106" t="s">
        <v>690</v>
      </c>
      <c r="C14" s="35">
        <v>7</v>
      </c>
    </row>
    <row r="15" spans="1:3" ht="15">
      <c r="A15" s="106" t="s">
        <v>689</v>
      </c>
      <c r="B15" s="106" t="s">
        <v>691</v>
      </c>
      <c r="C15" s="35">
        <v>3</v>
      </c>
    </row>
    <row r="16" spans="1:3" ht="15">
      <c r="A16" s="106" t="s">
        <v>689</v>
      </c>
      <c r="B16" s="106" t="s">
        <v>692</v>
      </c>
      <c r="C16" s="35">
        <v>6</v>
      </c>
    </row>
    <row r="17" spans="1:3" ht="15">
      <c r="A17" s="106" t="s">
        <v>689</v>
      </c>
      <c r="B17" s="106" t="s">
        <v>693</v>
      </c>
      <c r="C17" s="35">
        <v>2</v>
      </c>
    </row>
    <row r="18" spans="1:3" ht="15">
      <c r="A18" s="106" t="s">
        <v>689</v>
      </c>
      <c r="B18" s="106" t="s">
        <v>694</v>
      </c>
      <c r="C18" s="35">
        <v>5</v>
      </c>
    </row>
    <row r="19" spans="1:3" ht="15">
      <c r="A19" s="106" t="s">
        <v>690</v>
      </c>
      <c r="B19" s="106" t="s">
        <v>688</v>
      </c>
      <c r="C19" s="35">
        <v>4</v>
      </c>
    </row>
    <row r="20" spans="1:3" ht="15">
      <c r="A20" s="106" t="s">
        <v>690</v>
      </c>
      <c r="B20" s="106" t="s">
        <v>689</v>
      </c>
      <c r="C20" s="35">
        <v>7</v>
      </c>
    </row>
    <row r="21" spans="1:3" ht="15">
      <c r="A21" s="106" t="s">
        <v>690</v>
      </c>
      <c r="B21" s="106" t="s">
        <v>690</v>
      </c>
      <c r="C21" s="35">
        <v>31</v>
      </c>
    </row>
    <row r="22" spans="1:3" ht="15">
      <c r="A22" s="106" t="s">
        <v>690</v>
      </c>
      <c r="B22" s="106" t="s">
        <v>691</v>
      </c>
      <c r="C22" s="35">
        <v>4</v>
      </c>
    </row>
    <row r="23" spans="1:3" ht="15">
      <c r="A23" s="106" t="s">
        <v>690</v>
      </c>
      <c r="B23" s="106" t="s">
        <v>692</v>
      </c>
      <c r="C23" s="35">
        <v>5</v>
      </c>
    </row>
    <row r="24" spans="1:3" ht="15">
      <c r="A24" s="106" t="s">
        <v>690</v>
      </c>
      <c r="B24" s="106" t="s">
        <v>694</v>
      </c>
      <c r="C24" s="35">
        <v>2</v>
      </c>
    </row>
    <row r="25" spans="1:3" ht="15">
      <c r="A25" s="106" t="s">
        <v>691</v>
      </c>
      <c r="B25" s="106" t="s">
        <v>688</v>
      </c>
      <c r="C25" s="35">
        <v>6</v>
      </c>
    </row>
    <row r="26" spans="1:3" ht="15">
      <c r="A26" s="106" t="s">
        <v>691</v>
      </c>
      <c r="B26" s="106" t="s">
        <v>689</v>
      </c>
      <c r="C26" s="35">
        <v>2</v>
      </c>
    </row>
    <row r="27" spans="1:3" ht="15">
      <c r="A27" s="106" t="s">
        <v>691</v>
      </c>
      <c r="B27" s="106" t="s">
        <v>690</v>
      </c>
      <c r="C27" s="35">
        <v>2</v>
      </c>
    </row>
    <row r="28" spans="1:3" ht="15">
      <c r="A28" s="106" t="s">
        <v>691</v>
      </c>
      <c r="B28" s="106" t="s">
        <v>691</v>
      </c>
      <c r="C28" s="35">
        <v>27</v>
      </c>
    </row>
    <row r="29" spans="1:3" ht="15">
      <c r="A29" s="106" t="s">
        <v>691</v>
      </c>
      <c r="B29" s="106" t="s">
        <v>692</v>
      </c>
      <c r="C29" s="35">
        <v>4</v>
      </c>
    </row>
    <row r="30" spans="1:3" ht="15">
      <c r="A30" s="106" t="s">
        <v>691</v>
      </c>
      <c r="B30" s="106" t="s">
        <v>693</v>
      </c>
      <c r="C30" s="35">
        <v>2</v>
      </c>
    </row>
    <row r="31" spans="1:3" ht="15">
      <c r="A31" s="106" t="s">
        <v>692</v>
      </c>
      <c r="B31" s="106" t="s">
        <v>688</v>
      </c>
      <c r="C31" s="35">
        <v>5</v>
      </c>
    </row>
    <row r="32" spans="1:3" ht="15">
      <c r="A32" s="106" t="s">
        <v>692</v>
      </c>
      <c r="B32" s="106" t="s">
        <v>689</v>
      </c>
      <c r="C32" s="35">
        <v>6</v>
      </c>
    </row>
    <row r="33" spans="1:3" ht="15">
      <c r="A33" s="106" t="s">
        <v>692</v>
      </c>
      <c r="B33" s="106" t="s">
        <v>690</v>
      </c>
      <c r="C33" s="35">
        <v>4</v>
      </c>
    </row>
    <row r="34" spans="1:3" ht="15">
      <c r="A34" s="106" t="s">
        <v>692</v>
      </c>
      <c r="B34" s="106" t="s">
        <v>691</v>
      </c>
      <c r="C34" s="35">
        <v>4</v>
      </c>
    </row>
    <row r="35" spans="1:3" ht="15">
      <c r="A35" s="106" t="s">
        <v>692</v>
      </c>
      <c r="B35" s="106" t="s">
        <v>692</v>
      </c>
      <c r="C35" s="35">
        <v>19</v>
      </c>
    </row>
    <row r="36" spans="1:3" ht="15">
      <c r="A36" s="106" t="s">
        <v>692</v>
      </c>
      <c r="B36" s="106" t="s">
        <v>693</v>
      </c>
      <c r="C36" s="35">
        <v>1</v>
      </c>
    </row>
    <row r="37" spans="1:3" ht="15">
      <c r="A37" s="106" t="s">
        <v>692</v>
      </c>
      <c r="B37" s="106" t="s">
        <v>694</v>
      </c>
      <c r="C37" s="35">
        <v>1</v>
      </c>
    </row>
    <row r="38" spans="1:3" ht="15">
      <c r="A38" s="106" t="s">
        <v>692</v>
      </c>
      <c r="B38" s="106" t="s">
        <v>695</v>
      </c>
      <c r="C38" s="35">
        <v>1</v>
      </c>
    </row>
    <row r="39" spans="1:3" ht="15">
      <c r="A39" s="106" t="s">
        <v>693</v>
      </c>
      <c r="B39" s="106" t="s">
        <v>688</v>
      </c>
      <c r="C39" s="35">
        <v>3</v>
      </c>
    </row>
    <row r="40" spans="1:3" ht="15">
      <c r="A40" s="106" t="s">
        <v>693</v>
      </c>
      <c r="B40" s="106" t="s">
        <v>689</v>
      </c>
      <c r="C40" s="35">
        <v>1</v>
      </c>
    </row>
    <row r="41" spans="1:3" ht="15">
      <c r="A41" s="106" t="s">
        <v>693</v>
      </c>
      <c r="B41" s="106" t="s">
        <v>690</v>
      </c>
      <c r="C41" s="35">
        <v>1</v>
      </c>
    </row>
    <row r="42" spans="1:3" ht="15">
      <c r="A42" s="106" t="s">
        <v>693</v>
      </c>
      <c r="B42" s="106" t="s">
        <v>691</v>
      </c>
      <c r="C42" s="35">
        <v>1</v>
      </c>
    </row>
    <row r="43" spans="1:3" ht="15">
      <c r="A43" s="106" t="s">
        <v>693</v>
      </c>
      <c r="B43" s="106" t="s">
        <v>692</v>
      </c>
      <c r="C43" s="35">
        <v>1</v>
      </c>
    </row>
    <row r="44" spans="1:3" ht="15">
      <c r="A44" s="106" t="s">
        <v>693</v>
      </c>
      <c r="B44" s="106" t="s">
        <v>693</v>
      </c>
      <c r="C44" s="35">
        <v>15</v>
      </c>
    </row>
    <row r="45" spans="1:3" ht="15">
      <c r="A45" s="106" t="s">
        <v>694</v>
      </c>
      <c r="B45" s="106" t="s">
        <v>688</v>
      </c>
      <c r="C45" s="35">
        <v>3</v>
      </c>
    </row>
    <row r="46" spans="1:3" ht="15">
      <c r="A46" s="106" t="s">
        <v>694</v>
      </c>
      <c r="B46" s="106" t="s">
        <v>689</v>
      </c>
      <c r="C46" s="35">
        <v>2</v>
      </c>
    </row>
    <row r="47" spans="1:3" ht="15">
      <c r="A47" s="106" t="s">
        <v>694</v>
      </c>
      <c r="B47" s="106" t="s">
        <v>690</v>
      </c>
      <c r="C47" s="35">
        <v>3</v>
      </c>
    </row>
    <row r="48" spans="1:3" ht="15">
      <c r="A48" s="106" t="s">
        <v>694</v>
      </c>
      <c r="B48" s="106" t="s">
        <v>691</v>
      </c>
      <c r="C48" s="35">
        <v>1</v>
      </c>
    </row>
    <row r="49" spans="1:3" ht="15">
      <c r="A49" s="106" t="s">
        <v>694</v>
      </c>
      <c r="B49" s="106" t="s">
        <v>692</v>
      </c>
      <c r="C49" s="35">
        <v>2</v>
      </c>
    </row>
    <row r="50" spans="1:3" ht="15">
      <c r="A50" s="106" t="s">
        <v>694</v>
      </c>
      <c r="B50" s="106" t="s">
        <v>693</v>
      </c>
      <c r="C50" s="35">
        <v>1</v>
      </c>
    </row>
    <row r="51" spans="1:3" ht="15">
      <c r="A51" s="106" t="s">
        <v>694</v>
      </c>
      <c r="B51" s="106" t="s">
        <v>694</v>
      </c>
      <c r="C51" s="35">
        <v>12</v>
      </c>
    </row>
    <row r="52" spans="1:3" ht="15">
      <c r="A52" s="106" t="s">
        <v>695</v>
      </c>
      <c r="B52" s="106" t="s">
        <v>688</v>
      </c>
      <c r="C52" s="35">
        <v>1</v>
      </c>
    </row>
    <row r="53" spans="1:3" ht="15">
      <c r="A53" s="106" t="s">
        <v>695</v>
      </c>
      <c r="B53" s="106" t="s">
        <v>689</v>
      </c>
      <c r="C53" s="35">
        <v>1</v>
      </c>
    </row>
    <row r="54" spans="1:3" ht="15">
      <c r="A54" s="106" t="s">
        <v>695</v>
      </c>
      <c r="B54" s="106" t="s">
        <v>695</v>
      </c>
      <c r="C54" s="35">
        <v>5</v>
      </c>
    </row>
    <row r="55" spans="1:3" ht="15">
      <c r="A55" s="106" t="s">
        <v>696</v>
      </c>
      <c r="B55" s="106" t="s">
        <v>689</v>
      </c>
      <c r="C55" s="35">
        <v>1</v>
      </c>
    </row>
    <row r="56" spans="1:3" ht="15">
      <c r="A56" s="106" t="s">
        <v>696</v>
      </c>
      <c r="B56" s="106" t="s">
        <v>696</v>
      </c>
      <c r="C56" s="35">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96027-E062-4F35-85AD-1D672022417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v>
      </c>
      <c r="B1" s="13" t="s">
        <v>17</v>
      </c>
    </row>
    <row r="2" spans="1:2" ht="15">
      <c r="A2" s="80" t="s">
        <v>972</v>
      </c>
      <c r="B2" s="80"/>
    </row>
    <row r="3" spans="1:2" ht="15">
      <c r="A3" s="81" t="s">
        <v>973</v>
      </c>
      <c r="B3" s="80"/>
    </row>
    <row r="4" spans="1:2" ht="15">
      <c r="A4" s="81" t="s">
        <v>974</v>
      </c>
      <c r="B4" s="80"/>
    </row>
    <row r="5" spans="1:2" ht="15">
      <c r="A5" s="81" t="s">
        <v>975</v>
      </c>
      <c r="B5" s="80"/>
    </row>
    <row r="6" spans="1:2" ht="15">
      <c r="A6" s="81" t="s">
        <v>976</v>
      </c>
      <c r="B6" s="80"/>
    </row>
    <row r="7" spans="1:2" ht="15">
      <c r="A7" s="81" t="s">
        <v>673</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461C-5D4A-474D-8549-EF8FE1E4A0A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v>
      </c>
      <c r="B1" s="13" t="s">
        <v>34</v>
      </c>
    </row>
    <row r="2" spans="1:2" ht="15">
      <c r="A2" s="97" t="s">
        <v>335</v>
      </c>
      <c r="B2" s="80">
        <v>2973.768619</v>
      </c>
    </row>
    <row r="3" spans="1:2" ht="15">
      <c r="A3" s="101" t="s">
        <v>355</v>
      </c>
      <c r="B3" s="80">
        <v>2567.370642</v>
      </c>
    </row>
    <row r="4" spans="1:2" ht="15">
      <c r="A4" s="101" t="s">
        <v>341</v>
      </c>
      <c r="B4" s="80">
        <v>2261.37159</v>
      </c>
    </row>
    <row r="5" spans="1:2" ht="15">
      <c r="A5" s="101" t="s">
        <v>348</v>
      </c>
      <c r="B5" s="80">
        <v>1916.160955</v>
      </c>
    </row>
    <row r="6" spans="1:2" ht="15">
      <c r="A6" s="101" t="s">
        <v>366</v>
      </c>
      <c r="B6" s="80">
        <v>1625.434833</v>
      </c>
    </row>
    <row r="7" spans="1:2" ht="15">
      <c r="A7" s="101" t="s">
        <v>329</v>
      </c>
      <c r="B7" s="80">
        <v>1192.342964</v>
      </c>
    </row>
    <row r="8" spans="1:2" ht="15">
      <c r="A8" s="101" t="s">
        <v>354</v>
      </c>
      <c r="B8" s="80">
        <v>1189.336088</v>
      </c>
    </row>
    <row r="9" spans="1:2" ht="15">
      <c r="A9" s="101" t="s">
        <v>331</v>
      </c>
      <c r="B9" s="80">
        <v>1172.257345</v>
      </c>
    </row>
    <row r="10" spans="1:2" ht="15">
      <c r="A10" s="101" t="s">
        <v>412</v>
      </c>
      <c r="B10" s="80">
        <v>1079.192698</v>
      </c>
    </row>
    <row r="11" spans="1:2" ht="15">
      <c r="A11" s="101" t="s">
        <v>379</v>
      </c>
      <c r="B11" s="80">
        <v>902.353502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8513-CF2D-4F54-AC6E-21D31B23113D}">
  <dimension ref="A1:T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s>
  <sheetData>
    <row r="1" spans="1:20" ht="15" customHeight="1">
      <c r="A1" s="13" t="s">
        <v>978</v>
      </c>
      <c r="B1" s="13" t="s">
        <v>979</v>
      </c>
      <c r="C1" s="13" t="s">
        <v>980</v>
      </c>
      <c r="D1" s="13" t="s">
        <v>982</v>
      </c>
      <c r="E1" s="13" t="s">
        <v>981</v>
      </c>
      <c r="F1" s="13" t="s">
        <v>984</v>
      </c>
      <c r="G1" s="13" t="s">
        <v>983</v>
      </c>
      <c r="H1" s="13" t="s">
        <v>986</v>
      </c>
      <c r="I1" s="13" t="s">
        <v>985</v>
      </c>
      <c r="J1" s="13" t="s">
        <v>988</v>
      </c>
      <c r="K1" s="13" t="s">
        <v>987</v>
      </c>
      <c r="L1" s="13" t="s">
        <v>990</v>
      </c>
      <c r="M1" s="13" t="s">
        <v>989</v>
      </c>
      <c r="N1" s="13" t="s">
        <v>992</v>
      </c>
      <c r="O1" s="13" t="s">
        <v>991</v>
      </c>
      <c r="P1" s="13" t="s">
        <v>994</v>
      </c>
      <c r="Q1" s="13" t="s">
        <v>993</v>
      </c>
      <c r="R1" s="13" t="s">
        <v>996</v>
      </c>
      <c r="S1" s="13" t="s">
        <v>995</v>
      </c>
      <c r="T1" s="13" t="s">
        <v>997</v>
      </c>
    </row>
    <row r="2" spans="1:20" ht="15">
      <c r="A2" s="100" t="s">
        <v>718</v>
      </c>
      <c r="B2" s="100">
        <v>82</v>
      </c>
      <c r="C2" s="100" t="s">
        <v>718</v>
      </c>
      <c r="D2" s="100">
        <v>27</v>
      </c>
      <c r="E2" s="100" t="s">
        <v>718</v>
      </c>
      <c r="F2" s="100">
        <v>22</v>
      </c>
      <c r="G2" s="100" t="s">
        <v>720</v>
      </c>
      <c r="H2" s="100">
        <v>9</v>
      </c>
      <c r="I2" s="100" t="s">
        <v>742</v>
      </c>
      <c r="J2" s="100">
        <v>8</v>
      </c>
      <c r="K2" s="100" t="s">
        <v>732</v>
      </c>
      <c r="L2" s="100">
        <v>15</v>
      </c>
      <c r="M2" s="100" t="s">
        <v>719</v>
      </c>
      <c r="N2" s="100">
        <v>10</v>
      </c>
      <c r="O2" s="100" t="s">
        <v>720</v>
      </c>
      <c r="P2" s="100">
        <v>8</v>
      </c>
      <c r="Q2" s="100" t="s">
        <v>721</v>
      </c>
      <c r="R2" s="100">
        <v>3</v>
      </c>
      <c r="S2" s="100" t="s">
        <v>777</v>
      </c>
      <c r="T2" s="100">
        <v>6</v>
      </c>
    </row>
    <row r="3" spans="1:20" ht="15">
      <c r="A3" s="102" t="s">
        <v>719</v>
      </c>
      <c r="B3" s="100">
        <v>55</v>
      </c>
      <c r="C3" s="100" t="s">
        <v>722</v>
      </c>
      <c r="D3" s="100">
        <v>16</v>
      </c>
      <c r="E3" s="100" t="s">
        <v>719</v>
      </c>
      <c r="F3" s="100">
        <v>16</v>
      </c>
      <c r="G3" s="100" t="s">
        <v>741</v>
      </c>
      <c r="H3" s="100">
        <v>9</v>
      </c>
      <c r="I3" s="100" t="s">
        <v>743</v>
      </c>
      <c r="J3" s="100">
        <v>8</v>
      </c>
      <c r="K3" s="100" t="s">
        <v>733</v>
      </c>
      <c r="L3" s="100">
        <v>11</v>
      </c>
      <c r="M3" s="100" t="s">
        <v>718</v>
      </c>
      <c r="N3" s="100">
        <v>10</v>
      </c>
      <c r="O3" s="100" t="s">
        <v>726</v>
      </c>
      <c r="P3" s="100">
        <v>4</v>
      </c>
      <c r="Q3" s="100" t="s">
        <v>734</v>
      </c>
      <c r="R3" s="100">
        <v>2</v>
      </c>
      <c r="S3" s="100" t="s">
        <v>778</v>
      </c>
      <c r="T3" s="100">
        <v>6</v>
      </c>
    </row>
    <row r="4" spans="1:20" ht="15">
      <c r="A4" s="102" t="s">
        <v>720</v>
      </c>
      <c r="B4" s="100">
        <v>43</v>
      </c>
      <c r="C4" s="100" t="s">
        <v>725</v>
      </c>
      <c r="D4" s="100">
        <v>16</v>
      </c>
      <c r="E4" s="100" t="s">
        <v>720</v>
      </c>
      <c r="F4" s="100">
        <v>14</v>
      </c>
      <c r="G4" s="100" t="s">
        <v>718</v>
      </c>
      <c r="H4" s="100">
        <v>8</v>
      </c>
      <c r="I4" s="100" t="s">
        <v>718</v>
      </c>
      <c r="J4" s="100">
        <v>7</v>
      </c>
      <c r="K4" s="100" t="s">
        <v>734</v>
      </c>
      <c r="L4" s="100">
        <v>10</v>
      </c>
      <c r="M4" s="100" t="s">
        <v>762</v>
      </c>
      <c r="N4" s="100">
        <v>9</v>
      </c>
      <c r="O4" s="100" t="s">
        <v>727</v>
      </c>
      <c r="P4" s="100">
        <v>4</v>
      </c>
      <c r="Q4" s="100" t="s">
        <v>735</v>
      </c>
      <c r="R4" s="100">
        <v>2</v>
      </c>
      <c r="S4" s="100" t="s">
        <v>759</v>
      </c>
      <c r="T4" s="100">
        <v>6</v>
      </c>
    </row>
    <row r="5" spans="1:20" ht="15">
      <c r="A5" s="102" t="s">
        <v>721</v>
      </c>
      <c r="B5" s="100">
        <v>35</v>
      </c>
      <c r="C5" s="100" t="s">
        <v>723</v>
      </c>
      <c r="D5" s="100">
        <v>16</v>
      </c>
      <c r="E5" s="100" t="s">
        <v>745</v>
      </c>
      <c r="F5" s="100">
        <v>14</v>
      </c>
      <c r="G5" s="100" t="s">
        <v>726</v>
      </c>
      <c r="H5" s="100">
        <v>7</v>
      </c>
      <c r="I5" s="100" t="s">
        <v>721</v>
      </c>
      <c r="J5" s="100">
        <v>6</v>
      </c>
      <c r="K5" s="100" t="s">
        <v>735</v>
      </c>
      <c r="L5" s="100">
        <v>10</v>
      </c>
      <c r="M5" s="100" t="s">
        <v>763</v>
      </c>
      <c r="N5" s="100">
        <v>9</v>
      </c>
      <c r="O5" s="100" t="s">
        <v>728</v>
      </c>
      <c r="P5" s="100">
        <v>4</v>
      </c>
      <c r="Q5" s="100" t="s">
        <v>736</v>
      </c>
      <c r="R5" s="100">
        <v>2</v>
      </c>
      <c r="S5" s="100" t="s">
        <v>779</v>
      </c>
      <c r="T5" s="100">
        <v>6</v>
      </c>
    </row>
    <row r="6" spans="1:20" ht="15">
      <c r="A6" s="102" t="s">
        <v>722</v>
      </c>
      <c r="B6" s="100">
        <v>34</v>
      </c>
      <c r="C6" s="100" t="s">
        <v>719</v>
      </c>
      <c r="D6" s="100">
        <v>16</v>
      </c>
      <c r="E6" s="100" t="s">
        <v>726</v>
      </c>
      <c r="F6" s="100">
        <v>12</v>
      </c>
      <c r="G6" s="100" t="s">
        <v>727</v>
      </c>
      <c r="H6" s="100">
        <v>7</v>
      </c>
      <c r="I6" s="100" t="s">
        <v>722</v>
      </c>
      <c r="J6" s="100">
        <v>6</v>
      </c>
      <c r="K6" s="100" t="s">
        <v>736</v>
      </c>
      <c r="L6" s="100">
        <v>10</v>
      </c>
      <c r="M6" s="100" t="s">
        <v>724</v>
      </c>
      <c r="N6" s="100">
        <v>3</v>
      </c>
      <c r="O6" s="100" t="s">
        <v>729</v>
      </c>
      <c r="P6" s="100">
        <v>4</v>
      </c>
      <c r="Q6" s="100" t="s">
        <v>737</v>
      </c>
      <c r="R6" s="100">
        <v>2</v>
      </c>
      <c r="S6" s="100" t="s">
        <v>758</v>
      </c>
      <c r="T6" s="100">
        <v>2</v>
      </c>
    </row>
    <row r="7" spans="1:20" ht="15">
      <c r="A7" s="102" t="s">
        <v>723</v>
      </c>
      <c r="B7" s="100">
        <v>34</v>
      </c>
      <c r="C7" s="100" t="s">
        <v>721</v>
      </c>
      <c r="D7" s="100">
        <v>14</v>
      </c>
      <c r="E7" s="100" t="s">
        <v>727</v>
      </c>
      <c r="F7" s="100">
        <v>12</v>
      </c>
      <c r="G7" s="100" t="s">
        <v>728</v>
      </c>
      <c r="H7" s="100">
        <v>7</v>
      </c>
      <c r="I7" s="100" t="s">
        <v>723</v>
      </c>
      <c r="J7" s="100">
        <v>6</v>
      </c>
      <c r="K7" s="100" t="s">
        <v>737</v>
      </c>
      <c r="L7" s="100">
        <v>10</v>
      </c>
      <c r="M7" s="100" t="s">
        <v>830</v>
      </c>
      <c r="N7" s="100">
        <v>3</v>
      </c>
      <c r="O7" s="100" t="s">
        <v>730</v>
      </c>
      <c r="P7" s="100">
        <v>4</v>
      </c>
      <c r="Q7" s="100" t="s">
        <v>738</v>
      </c>
      <c r="R7" s="100">
        <v>2</v>
      </c>
      <c r="S7" s="100" t="s">
        <v>724</v>
      </c>
      <c r="T7" s="100">
        <v>2</v>
      </c>
    </row>
    <row r="8" spans="1:20" ht="15">
      <c r="A8" s="102" t="s">
        <v>724</v>
      </c>
      <c r="B8" s="100">
        <v>30</v>
      </c>
      <c r="C8" s="100" t="s">
        <v>724</v>
      </c>
      <c r="D8" s="100">
        <v>12</v>
      </c>
      <c r="E8" s="100" t="s">
        <v>728</v>
      </c>
      <c r="F8" s="100">
        <v>12</v>
      </c>
      <c r="G8" s="100" t="s">
        <v>729</v>
      </c>
      <c r="H8" s="100">
        <v>7</v>
      </c>
      <c r="I8" s="100" t="s">
        <v>741</v>
      </c>
      <c r="J8" s="100">
        <v>5</v>
      </c>
      <c r="K8" s="100" t="s">
        <v>738</v>
      </c>
      <c r="L8" s="100">
        <v>10</v>
      </c>
      <c r="M8" s="100" t="s">
        <v>831</v>
      </c>
      <c r="N8" s="100">
        <v>3</v>
      </c>
      <c r="O8" s="100" t="s">
        <v>731</v>
      </c>
      <c r="P8" s="100">
        <v>4</v>
      </c>
      <c r="Q8" s="100" t="s">
        <v>733</v>
      </c>
      <c r="R8" s="100">
        <v>2</v>
      </c>
      <c r="S8" s="100" t="s">
        <v>883</v>
      </c>
      <c r="T8" s="100">
        <v>2</v>
      </c>
    </row>
    <row r="9" spans="1:20" ht="15">
      <c r="A9" s="102" t="s">
        <v>725</v>
      </c>
      <c r="B9" s="100">
        <v>29</v>
      </c>
      <c r="C9" s="100" t="s">
        <v>748</v>
      </c>
      <c r="D9" s="100">
        <v>7</v>
      </c>
      <c r="E9" s="100" t="s">
        <v>729</v>
      </c>
      <c r="F9" s="100">
        <v>12</v>
      </c>
      <c r="G9" s="100" t="s">
        <v>730</v>
      </c>
      <c r="H9" s="100">
        <v>7</v>
      </c>
      <c r="I9" s="100" t="s">
        <v>720</v>
      </c>
      <c r="J9" s="100">
        <v>5</v>
      </c>
      <c r="K9" s="100" t="s">
        <v>718</v>
      </c>
      <c r="L9" s="100">
        <v>6</v>
      </c>
      <c r="M9" s="100" t="s">
        <v>832</v>
      </c>
      <c r="N9" s="100">
        <v>3</v>
      </c>
      <c r="O9" s="100" t="s">
        <v>789</v>
      </c>
      <c r="P9" s="100">
        <v>2</v>
      </c>
      <c r="Q9" s="100" t="s">
        <v>722</v>
      </c>
      <c r="R9" s="100">
        <v>2</v>
      </c>
      <c r="S9" s="100"/>
      <c r="T9" s="100"/>
    </row>
    <row r="10" spans="1:20" ht="15">
      <c r="A10" s="102" t="s">
        <v>726</v>
      </c>
      <c r="B10" s="100">
        <v>25</v>
      </c>
      <c r="C10" s="100" t="s">
        <v>750</v>
      </c>
      <c r="D10" s="100">
        <v>6</v>
      </c>
      <c r="E10" s="100" t="s">
        <v>730</v>
      </c>
      <c r="F10" s="100">
        <v>12</v>
      </c>
      <c r="G10" s="100" t="s">
        <v>731</v>
      </c>
      <c r="H10" s="100">
        <v>7</v>
      </c>
      <c r="I10" s="100" t="s">
        <v>734</v>
      </c>
      <c r="J10" s="100">
        <v>5</v>
      </c>
      <c r="K10" s="100" t="s">
        <v>719</v>
      </c>
      <c r="L10" s="100">
        <v>5</v>
      </c>
      <c r="M10" s="100" t="s">
        <v>833</v>
      </c>
      <c r="N10" s="100">
        <v>3</v>
      </c>
      <c r="O10" s="100" t="s">
        <v>790</v>
      </c>
      <c r="P10" s="100">
        <v>2</v>
      </c>
      <c r="Q10" s="100" t="s">
        <v>795</v>
      </c>
      <c r="R10" s="100">
        <v>2</v>
      </c>
      <c r="S10" s="100"/>
      <c r="T10" s="100"/>
    </row>
    <row r="11" spans="1:20" ht="15">
      <c r="A11" s="102" t="s">
        <v>727</v>
      </c>
      <c r="B11" s="100">
        <v>25</v>
      </c>
      <c r="C11" s="100" t="s">
        <v>751</v>
      </c>
      <c r="D11" s="100">
        <v>6</v>
      </c>
      <c r="E11" s="100" t="s">
        <v>731</v>
      </c>
      <c r="F11" s="100">
        <v>12</v>
      </c>
      <c r="G11" s="100" t="s">
        <v>739</v>
      </c>
      <c r="H11" s="100">
        <v>6</v>
      </c>
      <c r="I11" s="100" t="s">
        <v>735</v>
      </c>
      <c r="J11" s="100">
        <v>5</v>
      </c>
      <c r="K11" s="100" t="s">
        <v>754</v>
      </c>
      <c r="L11" s="100">
        <v>4</v>
      </c>
      <c r="M11" s="100" t="s">
        <v>834</v>
      </c>
      <c r="N11" s="100">
        <v>3</v>
      </c>
      <c r="O11" s="100" t="s">
        <v>791</v>
      </c>
      <c r="P11" s="100">
        <v>2</v>
      </c>
      <c r="Q11" s="100" t="s">
        <v>725</v>
      </c>
      <c r="R11" s="100">
        <v>2</v>
      </c>
      <c r="S11" s="100"/>
      <c r="T11" s="100"/>
    </row>
    <row r="14" spans="1:20" ht="15" customHeight="1">
      <c r="A14" s="13" t="s">
        <v>1008</v>
      </c>
      <c r="B14" s="13" t="s">
        <v>979</v>
      </c>
      <c r="C14" s="13" t="s">
        <v>1019</v>
      </c>
      <c r="D14" s="13" t="s">
        <v>982</v>
      </c>
      <c r="E14" s="13" t="s">
        <v>1027</v>
      </c>
      <c r="F14" s="13" t="s">
        <v>984</v>
      </c>
      <c r="G14" s="13" t="s">
        <v>1030</v>
      </c>
      <c r="H14" s="13" t="s">
        <v>986</v>
      </c>
      <c r="I14" s="13" t="s">
        <v>1033</v>
      </c>
      <c r="J14" s="13" t="s">
        <v>988</v>
      </c>
      <c r="K14" s="13" t="s">
        <v>1040</v>
      </c>
      <c r="L14" s="13" t="s">
        <v>990</v>
      </c>
      <c r="M14" s="13" t="s">
        <v>1045</v>
      </c>
      <c r="N14" s="13" t="s">
        <v>992</v>
      </c>
      <c r="O14" s="13" t="s">
        <v>1055</v>
      </c>
      <c r="P14" s="13" t="s">
        <v>994</v>
      </c>
      <c r="Q14" s="13" t="s">
        <v>1058</v>
      </c>
      <c r="R14" s="13" t="s">
        <v>996</v>
      </c>
      <c r="S14" s="13" t="s">
        <v>1061</v>
      </c>
      <c r="T14" s="13" t="s">
        <v>997</v>
      </c>
    </row>
    <row r="15" spans="1:20" ht="15">
      <c r="A15" s="100" t="s">
        <v>1009</v>
      </c>
      <c r="B15" s="100">
        <v>55</v>
      </c>
      <c r="C15" s="100" t="s">
        <v>1011</v>
      </c>
      <c r="D15" s="100">
        <v>16</v>
      </c>
      <c r="E15" s="100" t="s">
        <v>1009</v>
      </c>
      <c r="F15" s="100">
        <v>16</v>
      </c>
      <c r="G15" s="100" t="s">
        <v>1012</v>
      </c>
      <c r="H15" s="100">
        <v>7</v>
      </c>
      <c r="I15" s="100" t="s">
        <v>1034</v>
      </c>
      <c r="J15" s="100">
        <v>8</v>
      </c>
      <c r="K15" s="100" t="s">
        <v>1018</v>
      </c>
      <c r="L15" s="100">
        <v>10</v>
      </c>
      <c r="M15" s="100" t="s">
        <v>1009</v>
      </c>
      <c r="N15" s="100">
        <v>10</v>
      </c>
      <c r="O15" s="100" t="s">
        <v>1012</v>
      </c>
      <c r="P15" s="100">
        <v>4</v>
      </c>
      <c r="Q15" s="100" t="s">
        <v>1018</v>
      </c>
      <c r="R15" s="100">
        <v>2</v>
      </c>
      <c r="S15" s="100" t="s">
        <v>1062</v>
      </c>
      <c r="T15" s="100">
        <v>6</v>
      </c>
    </row>
    <row r="16" spans="1:20" ht="15">
      <c r="A16" s="102" t="s">
        <v>1010</v>
      </c>
      <c r="B16" s="100">
        <v>31</v>
      </c>
      <c r="C16" s="100" t="s">
        <v>1009</v>
      </c>
      <c r="D16" s="100">
        <v>16</v>
      </c>
      <c r="E16" s="100" t="s">
        <v>1012</v>
      </c>
      <c r="F16" s="100">
        <v>12</v>
      </c>
      <c r="G16" s="100" t="s">
        <v>1013</v>
      </c>
      <c r="H16" s="100">
        <v>7</v>
      </c>
      <c r="I16" s="100" t="s">
        <v>1010</v>
      </c>
      <c r="J16" s="100">
        <v>6</v>
      </c>
      <c r="K16" s="100" t="s">
        <v>1031</v>
      </c>
      <c r="L16" s="100">
        <v>10</v>
      </c>
      <c r="M16" s="100" t="s">
        <v>1046</v>
      </c>
      <c r="N16" s="100">
        <v>9</v>
      </c>
      <c r="O16" s="100" t="s">
        <v>1013</v>
      </c>
      <c r="P16" s="100">
        <v>4</v>
      </c>
      <c r="Q16" s="100" t="s">
        <v>1031</v>
      </c>
      <c r="R16" s="100">
        <v>2</v>
      </c>
      <c r="S16" s="100" t="s">
        <v>1063</v>
      </c>
      <c r="T16" s="100">
        <v>6</v>
      </c>
    </row>
    <row r="17" spans="1:20" ht="15">
      <c r="A17" s="102" t="s">
        <v>1011</v>
      </c>
      <c r="B17" s="100">
        <v>29</v>
      </c>
      <c r="C17" s="100" t="s">
        <v>1010</v>
      </c>
      <c r="D17" s="100">
        <v>13</v>
      </c>
      <c r="E17" s="100" t="s">
        <v>1013</v>
      </c>
      <c r="F17" s="100">
        <v>12</v>
      </c>
      <c r="G17" s="100" t="s">
        <v>1014</v>
      </c>
      <c r="H17" s="100">
        <v>7</v>
      </c>
      <c r="I17" s="100" t="s">
        <v>1018</v>
      </c>
      <c r="J17" s="100">
        <v>5</v>
      </c>
      <c r="K17" s="100" t="s">
        <v>1032</v>
      </c>
      <c r="L17" s="100">
        <v>10</v>
      </c>
      <c r="M17" s="100" t="s">
        <v>1047</v>
      </c>
      <c r="N17" s="100">
        <v>9</v>
      </c>
      <c r="O17" s="100" t="s">
        <v>1014</v>
      </c>
      <c r="P17" s="100">
        <v>4</v>
      </c>
      <c r="Q17" s="100" t="s">
        <v>1032</v>
      </c>
      <c r="R17" s="100">
        <v>2</v>
      </c>
      <c r="S17" s="100" t="s">
        <v>1064</v>
      </c>
      <c r="T17" s="100">
        <v>6</v>
      </c>
    </row>
    <row r="18" spans="1:20" ht="15">
      <c r="A18" s="102" t="s">
        <v>1012</v>
      </c>
      <c r="B18" s="100">
        <v>25</v>
      </c>
      <c r="C18" s="100" t="s">
        <v>1020</v>
      </c>
      <c r="D18" s="100">
        <v>6</v>
      </c>
      <c r="E18" s="100" t="s">
        <v>1014</v>
      </c>
      <c r="F18" s="100">
        <v>12</v>
      </c>
      <c r="G18" s="100" t="s">
        <v>1015</v>
      </c>
      <c r="H18" s="100">
        <v>7</v>
      </c>
      <c r="I18" s="100" t="s">
        <v>1031</v>
      </c>
      <c r="J18" s="100">
        <v>5</v>
      </c>
      <c r="K18" s="100" t="s">
        <v>1035</v>
      </c>
      <c r="L18" s="100">
        <v>10</v>
      </c>
      <c r="M18" s="100" t="s">
        <v>1048</v>
      </c>
      <c r="N18" s="100">
        <v>3</v>
      </c>
      <c r="O18" s="100" t="s">
        <v>1015</v>
      </c>
      <c r="P18" s="100">
        <v>4</v>
      </c>
      <c r="Q18" s="100" t="s">
        <v>1035</v>
      </c>
      <c r="R18" s="100">
        <v>2</v>
      </c>
      <c r="S18" s="100" t="s">
        <v>1065</v>
      </c>
      <c r="T18" s="100">
        <v>4</v>
      </c>
    </row>
    <row r="19" spans="1:20" ht="15">
      <c r="A19" s="102" t="s">
        <v>1013</v>
      </c>
      <c r="B19" s="100">
        <v>25</v>
      </c>
      <c r="C19" s="100" t="s">
        <v>1021</v>
      </c>
      <c r="D19" s="100">
        <v>6</v>
      </c>
      <c r="E19" s="100" t="s">
        <v>1015</v>
      </c>
      <c r="F19" s="100">
        <v>12</v>
      </c>
      <c r="G19" s="100" t="s">
        <v>1016</v>
      </c>
      <c r="H19" s="100">
        <v>7</v>
      </c>
      <c r="I19" s="100" t="s">
        <v>1032</v>
      </c>
      <c r="J19" s="100">
        <v>5</v>
      </c>
      <c r="K19" s="100" t="s">
        <v>1036</v>
      </c>
      <c r="L19" s="100">
        <v>10</v>
      </c>
      <c r="M19" s="100" t="s">
        <v>1049</v>
      </c>
      <c r="N19" s="100">
        <v>3</v>
      </c>
      <c r="O19" s="100" t="s">
        <v>1016</v>
      </c>
      <c r="P19" s="100">
        <v>4</v>
      </c>
      <c r="Q19" s="100" t="s">
        <v>1036</v>
      </c>
      <c r="R19" s="100">
        <v>2</v>
      </c>
      <c r="S19" s="100" t="s">
        <v>1066</v>
      </c>
      <c r="T19" s="100">
        <v>2</v>
      </c>
    </row>
    <row r="20" spans="1:20" ht="15">
      <c r="A20" s="102" t="s">
        <v>1014</v>
      </c>
      <c r="B20" s="100">
        <v>25</v>
      </c>
      <c r="C20" s="100" t="s">
        <v>1022</v>
      </c>
      <c r="D20" s="100">
        <v>6</v>
      </c>
      <c r="E20" s="100" t="s">
        <v>1016</v>
      </c>
      <c r="F20" s="100">
        <v>12</v>
      </c>
      <c r="G20" s="100" t="s">
        <v>1017</v>
      </c>
      <c r="H20" s="100">
        <v>7</v>
      </c>
      <c r="I20" s="100" t="s">
        <v>1035</v>
      </c>
      <c r="J20" s="100">
        <v>5</v>
      </c>
      <c r="K20" s="100" t="s">
        <v>1009</v>
      </c>
      <c r="L20" s="100">
        <v>5</v>
      </c>
      <c r="M20" s="100" t="s">
        <v>1050</v>
      </c>
      <c r="N20" s="100">
        <v>3</v>
      </c>
      <c r="O20" s="100" t="s">
        <v>1017</v>
      </c>
      <c r="P20" s="100">
        <v>4</v>
      </c>
      <c r="Q20" s="100" t="s">
        <v>1010</v>
      </c>
      <c r="R20" s="100">
        <v>2</v>
      </c>
      <c r="S20" s="100"/>
      <c r="T20" s="100"/>
    </row>
    <row r="21" spans="1:20" ht="15">
      <c r="A21" s="102" t="s">
        <v>1015</v>
      </c>
      <c r="B21" s="100">
        <v>25</v>
      </c>
      <c r="C21" s="100" t="s">
        <v>1023</v>
      </c>
      <c r="D21" s="100">
        <v>6</v>
      </c>
      <c r="E21" s="100" t="s">
        <v>1017</v>
      </c>
      <c r="F21" s="100">
        <v>12</v>
      </c>
      <c r="G21" s="100" t="s">
        <v>1009</v>
      </c>
      <c r="H21" s="100">
        <v>6</v>
      </c>
      <c r="I21" s="100" t="s">
        <v>1036</v>
      </c>
      <c r="J21" s="100">
        <v>5</v>
      </c>
      <c r="K21" s="100" t="s">
        <v>1041</v>
      </c>
      <c r="L21" s="100">
        <v>4</v>
      </c>
      <c r="M21" s="100" t="s">
        <v>1051</v>
      </c>
      <c r="N21" s="100">
        <v>3</v>
      </c>
      <c r="O21" s="100" t="s">
        <v>1056</v>
      </c>
      <c r="P21" s="100">
        <v>2</v>
      </c>
      <c r="Q21" s="100" t="s">
        <v>1059</v>
      </c>
      <c r="R21" s="100">
        <v>2</v>
      </c>
      <c r="S21" s="100"/>
      <c r="T21" s="100"/>
    </row>
    <row r="22" spans="1:20" ht="15">
      <c r="A22" s="102" t="s">
        <v>1016</v>
      </c>
      <c r="B22" s="100">
        <v>25</v>
      </c>
      <c r="C22" s="100" t="s">
        <v>1024</v>
      </c>
      <c r="D22" s="100">
        <v>6</v>
      </c>
      <c r="E22" s="100" t="s">
        <v>1028</v>
      </c>
      <c r="F22" s="100">
        <v>11</v>
      </c>
      <c r="G22" s="100" t="s">
        <v>1018</v>
      </c>
      <c r="H22" s="100">
        <v>4</v>
      </c>
      <c r="I22" s="100" t="s">
        <v>1037</v>
      </c>
      <c r="J22" s="100">
        <v>4</v>
      </c>
      <c r="K22" s="100" t="s">
        <v>1042</v>
      </c>
      <c r="L22" s="100">
        <v>4</v>
      </c>
      <c r="M22" s="100" t="s">
        <v>1052</v>
      </c>
      <c r="N22" s="100">
        <v>3</v>
      </c>
      <c r="O22" s="100" t="s">
        <v>1057</v>
      </c>
      <c r="P22" s="100">
        <v>2</v>
      </c>
      <c r="Q22" s="100" t="s">
        <v>1060</v>
      </c>
      <c r="R22" s="100">
        <v>2</v>
      </c>
      <c r="S22" s="100"/>
      <c r="T22" s="100"/>
    </row>
    <row r="23" spans="1:20" ht="15">
      <c r="A23" s="102" t="s">
        <v>1017</v>
      </c>
      <c r="B23" s="100">
        <v>25</v>
      </c>
      <c r="C23" s="100" t="s">
        <v>1025</v>
      </c>
      <c r="D23" s="100">
        <v>6</v>
      </c>
      <c r="E23" s="100" t="s">
        <v>1029</v>
      </c>
      <c r="F23" s="100">
        <v>9</v>
      </c>
      <c r="G23" s="100" t="s">
        <v>1031</v>
      </c>
      <c r="H23" s="100">
        <v>4</v>
      </c>
      <c r="I23" s="100" t="s">
        <v>1038</v>
      </c>
      <c r="J23" s="100">
        <v>4</v>
      </c>
      <c r="K23" s="100" t="s">
        <v>1043</v>
      </c>
      <c r="L23" s="100">
        <v>4</v>
      </c>
      <c r="M23" s="100" t="s">
        <v>1053</v>
      </c>
      <c r="N23" s="100">
        <v>3</v>
      </c>
      <c r="O23" s="100" t="s">
        <v>1041</v>
      </c>
      <c r="P23" s="100">
        <v>2</v>
      </c>
      <c r="Q23" s="100" t="s">
        <v>1011</v>
      </c>
      <c r="R23" s="100">
        <v>2</v>
      </c>
      <c r="S23" s="100"/>
      <c r="T23" s="100"/>
    </row>
    <row r="24" spans="1:20" ht="15">
      <c r="A24" s="102" t="s">
        <v>1018</v>
      </c>
      <c r="B24" s="100">
        <v>22</v>
      </c>
      <c r="C24" s="100" t="s">
        <v>1026</v>
      </c>
      <c r="D24" s="100">
        <v>6</v>
      </c>
      <c r="E24" s="100" t="s">
        <v>1010</v>
      </c>
      <c r="F24" s="100">
        <v>6</v>
      </c>
      <c r="G24" s="100" t="s">
        <v>1032</v>
      </c>
      <c r="H24" s="100">
        <v>4</v>
      </c>
      <c r="I24" s="100" t="s">
        <v>1039</v>
      </c>
      <c r="J24" s="100">
        <v>4</v>
      </c>
      <c r="K24" s="100" t="s">
        <v>1044</v>
      </c>
      <c r="L24" s="100">
        <v>3</v>
      </c>
      <c r="M24" s="100" t="s">
        <v>1054</v>
      </c>
      <c r="N24" s="100">
        <v>3</v>
      </c>
      <c r="O24" s="100" t="s">
        <v>1042</v>
      </c>
      <c r="P24" s="100">
        <v>2</v>
      </c>
      <c r="Q24" s="100"/>
      <c r="R24" s="100"/>
      <c r="S24" s="100"/>
      <c r="T24" s="100"/>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666</v>
      </c>
      <c r="AE2" s="13" t="s">
        <v>667</v>
      </c>
      <c r="AF2" s="13" t="s">
        <v>668</v>
      </c>
      <c r="AG2" s="13" t="s">
        <v>669</v>
      </c>
      <c r="AH2" s="13" t="s">
        <v>670</v>
      </c>
      <c r="AI2" s="13" t="s">
        <v>671</v>
      </c>
      <c r="AJ2" s="13" t="s">
        <v>672</v>
      </c>
      <c r="AK2" s="13" t="s">
        <v>673</v>
      </c>
      <c r="AL2" s="13" t="s">
        <v>706</v>
      </c>
      <c r="AM2" s="105" t="s">
        <v>939</v>
      </c>
      <c r="AN2" s="105" t="s">
        <v>940</v>
      </c>
      <c r="AO2" s="105" t="s">
        <v>941</v>
      </c>
      <c r="AP2" s="105" t="s">
        <v>942</v>
      </c>
      <c r="AQ2" s="105" t="s">
        <v>943</v>
      </c>
      <c r="AR2" s="105" t="s">
        <v>944</v>
      </c>
      <c r="AS2" s="105" t="s">
        <v>945</v>
      </c>
      <c r="AT2" s="105" t="s">
        <v>946</v>
      </c>
      <c r="AU2" s="105" t="s">
        <v>948</v>
      </c>
      <c r="AV2" s="105" t="s">
        <v>1077</v>
      </c>
      <c r="AW2" s="105" t="s">
        <v>1165</v>
      </c>
      <c r="AX2" s="105" t="s">
        <v>1192</v>
      </c>
      <c r="AY2" s="105" t="s">
        <v>1277</v>
      </c>
      <c r="AZ2" s="3"/>
      <c r="BA2" s="3"/>
    </row>
    <row r="3" spans="1:53" ht="15" customHeight="1">
      <c r="A3" s="65" t="s">
        <v>328</v>
      </c>
      <c r="B3" s="66"/>
      <c r="C3" s="66"/>
      <c r="D3" s="67">
        <v>50</v>
      </c>
      <c r="E3" s="69"/>
      <c r="F3" s="66"/>
      <c r="G3" s="66"/>
      <c r="H3" s="70" t="s">
        <v>328</v>
      </c>
      <c r="I3" s="71"/>
      <c r="J3" s="71"/>
      <c r="K3" s="70" t="s">
        <v>328</v>
      </c>
      <c r="L3" s="74">
        <v>1</v>
      </c>
      <c r="M3" s="75">
        <v>8980.5087890625</v>
      </c>
      <c r="N3" s="75">
        <v>5872.39990234375</v>
      </c>
      <c r="O3" s="76"/>
      <c r="P3" s="77"/>
      <c r="Q3" s="77"/>
      <c r="R3" s="49"/>
      <c r="S3" s="49">
        <v>2</v>
      </c>
      <c r="T3" s="49">
        <v>2</v>
      </c>
      <c r="U3" s="50">
        <v>0</v>
      </c>
      <c r="V3" s="50">
        <v>0.002732</v>
      </c>
      <c r="W3" s="50">
        <v>0.003897</v>
      </c>
      <c r="X3" s="50">
        <v>0.63738</v>
      </c>
      <c r="Y3" s="50">
        <v>1</v>
      </c>
      <c r="Z3" s="50">
        <v>0</v>
      </c>
      <c r="AA3" s="72">
        <v>3</v>
      </c>
      <c r="AB3" s="72"/>
      <c r="AC3" s="73"/>
      <c r="AD3" s="80" t="s">
        <v>674</v>
      </c>
      <c r="AE3" s="96" t="str">
        <f>HYPERLINK("http://en.wikipedia.org/wiki/User:TauGuys")</f>
        <v>http://en.wikipedia.org/wiki/User:TauGuys</v>
      </c>
      <c r="AF3" s="80" t="s">
        <v>687</v>
      </c>
      <c r="AG3" s="80"/>
      <c r="AH3" s="80"/>
      <c r="AI3" s="80">
        <v>0.6010101</v>
      </c>
      <c r="AJ3" s="80">
        <v>88</v>
      </c>
      <c r="AK3" s="80"/>
      <c r="AL3" s="80" t="str">
        <f>REPLACE(INDEX(GroupVertices[Group],MATCH(Vertices[[#This Row],[Vertex]],GroupVertices[Vertex],0)),1,1,"")</f>
        <v>4</v>
      </c>
      <c r="AM3" s="49">
        <v>0</v>
      </c>
      <c r="AN3" s="50">
        <v>0</v>
      </c>
      <c r="AO3" s="49">
        <v>2</v>
      </c>
      <c r="AP3" s="50">
        <v>14.285714285714286</v>
      </c>
      <c r="AQ3" s="49">
        <v>0</v>
      </c>
      <c r="AR3" s="50">
        <v>0</v>
      </c>
      <c r="AS3" s="49">
        <v>12</v>
      </c>
      <c r="AT3" s="50">
        <v>85.71428571428571</v>
      </c>
      <c r="AU3" s="49">
        <v>14</v>
      </c>
      <c r="AV3" s="109" t="s">
        <v>1078</v>
      </c>
      <c r="AW3" s="109" t="s">
        <v>1078</v>
      </c>
      <c r="AX3" s="109" t="s">
        <v>1193</v>
      </c>
      <c r="AY3" s="109" t="s">
        <v>1193</v>
      </c>
      <c r="AZ3" s="3"/>
      <c r="BA3" s="3"/>
    </row>
    <row r="4" spans="1:56" ht="15">
      <c r="A4" s="65" t="s">
        <v>376</v>
      </c>
      <c r="B4" s="66"/>
      <c r="C4" s="66"/>
      <c r="D4" s="67">
        <v>58.288301533093886</v>
      </c>
      <c r="E4" s="69"/>
      <c r="F4" s="66"/>
      <c r="G4" s="66"/>
      <c r="H4" s="70" t="s">
        <v>376</v>
      </c>
      <c r="I4" s="71"/>
      <c r="J4" s="71"/>
      <c r="K4" s="70" t="s">
        <v>376</v>
      </c>
      <c r="L4" s="74">
        <v>136.1224425399722</v>
      </c>
      <c r="M4" s="75">
        <v>7610.20849609375</v>
      </c>
      <c r="N4" s="75">
        <v>7577.17724609375</v>
      </c>
      <c r="O4" s="76"/>
      <c r="P4" s="77"/>
      <c r="Q4" s="77"/>
      <c r="R4" s="82"/>
      <c r="S4" s="49">
        <v>4</v>
      </c>
      <c r="T4" s="49">
        <v>2</v>
      </c>
      <c r="U4" s="50">
        <v>40.190326</v>
      </c>
      <c r="V4" s="50">
        <v>0.003195</v>
      </c>
      <c r="W4" s="50">
        <v>0.00852</v>
      </c>
      <c r="X4" s="50">
        <v>0.767054</v>
      </c>
      <c r="Y4" s="50">
        <v>0.25</v>
      </c>
      <c r="Z4" s="50">
        <v>0.5</v>
      </c>
      <c r="AA4" s="72">
        <v>4</v>
      </c>
      <c r="AB4" s="72"/>
      <c r="AC4" s="73"/>
      <c r="AD4" s="80" t="s">
        <v>674</v>
      </c>
      <c r="AE4" s="96" t="str">
        <f>HYPERLINK("http://en.wikipedia.org/wiki/User:Interstellarity")</f>
        <v>http://en.wikipedia.org/wiki/User:Interstellarity</v>
      </c>
      <c r="AF4" s="80" t="s">
        <v>687</v>
      </c>
      <c r="AG4" s="80"/>
      <c r="AH4" s="80"/>
      <c r="AI4" s="80">
        <v>0.4241111</v>
      </c>
      <c r="AJ4" s="80">
        <v>500</v>
      </c>
      <c r="AK4" s="80"/>
      <c r="AL4" s="80" t="str">
        <f>REPLACE(INDEX(GroupVertices[Group],MATCH(Vertices[[#This Row],[Vertex]],GroupVertices[Vertex],0)),1,1,"")</f>
        <v>4</v>
      </c>
      <c r="AM4" s="49">
        <v>0</v>
      </c>
      <c r="AN4" s="50">
        <v>0</v>
      </c>
      <c r="AO4" s="49">
        <v>4</v>
      </c>
      <c r="AP4" s="50">
        <v>15.384615384615385</v>
      </c>
      <c r="AQ4" s="49">
        <v>0</v>
      </c>
      <c r="AR4" s="50">
        <v>0</v>
      </c>
      <c r="AS4" s="49">
        <v>22</v>
      </c>
      <c r="AT4" s="50">
        <v>84.61538461538461</v>
      </c>
      <c r="AU4" s="49">
        <v>26</v>
      </c>
      <c r="AV4" s="109" t="s">
        <v>1079</v>
      </c>
      <c r="AW4" s="109" t="s">
        <v>1166</v>
      </c>
      <c r="AX4" s="109" t="s">
        <v>1194</v>
      </c>
      <c r="AY4" s="109" t="s">
        <v>1278</v>
      </c>
      <c r="AZ4" s="2"/>
      <c r="BA4" s="3"/>
      <c r="BB4" s="3"/>
      <c r="BC4" s="3"/>
      <c r="BD4" s="3"/>
    </row>
    <row r="5" spans="1:56" ht="15">
      <c r="A5" s="65" t="s">
        <v>329</v>
      </c>
      <c r="B5" s="66"/>
      <c r="C5" s="66"/>
      <c r="D5" s="67">
        <v>200</v>
      </c>
      <c r="E5" s="69"/>
      <c r="F5" s="66"/>
      <c r="G5" s="66"/>
      <c r="H5" s="70" t="s">
        <v>329</v>
      </c>
      <c r="I5" s="71"/>
      <c r="J5" s="71"/>
      <c r="K5" s="70" t="s">
        <v>329</v>
      </c>
      <c r="L5" s="74">
        <v>4009.7331872110253</v>
      </c>
      <c r="M5" s="75">
        <v>8600.0126953125</v>
      </c>
      <c r="N5" s="75">
        <v>8232.6533203125</v>
      </c>
      <c r="O5" s="76"/>
      <c r="P5" s="77"/>
      <c r="Q5" s="77"/>
      <c r="R5" s="82"/>
      <c r="S5" s="49">
        <v>10</v>
      </c>
      <c r="T5" s="49">
        <v>14</v>
      </c>
      <c r="U5" s="50">
        <v>1192.342964</v>
      </c>
      <c r="V5" s="50">
        <v>0.003953</v>
      </c>
      <c r="W5" s="50">
        <v>0.030398</v>
      </c>
      <c r="X5" s="50">
        <v>3.044982</v>
      </c>
      <c r="Y5" s="50">
        <v>0.11397058823529412</v>
      </c>
      <c r="Z5" s="50">
        <v>0.29411764705882354</v>
      </c>
      <c r="AA5" s="72">
        <v>5</v>
      </c>
      <c r="AB5" s="72"/>
      <c r="AC5" s="73"/>
      <c r="AD5" s="80" t="s">
        <v>674</v>
      </c>
      <c r="AE5" s="96" t="str">
        <f>HYPERLINK("http://en.wikipedia.org/wiki/User:Muboshgu")</f>
        <v>http://en.wikipedia.org/wiki/User:Muboshgu</v>
      </c>
      <c r="AF5" s="80" t="s">
        <v>687</v>
      </c>
      <c r="AG5" s="80"/>
      <c r="AH5" s="80"/>
      <c r="AI5" s="80">
        <v>0.3505695</v>
      </c>
      <c r="AJ5" s="80">
        <v>500</v>
      </c>
      <c r="AK5" s="80"/>
      <c r="AL5" s="80" t="str">
        <f>REPLACE(INDEX(GroupVertices[Group],MATCH(Vertices[[#This Row],[Vertex]],GroupVertices[Vertex],0)),1,1,"")</f>
        <v>4</v>
      </c>
      <c r="AM5" s="49">
        <v>5</v>
      </c>
      <c r="AN5" s="50">
        <v>2.4752475247524752</v>
      </c>
      <c r="AO5" s="49">
        <v>8</v>
      </c>
      <c r="AP5" s="50">
        <v>3.9603960396039604</v>
      </c>
      <c r="AQ5" s="49">
        <v>0</v>
      </c>
      <c r="AR5" s="50">
        <v>0</v>
      </c>
      <c r="AS5" s="49">
        <v>189</v>
      </c>
      <c r="AT5" s="50">
        <v>93.56435643564356</v>
      </c>
      <c r="AU5" s="49">
        <v>202</v>
      </c>
      <c r="AV5" s="109" t="s">
        <v>1080</v>
      </c>
      <c r="AW5" s="109" t="s">
        <v>1167</v>
      </c>
      <c r="AX5" s="109" t="s">
        <v>1195</v>
      </c>
      <c r="AY5" s="109" t="s">
        <v>1279</v>
      </c>
      <c r="AZ5" s="2"/>
      <c r="BA5" s="3"/>
      <c r="BB5" s="3"/>
      <c r="BC5" s="3"/>
      <c r="BD5" s="3"/>
    </row>
    <row r="6" spans="1:56" ht="15">
      <c r="A6" s="65" t="s">
        <v>330</v>
      </c>
      <c r="B6" s="66"/>
      <c r="C6" s="66"/>
      <c r="D6" s="67">
        <v>55.65489480941755</v>
      </c>
      <c r="E6" s="69"/>
      <c r="F6" s="66"/>
      <c r="G6" s="66"/>
      <c r="H6" s="70" t="s">
        <v>330</v>
      </c>
      <c r="I6" s="71"/>
      <c r="J6" s="71"/>
      <c r="K6" s="70" t="s">
        <v>330</v>
      </c>
      <c r="L6" s="74">
        <v>93.19056472597742</v>
      </c>
      <c r="M6" s="75">
        <v>1773.370361328125</v>
      </c>
      <c r="N6" s="75">
        <v>9358.212890625</v>
      </c>
      <c r="O6" s="76"/>
      <c r="P6" s="77"/>
      <c r="Q6" s="77"/>
      <c r="R6" s="82"/>
      <c r="S6" s="49">
        <v>1</v>
      </c>
      <c r="T6" s="49">
        <v>1</v>
      </c>
      <c r="U6" s="50">
        <v>27.420825</v>
      </c>
      <c r="V6" s="50">
        <v>0.00304</v>
      </c>
      <c r="W6" s="50">
        <v>0.004306</v>
      </c>
      <c r="X6" s="50">
        <v>0.479392</v>
      </c>
      <c r="Y6" s="50">
        <v>0</v>
      </c>
      <c r="Z6" s="50">
        <v>0</v>
      </c>
      <c r="AA6" s="72">
        <v>6</v>
      </c>
      <c r="AB6" s="72"/>
      <c r="AC6" s="73"/>
      <c r="AD6" s="80" t="s">
        <v>674</v>
      </c>
      <c r="AE6" s="96" t="str">
        <f>HYPERLINK("http://en.wikipedia.org/wiki/User:146.90.33.27")</f>
        <v>http://en.wikipedia.org/wiki/User:146.90.33.27</v>
      </c>
      <c r="AF6" s="80" t="s">
        <v>687</v>
      </c>
      <c r="AG6" s="80"/>
      <c r="AH6" s="80"/>
      <c r="AI6" s="80">
        <v>0</v>
      </c>
      <c r="AJ6" s="80">
        <v>1</v>
      </c>
      <c r="AK6" s="80"/>
      <c r="AL6" s="80" t="str">
        <f>REPLACE(INDEX(GroupVertices[Group],MATCH(Vertices[[#This Row],[Vertex]],GroupVertices[Vertex],0)),1,1,"")</f>
        <v>1</v>
      </c>
      <c r="AM6" s="49">
        <v>0</v>
      </c>
      <c r="AN6" s="50">
        <v>0</v>
      </c>
      <c r="AO6" s="49">
        <v>0</v>
      </c>
      <c r="AP6" s="50">
        <v>0</v>
      </c>
      <c r="AQ6" s="49">
        <v>0</v>
      </c>
      <c r="AR6" s="50">
        <v>0</v>
      </c>
      <c r="AS6" s="49">
        <v>3</v>
      </c>
      <c r="AT6" s="50">
        <v>100</v>
      </c>
      <c r="AU6" s="49">
        <v>3</v>
      </c>
      <c r="AV6" s="109" t="s">
        <v>718</v>
      </c>
      <c r="AW6" s="109" t="s">
        <v>718</v>
      </c>
      <c r="AX6" s="109" t="s">
        <v>1088</v>
      </c>
      <c r="AY6" s="109" t="s">
        <v>1088</v>
      </c>
      <c r="AZ6" s="2"/>
      <c r="BA6" s="3"/>
      <c r="BB6" s="3"/>
      <c r="BC6" s="3"/>
      <c r="BD6" s="3"/>
    </row>
    <row r="7" spans="1:56" ht="15">
      <c r="A7" s="65" t="s">
        <v>341</v>
      </c>
      <c r="B7" s="66"/>
      <c r="C7" s="66"/>
      <c r="D7" s="67">
        <v>200</v>
      </c>
      <c r="E7" s="69"/>
      <c r="F7" s="66"/>
      <c r="G7" s="66"/>
      <c r="H7" s="70" t="s">
        <v>341</v>
      </c>
      <c r="I7" s="71"/>
      <c r="J7" s="71"/>
      <c r="K7" s="70" t="s">
        <v>341</v>
      </c>
      <c r="L7" s="74">
        <v>7603.875695292958</v>
      </c>
      <c r="M7" s="75">
        <v>1606.44970703125</v>
      </c>
      <c r="N7" s="75">
        <v>1685.6126708984375</v>
      </c>
      <c r="O7" s="76"/>
      <c r="P7" s="77"/>
      <c r="Q7" s="77"/>
      <c r="R7" s="82"/>
      <c r="S7" s="49">
        <v>13</v>
      </c>
      <c r="T7" s="49">
        <v>14</v>
      </c>
      <c r="U7" s="50">
        <v>2261.37159</v>
      </c>
      <c r="V7" s="50">
        <v>0.004016</v>
      </c>
      <c r="W7" s="50">
        <v>0.031945</v>
      </c>
      <c r="X7" s="50">
        <v>4.057692</v>
      </c>
      <c r="Y7" s="50">
        <v>0.06904761904761905</v>
      </c>
      <c r="Z7" s="50">
        <v>0.19047619047619047</v>
      </c>
      <c r="AA7" s="72">
        <v>7</v>
      </c>
      <c r="AB7" s="72"/>
      <c r="AC7" s="73"/>
      <c r="AD7" s="80" t="s">
        <v>674</v>
      </c>
      <c r="AE7" s="96" t="str">
        <f>HYPERLINK("http://en.wikipedia.org/wiki/User:Onetwothreeip")</f>
        <v>http://en.wikipedia.org/wiki/User:Onetwothreeip</v>
      </c>
      <c r="AF7" s="80" t="s">
        <v>687</v>
      </c>
      <c r="AG7" s="80"/>
      <c r="AH7" s="80"/>
      <c r="AI7" s="80">
        <v>0.6632898</v>
      </c>
      <c r="AJ7" s="80">
        <v>500</v>
      </c>
      <c r="AK7" s="80"/>
      <c r="AL7" s="80" t="str">
        <f>REPLACE(INDEX(GroupVertices[Group],MATCH(Vertices[[#This Row],[Vertex]],GroupVertices[Vertex],0)),1,1,"")</f>
        <v>2</v>
      </c>
      <c r="AM7" s="49">
        <v>1</v>
      </c>
      <c r="AN7" s="50">
        <v>1.1904761904761905</v>
      </c>
      <c r="AO7" s="49">
        <v>8</v>
      </c>
      <c r="AP7" s="50">
        <v>9.523809523809524</v>
      </c>
      <c r="AQ7" s="49">
        <v>0</v>
      </c>
      <c r="AR7" s="50">
        <v>0</v>
      </c>
      <c r="AS7" s="49">
        <v>75</v>
      </c>
      <c r="AT7" s="50">
        <v>89.28571428571429</v>
      </c>
      <c r="AU7" s="49">
        <v>84</v>
      </c>
      <c r="AV7" s="109" t="s">
        <v>1081</v>
      </c>
      <c r="AW7" s="109" t="s">
        <v>1168</v>
      </c>
      <c r="AX7" s="109" t="s">
        <v>1196</v>
      </c>
      <c r="AY7" s="109" t="s">
        <v>1280</v>
      </c>
      <c r="AZ7" s="2"/>
      <c r="BA7" s="3"/>
      <c r="BB7" s="3"/>
      <c r="BC7" s="3"/>
      <c r="BD7" s="3"/>
    </row>
    <row r="8" spans="1:56" ht="15">
      <c r="A8" s="65" t="s">
        <v>331</v>
      </c>
      <c r="B8" s="66"/>
      <c r="C8" s="66"/>
      <c r="D8" s="67">
        <v>200</v>
      </c>
      <c r="E8" s="69"/>
      <c r="F8" s="66"/>
      <c r="G8" s="66"/>
      <c r="H8" s="70" t="s">
        <v>331</v>
      </c>
      <c r="I8" s="71"/>
      <c r="J8" s="71"/>
      <c r="K8" s="70" t="s">
        <v>331</v>
      </c>
      <c r="L8" s="74">
        <v>3942.2040534785133</v>
      </c>
      <c r="M8" s="75">
        <v>1775.5872802734375</v>
      </c>
      <c r="N8" s="75">
        <v>7016.82861328125</v>
      </c>
      <c r="O8" s="76"/>
      <c r="P8" s="77"/>
      <c r="Q8" s="77"/>
      <c r="R8" s="82"/>
      <c r="S8" s="49">
        <v>7</v>
      </c>
      <c r="T8" s="49">
        <v>9</v>
      </c>
      <c r="U8" s="50">
        <v>1172.257345</v>
      </c>
      <c r="V8" s="50">
        <v>0.003623</v>
      </c>
      <c r="W8" s="50">
        <v>0.015361</v>
      </c>
      <c r="X8" s="50">
        <v>2.843111</v>
      </c>
      <c r="Y8" s="50">
        <v>0.06043956043956044</v>
      </c>
      <c r="Z8" s="50">
        <v>0.14285714285714285</v>
      </c>
      <c r="AA8" s="72">
        <v>8</v>
      </c>
      <c r="AB8" s="72"/>
      <c r="AC8" s="73"/>
      <c r="AD8" s="80" t="s">
        <v>674</v>
      </c>
      <c r="AE8" s="96" t="str">
        <f>HYPERLINK("http://en.wikipedia.org/wiki/User:SineBot")</f>
        <v>http://en.wikipedia.org/wiki/User:SineBot</v>
      </c>
      <c r="AF8" s="80" t="s">
        <v>687</v>
      </c>
      <c r="AG8" s="80"/>
      <c r="AH8" s="80"/>
      <c r="AI8" s="80">
        <v>0.2202932</v>
      </c>
      <c r="AJ8" s="80">
        <v>500</v>
      </c>
      <c r="AK8" s="80"/>
      <c r="AL8" s="80" t="str">
        <f>REPLACE(INDEX(GroupVertices[Group],MATCH(Vertices[[#This Row],[Vertex]],GroupVertices[Vertex],0)),1,1,"")</f>
        <v>1</v>
      </c>
      <c r="AM8" s="49">
        <v>2</v>
      </c>
      <c r="AN8" s="50">
        <v>1.6129032258064515</v>
      </c>
      <c r="AO8" s="49">
        <v>2</v>
      </c>
      <c r="AP8" s="50">
        <v>1.6129032258064515</v>
      </c>
      <c r="AQ8" s="49">
        <v>0</v>
      </c>
      <c r="AR8" s="50">
        <v>0</v>
      </c>
      <c r="AS8" s="49">
        <v>120</v>
      </c>
      <c r="AT8" s="50">
        <v>96.7741935483871</v>
      </c>
      <c r="AU8" s="49">
        <v>124</v>
      </c>
      <c r="AV8" s="109" t="s">
        <v>1082</v>
      </c>
      <c r="AW8" s="109" t="s">
        <v>1169</v>
      </c>
      <c r="AX8" s="109" t="s">
        <v>1197</v>
      </c>
      <c r="AY8" s="109" t="s">
        <v>1281</v>
      </c>
      <c r="AZ8" s="2"/>
      <c r="BA8" s="3"/>
      <c r="BB8" s="3"/>
      <c r="BC8" s="3"/>
      <c r="BD8" s="3"/>
    </row>
    <row r="9" spans="1:56" ht="15">
      <c r="A9" s="65" t="s">
        <v>332</v>
      </c>
      <c r="B9" s="66"/>
      <c r="C9" s="66"/>
      <c r="D9" s="67">
        <v>52.60611473741851</v>
      </c>
      <c r="E9" s="69"/>
      <c r="F9" s="66"/>
      <c r="G9" s="66"/>
      <c r="H9" s="70" t="s">
        <v>332</v>
      </c>
      <c r="I9" s="71"/>
      <c r="J9" s="71"/>
      <c r="K9" s="70" t="s">
        <v>332</v>
      </c>
      <c r="L9" s="74">
        <v>43.48694228284881</v>
      </c>
      <c r="M9" s="75">
        <v>6973.822265625</v>
      </c>
      <c r="N9" s="75">
        <v>780.955810546875</v>
      </c>
      <c r="O9" s="76"/>
      <c r="P9" s="77"/>
      <c r="Q9" s="77"/>
      <c r="R9" s="82"/>
      <c r="S9" s="49">
        <v>2</v>
      </c>
      <c r="T9" s="49">
        <v>2</v>
      </c>
      <c r="U9" s="50">
        <v>12.637161</v>
      </c>
      <c r="V9" s="50">
        <v>0.00303</v>
      </c>
      <c r="W9" s="50">
        <v>0.005116</v>
      </c>
      <c r="X9" s="50">
        <v>0.630698</v>
      </c>
      <c r="Y9" s="50">
        <v>0</v>
      </c>
      <c r="Z9" s="50">
        <v>0</v>
      </c>
      <c r="AA9" s="72">
        <v>9</v>
      </c>
      <c r="AB9" s="72"/>
      <c r="AC9" s="73"/>
      <c r="AD9" s="80" t="s">
        <v>674</v>
      </c>
      <c r="AE9" s="96" t="str">
        <f>HYPERLINK("http://en.wikipedia.org/wiki/User:Bop34")</f>
        <v>http://en.wikipedia.org/wiki/User:Bop34</v>
      </c>
      <c r="AF9" s="80" t="s">
        <v>687</v>
      </c>
      <c r="AG9" s="80"/>
      <c r="AH9" s="80"/>
      <c r="AI9" s="80">
        <v>0.3630033</v>
      </c>
      <c r="AJ9" s="80">
        <v>500</v>
      </c>
      <c r="AK9" s="80"/>
      <c r="AL9" s="80" t="str">
        <f>REPLACE(INDEX(GroupVertices[Group],MATCH(Vertices[[#This Row],[Vertex]],GroupVertices[Vertex],0)),1,1,"")</f>
        <v>7</v>
      </c>
      <c r="AM9" s="49">
        <v>2</v>
      </c>
      <c r="AN9" s="50">
        <v>8.695652173913043</v>
      </c>
      <c r="AO9" s="49">
        <v>0</v>
      </c>
      <c r="AP9" s="50">
        <v>0</v>
      </c>
      <c r="AQ9" s="49">
        <v>0</v>
      </c>
      <c r="AR9" s="50">
        <v>0</v>
      </c>
      <c r="AS9" s="49">
        <v>21</v>
      </c>
      <c r="AT9" s="50">
        <v>91.30434782608695</v>
      </c>
      <c r="AU9" s="49">
        <v>23</v>
      </c>
      <c r="AV9" s="109" t="s">
        <v>1083</v>
      </c>
      <c r="AW9" s="109" t="s">
        <v>1170</v>
      </c>
      <c r="AX9" s="109" t="s">
        <v>1198</v>
      </c>
      <c r="AY9" s="109" t="s">
        <v>1282</v>
      </c>
      <c r="AZ9" s="2"/>
      <c r="BA9" s="3"/>
      <c r="BB9" s="3"/>
      <c r="BC9" s="3"/>
      <c r="BD9" s="3"/>
    </row>
    <row r="10" spans="1:56" ht="15">
      <c r="A10" s="65" t="s">
        <v>335</v>
      </c>
      <c r="B10" s="66"/>
      <c r="C10" s="66"/>
      <c r="D10" s="67">
        <v>200</v>
      </c>
      <c r="E10" s="69"/>
      <c r="F10" s="66"/>
      <c r="G10" s="66"/>
      <c r="H10" s="70" t="s">
        <v>335</v>
      </c>
      <c r="I10" s="71"/>
      <c r="J10" s="71"/>
      <c r="K10" s="70" t="s">
        <v>335</v>
      </c>
      <c r="L10" s="74">
        <v>9999</v>
      </c>
      <c r="M10" s="75">
        <v>2402.090087890625</v>
      </c>
      <c r="N10" s="75">
        <v>7210.1416015625</v>
      </c>
      <c r="O10" s="76"/>
      <c r="P10" s="77"/>
      <c r="Q10" s="77"/>
      <c r="R10" s="82"/>
      <c r="S10" s="49">
        <v>21</v>
      </c>
      <c r="T10" s="49">
        <v>18</v>
      </c>
      <c r="U10" s="50">
        <v>2973.768619</v>
      </c>
      <c r="V10" s="50">
        <v>0.00431</v>
      </c>
      <c r="W10" s="50">
        <v>0.039719</v>
      </c>
      <c r="X10" s="50">
        <v>5.209679</v>
      </c>
      <c r="Y10" s="50">
        <v>0.05172413793103448</v>
      </c>
      <c r="Z10" s="50">
        <v>0.27586206896551724</v>
      </c>
      <c r="AA10" s="72">
        <v>10</v>
      </c>
      <c r="AB10" s="72"/>
      <c r="AC10" s="73"/>
      <c r="AD10" s="80" t="s">
        <v>674</v>
      </c>
      <c r="AE10" s="96" t="str">
        <f>HYPERLINK("http://en.wikipedia.org/wiki/User:Slatersteven")</f>
        <v>http://en.wikipedia.org/wiki/User:Slatersteven</v>
      </c>
      <c r="AF10" s="80" t="s">
        <v>687</v>
      </c>
      <c r="AG10" s="80"/>
      <c r="AH10" s="80"/>
      <c r="AI10" s="80">
        <v>0.5426573</v>
      </c>
      <c r="AJ10" s="80">
        <v>500</v>
      </c>
      <c r="AK10" s="80"/>
      <c r="AL10" s="80" t="str">
        <f>REPLACE(INDEX(GroupVertices[Group],MATCH(Vertices[[#This Row],[Vertex]],GroupVertices[Vertex],0)),1,1,"")</f>
        <v>1</v>
      </c>
      <c r="AM10" s="49">
        <v>3</v>
      </c>
      <c r="AN10" s="50">
        <v>2.7777777777777777</v>
      </c>
      <c r="AO10" s="49">
        <v>8</v>
      </c>
      <c r="AP10" s="50">
        <v>7.407407407407407</v>
      </c>
      <c r="AQ10" s="49">
        <v>0</v>
      </c>
      <c r="AR10" s="50">
        <v>0</v>
      </c>
      <c r="AS10" s="49">
        <v>97</v>
      </c>
      <c r="AT10" s="50">
        <v>89.81481481481481</v>
      </c>
      <c r="AU10" s="49">
        <v>108</v>
      </c>
      <c r="AV10" s="109" t="s">
        <v>1084</v>
      </c>
      <c r="AW10" s="109" t="s">
        <v>1171</v>
      </c>
      <c r="AX10" s="109" t="s">
        <v>1199</v>
      </c>
      <c r="AY10" s="109" t="s">
        <v>1283</v>
      </c>
      <c r="AZ10" s="2"/>
      <c r="BA10" s="3"/>
      <c r="BB10" s="3"/>
      <c r="BC10" s="3"/>
      <c r="BD10" s="3"/>
    </row>
    <row r="11" spans="1:56" ht="15">
      <c r="A11" s="65" t="s">
        <v>333</v>
      </c>
      <c r="B11" s="66"/>
      <c r="C11" s="66"/>
      <c r="D11" s="67">
        <v>64.95199757431698</v>
      </c>
      <c r="E11" s="69"/>
      <c r="F11" s="66"/>
      <c r="G11" s="66"/>
      <c r="H11" s="70" t="s">
        <v>333</v>
      </c>
      <c r="I11" s="71"/>
      <c r="J11" s="71"/>
      <c r="K11" s="70" t="s">
        <v>333</v>
      </c>
      <c r="L11" s="74">
        <v>244.75928228799432</v>
      </c>
      <c r="M11" s="75">
        <v>5321.01953125</v>
      </c>
      <c r="N11" s="75">
        <v>185.68089294433594</v>
      </c>
      <c r="O11" s="76"/>
      <c r="P11" s="77"/>
      <c r="Q11" s="77"/>
      <c r="R11" s="82"/>
      <c r="S11" s="49">
        <v>3</v>
      </c>
      <c r="T11" s="49">
        <v>3</v>
      </c>
      <c r="U11" s="50">
        <v>72.502871</v>
      </c>
      <c r="V11" s="50">
        <v>0.003247</v>
      </c>
      <c r="W11" s="50">
        <v>0.011367</v>
      </c>
      <c r="X11" s="50">
        <v>0.908196</v>
      </c>
      <c r="Y11" s="50">
        <v>0.2</v>
      </c>
      <c r="Z11" s="50">
        <v>0.2</v>
      </c>
      <c r="AA11" s="72">
        <v>11</v>
      </c>
      <c r="AB11" s="72"/>
      <c r="AC11" s="73"/>
      <c r="AD11" s="80" t="s">
        <v>674</v>
      </c>
      <c r="AE11" s="96" t="str">
        <f>HYPERLINK("http://en.wikipedia.org/wiki/User:DarthBotto")</f>
        <v>http://en.wikipedia.org/wiki/User:DarthBotto</v>
      </c>
      <c r="AF11" s="80" t="s">
        <v>687</v>
      </c>
      <c r="AG11" s="80"/>
      <c r="AH11" s="80"/>
      <c r="AI11" s="80">
        <v>0.4797372</v>
      </c>
      <c r="AJ11" s="80">
        <v>500</v>
      </c>
      <c r="AK11" s="80"/>
      <c r="AL11" s="80" t="str">
        <f>REPLACE(INDEX(GroupVertices[Group],MATCH(Vertices[[#This Row],[Vertex]],GroupVertices[Vertex],0)),1,1,"")</f>
        <v>7</v>
      </c>
      <c r="AM11" s="49">
        <v>3</v>
      </c>
      <c r="AN11" s="50">
        <v>13.043478260869565</v>
      </c>
      <c r="AO11" s="49">
        <v>0</v>
      </c>
      <c r="AP11" s="50">
        <v>0</v>
      </c>
      <c r="AQ11" s="49">
        <v>0</v>
      </c>
      <c r="AR11" s="50">
        <v>0</v>
      </c>
      <c r="AS11" s="49">
        <v>20</v>
      </c>
      <c r="AT11" s="50">
        <v>86.95652173913044</v>
      </c>
      <c r="AU11" s="49">
        <v>23</v>
      </c>
      <c r="AV11" s="109" t="s">
        <v>1085</v>
      </c>
      <c r="AW11" s="109" t="s">
        <v>1172</v>
      </c>
      <c r="AX11" s="109" t="s">
        <v>1200</v>
      </c>
      <c r="AY11" s="109" t="s">
        <v>1200</v>
      </c>
      <c r="AZ11" s="2"/>
      <c r="BA11" s="3"/>
      <c r="BB11" s="3"/>
      <c r="BC11" s="3"/>
      <c r="BD11" s="3"/>
    </row>
    <row r="12" spans="1:56" ht="15">
      <c r="A12" s="65" t="s">
        <v>334</v>
      </c>
      <c r="B12" s="66"/>
      <c r="C12" s="66"/>
      <c r="D12" s="67">
        <v>52.19438891335863</v>
      </c>
      <c r="E12" s="69"/>
      <c r="F12" s="66"/>
      <c r="G12" s="66"/>
      <c r="H12" s="70" t="s">
        <v>334</v>
      </c>
      <c r="I12" s="71"/>
      <c r="J12" s="71"/>
      <c r="K12" s="70" t="s">
        <v>334</v>
      </c>
      <c r="L12" s="74">
        <v>36.774662477195236</v>
      </c>
      <c r="M12" s="75">
        <v>3100.9052734375</v>
      </c>
      <c r="N12" s="75">
        <v>3492.06787109375</v>
      </c>
      <c r="O12" s="76"/>
      <c r="P12" s="77"/>
      <c r="Q12" s="77"/>
      <c r="R12" s="82"/>
      <c r="S12" s="49">
        <v>1</v>
      </c>
      <c r="T12" s="49">
        <v>1</v>
      </c>
      <c r="U12" s="50">
        <v>10.640685</v>
      </c>
      <c r="V12" s="50">
        <v>0.003165</v>
      </c>
      <c r="W12" s="50">
        <v>0.005743</v>
      </c>
      <c r="X12" s="50">
        <v>0.443552</v>
      </c>
      <c r="Y12" s="50">
        <v>0</v>
      </c>
      <c r="Z12" s="50">
        <v>0</v>
      </c>
      <c r="AA12" s="72">
        <v>12</v>
      </c>
      <c r="AB12" s="72"/>
      <c r="AC12" s="73"/>
      <c r="AD12" s="80" t="s">
        <v>674</v>
      </c>
      <c r="AE12" s="80" t="s">
        <v>675</v>
      </c>
      <c r="AF12" s="80" t="s">
        <v>687</v>
      </c>
      <c r="AG12" s="80"/>
      <c r="AH12" s="80"/>
      <c r="AI12" s="80">
        <v>0.5194193</v>
      </c>
      <c r="AJ12" s="80">
        <v>500</v>
      </c>
      <c r="AK12" s="80"/>
      <c r="AL12" s="80" t="str">
        <f>REPLACE(INDEX(GroupVertices[Group],MATCH(Vertices[[#This Row],[Vertex]],GroupVertices[Vertex],0)),1,1,"")</f>
        <v>2</v>
      </c>
      <c r="AM12" s="49">
        <v>1</v>
      </c>
      <c r="AN12" s="50">
        <v>14.285714285714286</v>
      </c>
      <c r="AO12" s="49">
        <v>2</v>
      </c>
      <c r="AP12" s="50">
        <v>28.571428571428573</v>
      </c>
      <c r="AQ12" s="49">
        <v>0</v>
      </c>
      <c r="AR12" s="50">
        <v>0</v>
      </c>
      <c r="AS12" s="49">
        <v>4</v>
      </c>
      <c r="AT12" s="50">
        <v>57.142857142857146</v>
      </c>
      <c r="AU12" s="49">
        <v>7</v>
      </c>
      <c r="AV12" s="109" t="s">
        <v>1086</v>
      </c>
      <c r="AW12" s="109" t="s">
        <v>1086</v>
      </c>
      <c r="AX12" s="109" t="s">
        <v>1201</v>
      </c>
      <c r="AY12" s="109" t="s">
        <v>1201</v>
      </c>
      <c r="AZ12" s="2"/>
      <c r="BA12" s="3"/>
      <c r="BB12" s="3"/>
      <c r="BC12" s="3"/>
      <c r="BD12" s="3"/>
    </row>
    <row r="13" spans="1:56" ht="15">
      <c r="A13" s="65" t="s">
        <v>358</v>
      </c>
      <c r="B13" s="66"/>
      <c r="C13" s="66"/>
      <c r="D13" s="67">
        <v>200</v>
      </c>
      <c r="E13" s="69"/>
      <c r="F13" s="66"/>
      <c r="G13" s="66"/>
      <c r="H13" s="70" t="s">
        <v>358</v>
      </c>
      <c r="I13" s="71"/>
      <c r="J13" s="71"/>
      <c r="K13" s="70" t="s">
        <v>358</v>
      </c>
      <c r="L13" s="74">
        <v>2446.4185577186627</v>
      </c>
      <c r="M13" s="75">
        <v>2799.4951171875</v>
      </c>
      <c r="N13" s="75">
        <v>2153.61376953125</v>
      </c>
      <c r="O13" s="76"/>
      <c r="P13" s="77"/>
      <c r="Q13" s="77"/>
      <c r="R13" s="82"/>
      <c r="S13" s="49">
        <v>8</v>
      </c>
      <c r="T13" s="49">
        <v>9</v>
      </c>
      <c r="U13" s="50">
        <v>727.356368</v>
      </c>
      <c r="V13" s="50">
        <v>0.00369</v>
      </c>
      <c r="W13" s="50">
        <v>0.023365</v>
      </c>
      <c r="X13" s="50">
        <v>2.232099</v>
      </c>
      <c r="Y13" s="50">
        <v>0.12121212121212122</v>
      </c>
      <c r="Z13" s="50">
        <v>0.25</v>
      </c>
      <c r="AA13" s="72">
        <v>13</v>
      </c>
      <c r="AB13" s="72"/>
      <c r="AC13" s="73"/>
      <c r="AD13" s="80" t="s">
        <v>674</v>
      </c>
      <c r="AE13" s="96" t="str">
        <f>HYPERLINK("http://en.wikipedia.org/wiki/User:Iamreallygoodatcheckers")</f>
        <v>http://en.wikipedia.org/wiki/User:Iamreallygoodatcheckers</v>
      </c>
      <c r="AF13" s="80" t="s">
        <v>687</v>
      </c>
      <c r="AG13" s="80"/>
      <c r="AH13" s="80"/>
      <c r="AI13" s="80">
        <v>0.5796868</v>
      </c>
      <c r="AJ13" s="80">
        <v>500</v>
      </c>
      <c r="AK13" s="80"/>
      <c r="AL13" s="80" t="str">
        <f>REPLACE(INDEX(GroupVertices[Group],MATCH(Vertices[[#This Row],[Vertex]],GroupVertices[Vertex],0)),1,1,"")</f>
        <v>2</v>
      </c>
      <c r="AM13" s="49">
        <v>4</v>
      </c>
      <c r="AN13" s="50">
        <v>6.779661016949152</v>
      </c>
      <c r="AO13" s="49">
        <v>4</v>
      </c>
      <c r="AP13" s="50">
        <v>6.779661016949152</v>
      </c>
      <c r="AQ13" s="49">
        <v>0</v>
      </c>
      <c r="AR13" s="50">
        <v>0</v>
      </c>
      <c r="AS13" s="49">
        <v>51</v>
      </c>
      <c r="AT13" s="50">
        <v>86.44067796610169</v>
      </c>
      <c r="AU13" s="49">
        <v>59</v>
      </c>
      <c r="AV13" s="109" t="s">
        <v>1087</v>
      </c>
      <c r="AW13" s="109" t="s">
        <v>1087</v>
      </c>
      <c r="AX13" s="109" t="s">
        <v>1202</v>
      </c>
      <c r="AY13" s="109" t="s">
        <v>1202</v>
      </c>
      <c r="AZ13" s="2"/>
      <c r="BA13" s="3"/>
      <c r="BB13" s="3"/>
      <c r="BC13" s="3"/>
      <c r="BD13" s="3"/>
    </row>
    <row r="14" spans="1:56" ht="15">
      <c r="A14" s="65" t="s">
        <v>336</v>
      </c>
      <c r="B14" s="66"/>
      <c r="C14" s="66"/>
      <c r="D14" s="67">
        <v>50</v>
      </c>
      <c r="E14" s="69"/>
      <c r="F14" s="66"/>
      <c r="G14" s="66"/>
      <c r="H14" s="70" t="s">
        <v>336</v>
      </c>
      <c r="I14" s="71"/>
      <c r="J14" s="71"/>
      <c r="K14" s="70" t="s">
        <v>336</v>
      </c>
      <c r="L14" s="74">
        <v>1</v>
      </c>
      <c r="M14" s="75">
        <v>9799.9541015625</v>
      </c>
      <c r="N14" s="75">
        <v>5746.3037109375</v>
      </c>
      <c r="O14" s="76"/>
      <c r="P14" s="77"/>
      <c r="Q14" s="77"/>
      <c r="R14" s="82"/>
      <c r="S14" s="49">
        <v>1</v>
      </c>
      <c r="T14" s="49">
        <v>1</v>
      </c>
      <c r="U14" s="50">
        <v>0</v>
      </c>
      <c r="V14" s="50">
        <v>0.002747</v>
      </c>
      <c r="W14" s="50">
        <v>0.003444</v>
      </c>
      <c r="X14" s="50">
        <v>0.479703</v>
      </c>
      <c r="Y14" s="50">
        <v>1</v>
      </c>
      <c r="Z14" s="50">
        <v>0</v>
      </c>
      <c r="AA14" s="72">
        <v>14</v>
      </c>
      <c r="AB14" s="72"/>
      <c r="AC14" s="73"/>
      <c r="AD14" s="80" t="s">
        <v>674</v>
      </c>
      <c r="AE14" s="96" t="str">
        <f>HYPERLINK("http://en.wikipedia.org/wiki/User:99.120.250.187")</f>
        <v>http://en.wikipedia.org/wiki/User:99.120.250.187</v>
      </c>
      <c r="AF14" s="80" t="s">
        <v>687</v>
      </c>
      <c r="AG14" s="80"/>
      <c r="AH14" s="80"/>
      <c r="AI14" s="80">
        <v>0</v>
      </c>
      <c r="AJ14" s="80">
        <v>2</v>
      </c>
      <c r="AK14" s="80"/>
      <c r="AL14" s="80" t="str">
        <f>REPLACE(INDEX(GroupVertices[Group],MATCH(Vertices[[#This Row],[Vertex]],GroupVertices[Vertex],0)),1,1,"")</f>
        <v>4</v>
      </c>
      <c r="AM14" s="49"/>
      <c r="AN14" s="50"/>
      <c r="AO14" s="49"/>
      <c r="AP14" s="50"/>
      <c r="AQ14" s="49"/>
      <c r="AR14" s="50"/>
      <c r="AS14" s="49"/>
      <c r="AT14" s="50"/>
      <c r="AU14" s="49"/>
      <c r="AV14" s="109" t="s">
        <v>1088</v>
      </c>
      <c r="AW14" s="109" t="s">
        <v>1088</v>
      </c>
      <c r="AX14" s="109" t="s">
        <v>1088</v>
      </c>
      <c r="AY14" s="109" t="s">
        <v>1088</v>
      </c>
      <c r="AZ14" s="2"/>
      <c r="BA14" s="3"/>
      <c r="BB14" s="3"/>
      <c r="BC14" s="3"/>
      <c r="BD14" s="3"/>
    </row>
    <row r="15" spans="1:56" ht="15">
      <c r="A15" s="65" t="s">
        <v>337</v>
      </c>
      <c r="B15" s="66"/>
      <c r="C15" s="66"/>
      <c r="D15" s="67">
        <v>110.21810425670185</v>
      </c>
      <c r="E15" s="69"/>
      <c r="F15" s="66"/>
      <c r="G15" s="66"/>
      <c r="H15" s="70" t="s">
        <v>337</v>
      </c>
      <c r="I15" s="71"/>
      <c r="J15" s="71"/>
      <c r="K15" s="70" t="s">
        <v>337</v>
      </c>
      <c r="L15" s="74">
        <v>982.7231310665061</v>
      </c>
      <c r="M15" s="75">
        <v>9840.58984375</v>
      </c>
      <c r="N15" s="75">
        <v>8545.7255859375</v>
      </c>
      <c r="O15" s="76"/>
      <c r="P15" s="77"/>
      <c r="Q15" s="77"/>
      <c r="R15" s="82"/>
      <c r="S15" s="49">
        <v>4</v>
      </c>
      <c r="T15" s="49">
        <v>3</v>
      </c>
      <c r="U15" s="50">
        <v>292.000144</v>
      </c>
      <c r="V15" s="50">
        <v>0.003185</v>
      </c>
      <c r="W15" s="50">
        <v>0.007438</v>
      </c>
      <c r="X15" s="50">
        <v>1.093602</v>
      </c>
      <c r="Y15" s="50">
        <v>0.25</v>
      </c>
      <c r="Z15" s="50">
        <v>0.25</v>
      </c>
      <c r="AA15" s="72">
        <v>15</v>
      </c>
      <c r="AB15" s="72"/>
      <c r="AC15" s="73"/>
      <c r="AD15" s="80" t="s">
        <v>674</v>
      </c>
      <c r="AE15" s="96" t="str">
        <f>HYPERLINK("http://en.wikipedia.org/wiki/User:Werldwayd")</f>
        <v>http://en.wikipedia.org/wiki/User:Werldwayd</v>
      </c>
      <c r="AF15" s="80" t="s">
        <v>687</v>
      </c>
      <c r="AG15" s="80"/>
      <c r="AH15" s="80"/>
      <c r="AI15" s="80">
        <v>0.5875522</v>
      </c>
      <c r="AJ15" s="80">
        <v>500</v>
      </c>
      <c r="AK15" s="80"/>
      <c r="AL15" s="80" t="str">
        <f>REPLACE(INDEX(GroupVertices[Group],MATCH(Vertices[[#This Row],[Vertex]],GroupVertices[Vertex],0)),1,1,"")</f>
        <v>4</v>
      </c>
      <c r="AM15" s="49">
        <v>6</v>
      </c>
      <c r="AN15" s="50">
        <v>28.571428571428573</v>
      </c>
      <c r="AO15" s="49">
        <v>0</v>
      </c>
      <c r="AP15" s="50">
        <v>0</v>
      </c>
      <c r="AQ15" s="49">
        <v>0</v>
      </c>
      <c r="AR15" s="50">
        <v>0</v>
      </c>
      <c r="AS15" s="49">
        <v>15</v>
      </c>
      <c r="AT15" s="50">
        <v>71.42857142857143</v>
      </c>
      <c r="AU15" s="49">
        <v>21</v>
      </c>
      <c r="AV15" s="109" t="s">
        <v>1089</v>
      </c>
      <c r="AW15" s="109" t="s">
        <v>1089</v>
      </c>
      <c r="AX15" s="109" t="s">
        <v>1203</v>
      </c>
      <c r="AY15" s="109" t="s">
        <v>1203</v>
      </c>
      <c r="AZ15" s="2"/>
      <c r="BA15" s="3"/>
      <c r="BB15" s="3"/>
      <c r="BC15" s="3"/>
      <c r="BD15" s="3"/>
    </row>
    <row r="16" spans="1:56" ht="15">
      <c r="A16" s="65" t="s">
        <v>338</v>
      </c>
      <c r="B16" s="66"/>
      <c r="C16" s="66"/>
      <c r="D16" s="67">
        <v>63.10260027860236</v>
      </c>
      <c r="E16" s="69"/>
      <c r="F16" s="66"/>
      <c r="G16" s="66"/>
      <c r="H16" s="70" t="s">
        <v>338</v>
      </c>
      <c r="I16" s="71"/>
      <c r="J16" s="71"/>
      <c r="K16" s="70" t="s">
        <v>338</v>
      </c>
      <c r="L16" s="74">
        <v>214.60894583775956</v>
      </c>
      <c r="M16" s="75">
        <v>9180.8125</v>
      </c>
      <c r="N16" s="75">
        <v>9814.7392578125</v>
      </c>
      <c r="O16" s="76"/>
      <c r="P16" s="77"/>
      <c r="Q16" s="77"/>
      <c r="R16" s="82"/>
      <c r="S16" s="49">
        <v>1</v>
      </c>
      <c r="T16" s="49">
        <v>1</v>
      </c>
      <c r="U16" s="50">
        <v>63.535065</v>
      </c>
      <c r="V16" s="50">
        <v>0.002392</v>
      </c>
      <c r="W16" s="50">
        <v>0.000707</v>
      </c>
      <c r="X16" s="50">
        <v>0.617454</v>
      </c>
      <c r="Y16" s="50">
        <v>0</v>
      </c>
      <c r="Z16" s="50">
        <v>0</v>
      </c>
      <c r="AA16" s="72">
        <v>16</v>
      </c>
      <c r="AB16" s="72"/>
      <c r="AC16" s="73"/>
      <c r="AD16" s="80" t="s">
        <v>674</v>
      </c>
      <c r="AE16" s="96" t="str">
        <f>HYPERLINK("http://en.wikipedia.org/wiki/User:Burgmluc000")</f>
        <v>http://en.wikipedia.org/wiki/User:Burgmluc000</v>
      </c>
      <c r="AF16" s="80" t="s">
        <v>687</v>
      </c>
      <c r="AG16" s="80"/>
      <c r="AH16" s="80"/>
      <c r="AI16" s="80">
        <v>0</v>
      </c>
      <c r="AJ16" s="80">
        <v>1</v>
      </c>
      <c r="AK16" s="80"/>
      <c r="AL16" s="80" t="str">
        <f>REPLACE(INDEX(GroupVertices[Group],MATCH(Vertices[[#This Row],[Vertex]],GroupVertices[Vertex],0)),1,1,"")</f>
        <v>4</v>
      </c>
      <c r="AM16" s="49">
        <v>0</v>
      </c>
      <c r="AN16" s="50">
        <v>0</v>
      </c>
      <c r="AO16" s="49">
        <v>0</v>
      </c>
      <c r="AP16" s="50">
        <v>0</v>
      </c>
      <c r="AQ16" s="49">
        <v>0</v>
      </c>
      <c r="AR16" s="50">
        <v>0</v>
      </c>
      <c r="AS16" s="49">
        <v>11</v>
      </c>
      <c r="AT16" s="50">
        <v>100</v>
      </c>
      <c r="AU16" s="49">
        <v>11</v>
      </c>
      <c r="AV16" s="109" t="s">
        <v>1090</v>
      </c>
      <c r="AW16" s="109" t="s">
        <v>1090</v>
      </c>
      <c r="AX16" s="109" t="s">
        <v>1204</v>
      </c>
      <c r="AY16" s="109" t="s">
        <v>1204</v>
      </c>
      <c r="AZ16" s="2"/>
      <c r="BA16" s="3"/>
      <c r="BB16" s="3"/>
      <c r="BC16" s="3"/>
      <c r="BD16" s="3"/>
    </row>
    <row r="17" spans="1:56" ht="15">
      <c r="A17" s="65" t="s">
        <v>339</v>
      </c>
      <c r="B17" s="66"/>
      <c r="C17" s="66"/>
      <c r="D17" s="67">
        <v>55.100663324363715</v>
      </c>
      <c r="E17" s="69"/>
      <c r="F17" s="66"/>
      <c r="G17" s="66"/>
      <c r="H17" s="70" t="s">
        <v>339</v>
      </c>
      <c r="I17" s="71"/>
      <c r="J17" s="71"/>
      <c r="K17" s="70" t="s">
        <v>339</v>
      </c>
      <c r="L17" s="74">
        <v>84.15504500049336</v>
      </c>
      <c r="M17" s="75">
        <v>7860.97216796875</v>
      </c>
      <c r="N17" s="75">
        <v>9007.4111328125</v>
      </c>
      <c r="O17" s="76"/>
      <c r="P17" s="77"/>
      <c r="Q17" s="77"/>
      <c r="R17" s="82"/>
      <c r="S17" s="49">
        <v>1</v>
      </c>
      <c r="T17" s="49">
        <v>1</v>
      </c>
      <c r="U17" s="50">
        <v>24.733333</v>
      </c>
      <c r="V17" s="50">
        <v>0.002222</v>
      </c>
      <c r="W17" s="50">
        <v>0.000332</v>
      </c>
      <c r="X17" s="50">
        <v>0.662452</v>
      </c>
      <c r="Y17" s="50">
        <v>0</v>
      </c>
      <c r="Z17" s="50">
        <v>0</v>
      </c>
      <c r="AA17" s="72">
        <v>17</v>
      </c>
      <c r="AB17" s="72"/>
      <c r="AC17" s="73"/>
      <c r="AD17" s="80" t="s">
        <v>674</v>
      </c>
      <c r="AE17" s="96" t="str">
        <f>HYPERLINK("http://en.wikipedia.org/wiki/User:EvergreenFir")</f>
        <v>http://en.wikipedia.org/wiki/User:EvergreenFir</v>
      </c>
      <c r="AF17" s="80" t="s">
        <v>687</v>
      </c>
      <c r="AG17" s="80"/>
      <c r="AH17" s="80"/>
      <c r="AI17" s="80">
        <v>0.313761</v>
      </c>
      <c r="AJ17" s="80">
        <v>500</v>
      </c>
      <c r="AK17" s="80"/>
      <c r="AL17" s="80" t="str">
        <f>REPLACE(INDEX(GroupVertices[Group],MATCH(Vertices[[#This Row],[Vertex]],GroupVertices[Vertex],0)),1,1,"")</f>
        <v>4</v>
      </c>
      <c r="AM17" s="49">
        <v>0</v>
      </c>
      <c r="AN17" s="50">
        <v>0</v>
      </c>
      <c r="AO17" s="49">
        <v>0</v>
      </c>
      <c r="AP17" s="50">
        <v>0</v>
      </c>
      <c r="AQ17" s="49">
        <v>0</v>
      </c>
      <c r="AR17" s="50">
        <v>0</v>
      </c>
      <c r="AS17" s="49">
        <v>12</v>
      </c>
      <c r="AT17" s="50">
        <v>100</v>
      </c>
      <c r="AU17" s="49">
        <v>12</v>
      </c>
      <c r="AV17" s="109" t="s">
        <v>1091</v>
      </c>
      <c r="AW17" s="109" t="s">
        <v>1091</v>
      </c>
      <c r="AX17" s="109" t="s">
        <v>1205</v>
      </c>
      <c r="AY17" s="109" t="s">
        <v>1205</v>
      </c>
      <c r="AZ17" s="2"/>
      <c r="BA17" s="3"/>
      <c r="BB17" s="3"/>
      <c r="BC17" s="3"/>
      <c r="BD17" s="3"/>
    </row>
    <row r="18" spans="1:56" ht="15">
      <c r="A18" s="65" t="s">
        <v>340</v>
      </c>
      <c r="B18" s="66"/>
      <c r="C18" s="66"/>
      <c r="D18" s="67">
        <v>88.19275037954985</v>
      </c>
      <c r="E18" s="69"/>
      <c r="F18" s="66"/>
      <c r="G18" s="66"/>
      <c r="H18" s="70" t="s">
        <v>340</v>
      </c>
      <c r="I18" s="71"/>
      <c r="J18" s="71"/>
      <c r="K18" s="70" t="s">
        <v>340</v>
      </c>
      <c r="L18" s="74">
        <v>623.6484036564515</v>
      </c>
      <c r="M18" s="75">
        <v>9850.58203125</v>
      </c>
      <c r="N18" s="75">
        <v>9788.146484375</v>
      </c>
      <c r="O18" s="76"/>
      <c r="P18" s="77"/>
      <c r="Q18" s="77"/>
      <c r="R18" s="82"/>
      <c r="S18" s="49">
        <v>1</v>
      </c>
      <c r="T18" s="49">
        <v>1</v>
      </c>
      <c r="U18" s="50">
        <v>185.198268</v>
      </c>
      <c r="V18" s="50">
        <v>0.002793</v>
      </c>
      <c r="W18" s="50">
        <v>0.002938</v>
      </c>
      <c r="X18" s="50">
        <v>0.588316</v>
      </c>
      <c r="Y18" s="50">
        <v>0</v>
      </c>
      <c r="Z18" s="50">
        <v>0</v>
      </c>
      <c r="AA18" s="72">
        <v>18</v>
      </c>
      <c r="AB18" s="72"/>
      <c r="AC18" s="73"/>
      <c r="AD18" s="80" t="s">
        <v>674</v>
      </c>
      <c r="AE18" s="96" t="str">
        <f>HYPERLINK("http://en.wikipedia.org/wiki/User:198.91.14.2")</f>
        <v>http://en.wikipedia.org/wiki/User:198.91.14.2</v>
      </c>
      <c r="AF18" s="80" t="s">
        <v>687</v>
      </c>
      <c r="AG18" s="80"/>
      <c r="AH18" s="80"/>
      <c r="AI18" s="80">
        <v>0.2727273</v>
      </c>
      <c r="AJ18" s="80">
        <v>16</v>
      </c>
      <c r="AK18" s="80"/>
      <c r="AL18" s="80" t="str">
        <f>REPLACE(INDEX(GroupVertices[Group],MATCH(Vertices[[#This Row],[Vertex]],GroupVertices[Vertex],0)),1,1,"")</f>
        <v>4</v>
      </c>
      <c r="AM18" s="49"/>
      <c r="AN18" s="50"/>
      <c r="AO18" s="49"/>
      <c r="AP18" s="50"/>
      <c r="AQ18" s="49"/>
      <c r="AR18" s="50"/>
      <c r="AS18" s="49"/>
      <c r="AT18" s="50"/>
      <c r="AU18" s="49"/>
      <c r="AV18" s="109" t="s">
        <v>1088</v>
      </c>
      <c r="AW18" s="109" t="s">
        <v>1088</v>
      </c>
      <c r="AX18" s="109" t="s">
        <v>1088</v>
      </c>
      <c r="AY18" s="109" t="s">
        <v>1088</v>
      </c>
      <c r="AZ18" s="2"/>
      <c r="BA18" s="3"/>
      <c r="BB18" s="3"/>
      <c r="BC18" s="3"/>
      <c r="BD18" s="3"/>
    </row>
    <row r="19" spans="1:56" ht="15">
      <c r="A19" s="65" t="s">
        <v>342</v>
      </c>
      <c r="B19" s="66"/>
      <c r="C19" s="66"/>
      <c r="D19" s="67">
        <v>50</v>
      </c>
      <c r="E19" s="69"/>
      <c r="F19" s="66"/>
      <c r="G19" s="66"/>
      <c r="H19" s="70" t="s">
        <v>342</v>
      </c>
      <c r="I19" s="71"/>
      <c r="J19" s="71"/>
      <c r="K19" s="70" t="s">
        <v>342</v>
      </c>
      <c r="L19" s="74">
        <v>1</v>
      </c>
      <c r="M19" s="75">
        <v>701.500732421875</v>
      </c>
      <c r="N19" s="75">
        <v>578.441650390625</v>
      </c>
      <c r="O19" s="76"/>
      <c r="P19" s="77"/>
      <c r="Q19" s="77"/>
      <c r="R19" s="82"/>
      <c r="S19" s="49">
        <v>1</v>
      </c>
      <c r="T19" s="49">
        <v>1</v>
      </c>
      <c r="U19" s="50">
        <v>0</v>
      </c>
      <c r="V19" s="50">
        <v>0.002762</v>
      </c>
      <c r="W19" s="50">
        <v>0.003229</v>
      </c>
      <c r="X19" s="50">
        <v>0.514506</v>
      </c>
      <c r="Y19" s="50">
        <v>0.5</v>
      </c>
      <c r="Z19" s="50">
        <v>0</v>
      </c>
      <c r="AA19" s="72">
        <v>19</v>
      </c>
      <c r="AB19" s="72"/>
      <c r="AC19" s="73"/>
      <c r="AD19" s="80" t="s">
        <v>674</v>
      </c>
      <c r="AE19" s="80" t="s">
        <v>676</v>
      </c>
      <c r="AF19" s="80" t="s">
        <v>687</v>
      </c>
      <c r="AG19" s="80"/>
      <c r="AH19" s="80"/>
      <c r="AI19" s="80">
        <v>0.3895894</v>
      </c>
      <c r="AJ19" s="80">
        <v>500</v>
      </c>
      <c r="AK19" s="80"/>
      <c r="AL19" s="80" t="str">
        <f>REPLACE(INDEX(GroupVertices[Group],MATCH(Vertices[[#This Row],[Vertex]],GroupVertices[Vertex],0)),1,1,"")</f>
        <v>2</v>
      </c>
      <c r="AM19" s="49"/>
      <c r="AN19" s="50"/>
      <c r="AO19" s="49"/>
      <c r="AP19" s="50"/>
      <c r="AQ19" s="49"/>
      <c r="AR19" s="50"/>
      <c r="AS19" s="49"/>
      <c r="AT19" s="50"/>
      <c r="AU19" s="49"/>
      <c r="AV19" s="109" t="s">
        <v>1088</v>
      </c>
      <c r="AW19" s="109" t="s">
        <v>1088</v>
      </c>
      <c r="AX19" s="109" t="s">
        <v>1088</v>
      </c>
      <c r="AY19" s="109" t="s">
        <v>1088</v>
      </c>
      <c r="AZ19" s="2"/>
      <c r="BA19" s="3"/>
      <c r="BB19" s="3"/>
      <c r="BC19" s="3"/>
      <c r="BD19" s="3"/>
    </row>
    <row r="20" spans="1:56" ht="15">
      <c r="A20" s="65" t="s">
        <v>343</v>
      </c>
      <c r="B20" s="66"/>
      <c r="C20" s="66"/>
      <c r="D20" s="67">
        <v>50</v>
      </c>
      <c r="E20" s="69"/>
      <c r="F20" s="66"/>
      <c r="G20" s="66"/>
      <c r="H20" s="70" t="s">
        <v>343</v>
      </c>
      <c r="I20" s="71"/>
      <c r="J20" s="71"/>
      <c r="K20" s="70" t="s">
        <v>343</v>
      </c>
      <c r="L20" s="74">
        <v>1</v>
      </c>
      <c r="M20" s="75">
        <v>992.9219360351562</v>
      </c>
      <c r="N20" s="75">
        <v>2608.237060546875</v>
      </c>
      <c r="O20" s="76"/>
      <c r="P20" s="77"/>
      <c r="Q20" s="77"/>
      <c r="R20" s="82"/>
      <c r="S20" s="49">
        <v>2</v>
      </c>
      <c r="T20" s="49">
        <v>2</v>
      </c>
      <c r="U20" s="50">
        <v>0</v>
      </c>
      <c r="V20" s="50">
        <v>0.002762</v>
      </c>
      <c r="W20" s="50">
        <v>0.003522</v>
      </c>
      <c r="X20" s="50">
        <v>0.733171</v>
      </c>
      <c r="Y20" s="50">
        <v>0.5</v>
      </c>
      <c r="Z20" s="50">
        <v>0</v>
      </c>
      <c r="AA20" s="72">
        <v>20</v>
      </c>
      <c r="AB20" s="72"/>
      <c r="AC20" s="73"/>
      <c r="AD20" s="80" t="s">
        <v>674</v>
      </c>
      <c r="AE20" s="96" t="str">
        <f>HYPERLINK("http://en.wikipedia.org/wiki/User:GordonGlottal")</f>
        <v>http://en.wikipedia.org/wiki/User:GordonGlottal</v>
      </c>
      <c r="AF20" s="80" t="s">
        <v>687</v>
      </c>
      <c r="AG20" s="80"/>
      <c r="AH20" s="80"/>
      <c r="AI20" s="80">
        <v>0.7333084</v>
      </c>
      <c r="AJ20" s="80">
        <v>500</v>
      </c>
      <c r="AK20" s="80"/>
      <c r="AL20" s="80" t="str">
        <f>REPLACE(INDEX(GroupVertices[Group],MATCH(Vertices[[#This Row],[Vertex]],GroupVertices[Vertex],0)),1,1,"")</f>
        <v>2</v>
      </c>
      <c r="AM20" s="49">
        <v>0</v>
      </c>
      <c r="AN20" s="50">
        <v>0</v>
      </c>
      <c r="AO20" s="49">
        <v>2</v>
      </c>
      <c r="AP20" s="50">
        <v>9.090909090909092</v>
      </c>
      <c r="AQ20" s="49">
        <v>0</v>
      </c>
      <c r="AR20" s="50">
        <v>0</v>
      </c>
      <c r="AS20" s="49">
        <v>20</v>
      </c>
      <c r="AT20" s="50">
        <v>90.9090909090909</v>
      </c>
      <c r="AU20" s="49">
        <v>22</v>
      </c>
      <c r="AV20" s="109" t="s">
        <v>1092</v>
      </c>
      <c r="AW20" s="109" t="s">
        <v>1173</v>
      </c>
      <c r="AX20" s="109" t="s">
        <v>1206</v>
      </c>
      <c r="AY20" s="109" t="s">
        <v>1284</v>
      </c>
      <c r="AZ20" s="2"/>
      <c r="BA20" s="3"/>
      <c r="BB20" s="3"/>
      <c r="BC20" s="3"/>
      <c r="BD20" s="3"/>
    </row>
    <row r="21" spans="1:56" ht="15">
      <c r="A21" s="65" t="s">
        <v>344</v>
      </c>
      <c r="B21" s="66"/>
      <c r="C21" s="66"/>
      <c r="D21" s="67">
        <v>56.77407659679691</v>
      </c>
      <c r="E21" s="69"/>
      <c r="F21" s="66"/>
      <c r="G21" s="66"/>
      <c r="H21" s="70" t="s">
        <v>344</v>
      </c>
      <c r="I21" s="71"/>
      <c r="J21" s="71"/>
      <c r="K21" s="70" t="s">
        <v>344</v>
      </c>
      <c r="L21" s="74">
        <v>111.43635080809896</v>
      </c>
      <c r="M21" s="75">
        <v>914.9826049804688</v>
      </c>
      <c r="N21" s="75">
        <v>8674.8486328125</v>
      </c>
      <c r="O21" s="76"/>
      <c r="P21" s="77"/>
      <c r="Q21" s="77"/>
      <c r="R21" s="82"/>
      <c r="S21" s="49">
        <v>1</v>
      </c>
      <c r="T21" s="49">
        <v>1</v>
      </c>
      <c r="U21" s="50">
        <v>32.847785</v>
      </c>
      <c r="V21" s="50">
        <v>0.0033</v>
      </c>
      <c r="W21" s="50">
        <v>0.006523</v>
      </c>
      <c r="X21" s="50">
        <v>0.454382</v>
      </c>
      <c r="Y21" s="50">
        <v>0</v>
      </c>
      <c r="Z21" s="50">
        <v>0</v>
      </c>
      <c r="AA21" s="72">
        <v>21</v>
      </c>
      <c r="AB21" s="72"/>
      <c r="AC21" s="73"/>
      <c r="AD21" s="80" t="s">
        <v>674</v>
      </c>
      <c r="AE21" s="96" t="str">
        <f>HYPERLINK("http://en.wikipedia.org/wiki/User:69.63.170.68")</f>
        <v>http://en.wikipedia.org/wiki/User:69.63.170.68</v>
      </c>
      <c r="AF21" s="80" t="s">
        <v>687</v>
      </c>
      <c r="AG21" s="80"/>
      <c r="AH21" s="80"/>
      <c r="AI21" s="80">
        <v>0.55</v>
      </c>
      <c r="AJ21" s="80">
        <v>15</v>
      </c>
      <c r="AK21" s="80"/>
      <c r="AL21" s="80" t="str">
        <f>REPLACE(INDEX(GroupVertices[Group],MATCH(Vertices[[#This Row],[Vertex]],GroupVertices[Vertex],0)),1,1,"")</f>
        <v>1</v>
      </c>
      <c r="AM21" s="49"/>
      <c r="AN21" s="50"/>
      <c r="AO21" s="49"/>
      <c r="AP21" s="50"/>
      <c r="AQ21" s="49"/>
      <c r="AR21" s="50"/>
      <c r="AS21" s="49"/>
      <c r="AT21" s="50"/>
      <c r="AU21" s="49"/>
      <c r="AV21" s="109" t="s">
        <v>1088</v>
      </c>
      <c r="AW21" s="109" t="s">
        <v>1088</v>
      </c>
      <c r="AX21" s="109" t="s">
        <v>1088</v>
      </c>
      <c r="AY21" s="109" t="s">
        <v>1088</v>
      </c>
      <c r="AZ21" s="2"/>
      <c r="BA21" s="3"/>
      <c r="BB21" s="3"/>
      <c r="BC21" s="3"/>
      <c r="BD21" s="3"/>
    </row>
    <row r="22" spans="1:56" ht="15">
      <c r="A22" s="65" t="s">
        <v>345</v>
      </c>
      <c r="B22" s="66"/>
      <c r="C22" s="66"/>
      <c r="D22" s="67">
        <v>56.66755577233084</v>
      </c>
      <c r="E22" s="69"/>
      <c r="F22" s="66"/>
      <c r="G22" s="66"/>
      <c r="H22" s="70" t="s">
        <v>345</v>
      </c>
      <c r="I22" s="71"/>
      <c r="J22" s="71"/>
      <c r="K22" s="70" t="s">
        <v>345</v>
      </c>
      <c r="L22" s="74">
        <v>109.69976413521363</v>
      </c>
      <c r="M22" s="75">
        <v>3491.024658203125</v>
      </c>
      <c r="N22" s="75">
        <v>7019.74853515625</v>
      </c>
      <c r="O22" s="76"/>
      <c r="P22" s="77"/>
      <c r="Q22" s="77"/>
      <c r="R22" s="82"/>
      <c r="S22" s="49">
        <v>1</v>
      </c>
      <c r="T22" s="49">
        <v>1</v>
      </c>
      <c r="U22" s="50">
        <v>32.331261</v>
      </c>
      <c r="V22" s="50">
        <v>0.003096</v>
      </c>
      <c r="W22" s="50">
        <v>0.004786</v>
      </c>
      <c r="X22" s="50">
        <v>0.451661</v>
      </c>
      <c r="Y22" s="50">
        <v>0</v>
      </c>
      <c r="Z22" s="50">
        <v>0</v>
      </c>
      <c r="AA22" s="72">
        <v>22</v>
      </c>
      <c r="AB22" s="72"/>
      <c r="AC22" s="73"/>
      <c r="AD22" s="80" t="s">
        <v>674</v>
      </c>
      <c r="AE22" s="96" t="str">
        <f>HYPERLINK("http://en.wikipedia.org/wiki/User:LordParsifal")</f>
        <v>http://en.wikipedia.org/wiki/User:LordParsifal</v>
      </c>
      <c r="AF22" s="80" t="s">
        <v>687</v>
      </c>
      <c r="AG22" s="80"/>
      <c r="AH22" s="80"/>
      <c r="AI22" s="80">
        <v>0.5337429</v>
      </c>
      <c r="AJ22" s="80">
        <v>368</v>
      </c>
      <c r="AK22" s="80"/>
      <c r="AL22" s="80" t="str">
        <f>REPLACE(INDEX(GroupVertices[Group],MATCH(Vertices[[#This Row],[Vertex]],GroupVertices[Vertex],0)),1,1,"")</f>
        <v>1</v>
      </c>
      <c r="AM22" s="49">
        <v>0</v>
      </c>
      <c r="AN22" s="50">
        <v>0</v>
      </c>
      <c r="AO22" s="49">
        <v>0</v>
      </c>
      <c r="AP22" s="50">
        <v>0</v>
      </c>
      <c r="AQ22" s="49">
        <v>0</v>
      </c>
      <c r="AR22" s="50">
        <v>0</v>
      </c>
      <c r="AS22" s="49">
        <v>14</v>
      </c>
      <c r="AT22" s="50">
        <v>100</v>
      </c>
      <c r="AU22" s="49">
        <v>14</v>
      </c>
      <c r="AV22" s="109" t="s">
        <v>1093</v>
      </c>
      <c r="AW22" s="109" t="s">
        <v>1093</v>
      </c>
      <c r="AX22" s="109" t="s">
        <v>1207</v>
      </c>
      <c r="AY22" s="109" t="s">
        <v>1207</v>
      </c>
      <c r="AZ22" s="2"/>
      <c r="BA22" s="3"/>
      <c r="BB22" s="3"/>
      <c r="BC22" s="3"/>
      <c r="BD22" s="3"/>
    </row>
    <row r="23" spans="1:56" ht="15">
      <c r="A23" s="65" t="s">
        <v>346</v>
      </c>
      <c r="B23" s="66"/>
      <c r="C23" s="66"/>
      <c r="D23" s="67">
        <v>90.49088163066719</v>
      </c>
      <c r="E23" s="69"/>
      <c r="F23" s="66"/>
      <c r="G23" s="66"/>
      <c r="H23" s="70" t="s">
        <v>346</v>
      </c>
      <c r="I23" s="71"/>
      <c r="J23" s="71"/>
      <c r="K23" s="70" t="s">
        <v>346</v>
      </c>
      <c r="L23" s="74">
        <v>661.114355720155</v>
      </c>
      <c r="M23" s="75">
        <v>2208.23876953125</v>
      </c>
      <c r="N23" s="75">
        <v>1647.6416015625</v>
      </c>
      <c r="O23" s="76"/>
      <c r="P23" s="77"/>
      <c r="Q23" s="77"/>
      <c r="R23" s="82"/>
      <c r="S23" s="49">
        <v>4</v>
      </c>
      <c r="T23" s="49">
        <v>4</v>
      </c>
      <c r="U23" s="50">
        <v>196.342004</v>
      </c>
      <c r="V23" s="50">
        <v>0.003279</v>
      </c>
      <c r="W23" s="50">
        <v>0.012854</v>
      </c>
      <c r="X23" s="50">
        <v>1.268676</v>
      </c>
      <c r="Y23" s="50">
        <v>0.26666666666666666</v>
      </c>
      <c r="Z23" s="50">
        <v>0</v>
      </c>
      <c r="AA23" s="72">
        <v>23</v>
      </c>
      <c r="AB23" s="72"/>
      <c r="AC23" s="73"/>
      <c r="AD23" s="80" t="s">
        <v>674</v>
      </c>
      <c r="AE23" s="96" t="str">
        <f>HYPERLINK("http://en.wikipedia.org/wiki/User:Neutrality")</f>
        <v>http://en.wikipedia.org/wiki/User:Neutrality</v>
      </c>
      <c r="AF23" s="80" t="s">
        <v>687</v>
      </c>
      <c r="AG23" s="80"/>
      <c r="AH23" s="80"/>
      <c r="AI23" s="80">
        <v>0.5294546</v>
      </c>
      <c r="AJ23" s="80">
        <v>500</v>
      </c>
      <c r="AK23" s="80"/>
      <c r="AL23" s="80" t="str">
        <f>REPLACE(INDEX(GroupVertices[Group],MATCH(Vertices[[#This Row],[Vertex]],GroupVertices[Vertex],0)),1,1,"")</f>
        <v>2</v>
      </c>
      <c r="AM23" s="49">
        <v>0</v>
      </c>
      <c r="AN23" s="50">
        <v>0</v>
      </c>
      <c r="AO23" s="49">
        <v>0</v>
      </c>
      <c r="AP23" s="50">
        <v>0</v>
      </c>
      <c r="AQ23" s="49">
        <v>0</v>
      </c>
      <c r="AR23" s="50">
        <v>0</v>
      </c>
      <c r="AS23" s="49">
        <v>15</v>
      </c>
      <c r="AT23" s="50">
        <v>100</v>
      </c>
      <c r="AU23" s="49">
        <v>15</v>
      </c>
      <c r="AV23" s="109" t="s">
        <v>1094</v>
      </c>
      <c r="AW23" s="109" t="s">
        <v>1174</v>
      </c>
      <c r="AX23" s="109" t="s">
        <v>1208</v>
      </c>
      <c r="AY23" s="109" t="s">
        <v>1208</v>
      </c>
      <c r="AZ23" s="2"/>
      <c r="BA23" s="3"/>
      <c r="BB23" s="3"/>
      <c r="BC23" s="3"/>
      <c r="BD23" s="3"/>
    </row>
    <row r="24" spans="1:56" ht="15">
      <c r="A24" s="65" t="s">
        <v>347</v>
      </c>
      <c r="B24" s="66"/>
      <c r="C24" s="66"/>
      <c r="D24" s="67">
        <v>52.07685931746734</v>
      </c>
      <c r="E24" s="69"/>
      <c r="F24" s="66"/>
      <c r="G24" s="66"/>
      <c r="H24" s="70" t="s">
        <v>347</v>
      </c>
      <c r="I24" s="71"/>
      <c r="J24" s="71"/>
      <c r="K24" s="70" t="s">
        <v>347</v>
      </c>
      <c r="L24" s="74">
        <v>34.85860211137025</v>
      </c>
      <c r="M24" s="75">
        <v>7143.65673828125</v>
      </c>
      <c r="N24" s="75">
        <v>6354.55078125</v>
      </c>
      <c r="O24" s="76"/>
      <c r="P24" s="77"/>
      <c r="Q24" s="77"/>
      <c r="R24" s="82"/>
      <c r="S24" s="49">
        <v>1</v>
      </c>
      <c r="T24" s="49">
        <v>1</v>
      </c>
      <c r="U24" s="50">
        <v>10.070779</v>
      </c>
      <c r="V24" s="50">
        <v>0.003115</v>
      </c>
      <c r="W24" s="50">
        <v>0.006327</v>
      </c>
      <c r="X24" s="50">
        <v>0.450832</v>
      </c>
      <c r="Y24" s="50">
        <v>0</v>
      </c>
      <c r="Z24" s="50">
        <v>0</v>
      </c>
      <c r="AA24" s="72">
        <v>24</v>
      </c>
      <c r="AB24" s="72"/>
      <c r="AC24" s="73"/>
      <c r="AD24" s="80" t="s">
        <v>674</v>
      </c>
      <c r="AE24" s="96" t="str">
        <f>HYPERLINK("http://en.wikipedia.org/wiki/User:2600:1700:E1E0:FC10:DA4:C4CB:58A4:61F6")</f>
        <v>http://en.wikipedia.org/wiki/User:2600:1700:E1E0:FC10:DA4:C4CB:58A4:61F6</v>
      </c>
      <c r="AF24" s="80" t="s">
        <v>687</v>
      </c>
      <c r="AG24" s="80"/>
      <c r="AH24" s="80"/>
      <c r="AI24" s="80">
        <v>0</v>
      </c>
      <c r="AJ24" s="80">
        <v>1</v>
      </c>
      <c r="AK24" s="80"/>
      <c r="AL24" s="80" t="str">
        <f>REPLACE(INDEX(GroupVertices[Group],MATCH(Vertices[[#This Row],[Vertex]],GroupVertices[Vertex],0)),1,1,"")</f>
        <v>3</v>
      </c>
      <c r="AM24" s="49">
        <v>0</v>
      </c>
      <c r="AN24" s="50">
        <v>0</v>
      </c>
      <c r="AO24" s="49">
        <v>0</v>
      </c>
      <c r="AP24" s="50">
        <v>0</v>
      </c>
      <c r="AQ24" s="49">
        <v>0</v>
      </c>
      <c r="AR24" s="50">
        <v>0</v>
      </c>
      <c r="AS24" s="49">
        <v>9</v>
      </c>
      <c r="AT24" s="50">
        <v>100</v>
      </c>
      <c r="AU24" s="49">
        <v>9</v>
      </c>
      <c r="AV24" s="109" t="s">
        <v>1095</v>
      </c>
      <c r="AW24" s="109" t="s">
        <v>1095</v>
      </c>
      <c r="AX24" s="109" t="s">
        <v>1209</v>
      </c>
      <c r="AY24" s="109" t="s">
        <v>1209</v>
      </c>
      <c r="AZ24" s="2"/>
      <c r="BA24" s="3"/>
      <c r="BB24" s="3"/>
      <c r="BC24" s="3"/>
      <c r="BD24" s="3"/>
    </row>
    <row r="25" spans="1:56" ht="15">
      <c r="A25" s="65" t="s">
        <v>366</v>
      </c>
      <c r="B25" s="66"/>
      <c r="C25" s="66"/>
      <c r="D25" s="67">
        <v>200</v>
      </c>
      <c r="E25" s="69"/>
      <c r="F25" s="66"/>
      <c r="G25" s="66"/>
      <c r="H25" s="70" t="s">
        <v>366</v>
      </c>
      <c r="I25" s="71"/>
      <c r="J25" s="71"/>
      <c r="K25" s="70" t="s">
        <v>366</v>
      </c>
      <c r="L25" s="74">
        <v>5465.815707752951</v>
      </c>
      <c r="M25" s="75">
        <v>1846.4857177734375</v>
      </c>
      <c r="N25" s="75">
        <v>7327.61474609375</v>
      </c>
      <c r="O25" s="76"/>
      <c r="P25" s="77"/>
      <c r="Q25" s="77"/>
      <c r="R25" s="82"/>
      <c r="S25" s="49">
        <v>11</v>
      </c>
      <c r="T25" s="49">
        <v>11</v>
      </c>
      <c r="U25" s="50">
        <v>1625.434833</v>
      </c>
      <c r="V25" s="50">
        <v>0.004016</v>
      </c>
      <c r="W25" s="50">
        <v>0.027018</v>
      </c>
      <c r="X25" s="50">
        <v>3.363672</v>
      </c>
      <c r="Y25" s="50">
        <v>0.06985294117647059</v>
      </c>
      <c r="Z25" s="50">
        <v>0.17647058823529413</v>
      </c>
      <c r="AA25" s="72">
        <v>25</v>
      </c>
      <c r="AB25" s="72"/>
      <c r="AC25" s="73"/>
      <c r="AD25" s="80" t="s">
        <v>674</v>
      </c>
      <c r="AE25" s="80" t="s">
        <v>677</v>
      </c>
      <c r="AF25" s="80" t="s">
        <v>687</v>
      </c>
      <c r="AG25" s="80"/>
      <c r="AH25" s="80"/>
      <c r="AI25" s="80">
        <v>0.7562469</v>
      </c>
      <c r="AJ25" s="80">
        <v>500</v>
      </c>
      <c r="AK25" s="80"/>
      <c r="AL25" s="80" t="str">
        <f>REPLACE(INDEX(GroupVertices[Group],MATCH(Vertices[[#This Row],[Vertex]],GroupVertices[Vertex],0)),1,1,"")</f>
        <v>1</v>
      </c>
      <c r="AM25" s="49">
        <v>2</v>
      </c>
      <c r="AN25" s="50">
        <v>3.8461538461538463</v>
      </c>
      <c r="AO25" s="49">
        <v>1</v>
      </c>
      <c r="AP25" s="50">
        <v>1.9230769230769231</v>
      </c>
      <c r="AQ25" s="49">
        <v>0</v>
      </c>
      <c r="AR25" s="50">
        <v>0</v>
      </c>
      <c r="AS25" s="49">
        <v>49</v>
      </c>
      <c r="AT25" s="50">
        <v>94.23076923076923</v>
      </c>
      <c r="AU25" s="49">
        <v>52</v>
      </c>
      <c r="AV25" s="109" t="s">
        <v>1096</v>
      </c>
      <c r="AW25" s="109" t="s">
        <v>1096</v>
      </c>
      <c r="AX25" s="109" t="s">
        <v>1210</v>
      </c>
      <c r="AY25" s="109" t="s">
        <v>1210</v>
      </c>
      <c r="AZ25" s="2"/>
      <c r="BA25" s="3"/>
      <c r="BB25" s="3"/>
      <c r="BC25" s="3"/>
      <c r="BD25" s="3"/>
    </row>
    <row r="26" spans="1:56" ht="15">
      <c r="A26" s="65" t="s">
        <v>348</v>
      </c>
      <c r="B26" s="66"/>
      <c r="C26" s="66"/>
      <c r="D26" s="67">
        <v>200</v>
      </c>
      <c r="E26" s="69"/>
      <c r="F26" s="66"/>
      <c r="G26" s="66"/>
      <c r="H26" s="70" t="s">
        <v>348</v>
      </c>
      <c r="I26" s="71"/>
      <c r="J26" s="71"/>
      <c r="K26" s="70" t="s">
        <v>348</v>
      </c>
      <c r="L26" s="74">
        <v>6443.255495497244</v>
      </c>
      <c r="M26" s="75">
        <v>5289.240234375</v>
      </c>
      <c r="N26" s="75">
        <v>8057.8115234375</v>
      </c>
      <c r="O26" s="76"/>
      <c r="P26" s="77"/>
      <c r="Q26" s="77"/>
      <c r="R26" s="82"/>
      <c r="S26" s="49">
        <v>15</v>
      </c>
      <c r="T26" s="49">
        <v>15</v>
      </c>
      <c r="U26" s="50">
        <v>1916.160955</v>
      </c>
      <c r="V26" s="50">
        <v>0.004202</v>
      </c>
      <c r="W26" s="50">
        <v>0.042486</v>
      </c>
      <c r="X26" s="50">
        <v>4.176233</v>
      </c>
      <c r="Y26" s="50">
        <v>0.07971014492753623</v>
      </c>
      <c r="Z26" s="50">
        <v>0.16666666666666666</v>
      </c>
      <c r="AA26" s="72">
        <v>26</v>
      </c>
      <c r="AB26" s="72"/>
      <c r="AC26" s="73"/>
      <c r="AD26" s="80" t="s">
        <v>674</v>
      </c>
      <c r="AE26" s="96" t="str">
        <f>HYPERLINK("http://en.wikipedia.org/wiki/User:SPECIFICO")</f>
        <v>http://en.wikipedia.org/wiki/User:SPECIFICO</v>
      </c>
      <c r="AF26" s="80" t="s">
        <v>687</v>
      </c>
      <c r="AG26" s="80"/>
      <c r="AH26" s="80"/>
      <c r="AI26" s="80">
        <v>0.7109412</v>
      </c>
      <c r="AJ26" s="80">
        <v>500</v>
      </c>
      <c r="AK26" s="80"/>
      <c r="AL26" s="80" t="str">
        <f>REPLACE(INDEX(GroupVertices[Group],MATCH(Vertices[[#This Row],[Vertex]],GroupVertices[Vertex],0)),1,1,"")</f>
        <v>3</v>
      </c>
      <c r="AM26" s="49">
        <v>3</v>
      </c>
      <c r="AN26" s="50">
        <v>3.1578947368421053</v>
      </c>
      <c r="AO26" s="49">
        <v>4</v>
      </c>
      <c r="AP26" s="50">
        <v>4.2105263157894735</v>
      </c>
      <c r="AQ26" s="49">
        <v>0</v>
      </c>
      <c r="AR26" s="50">
        <v>0</v>
      </c>
      <c r="AS26" s="49">
        <v>88</v>
      </c>
      <c r="AT26" s="50">
        <v>92.63157894736842</v>
      </c>
      <c r="AU26" s="49">
        <v>95</v>
      </c>
      <c r="AV26" s="109" t="s">
        <v>1097</v>
      </c>
      <c r="AW26" s="109" t="s">
        <v>1097</v>
      </c>
      <c r="AX26" s="109" t="s">
        <v>1211</v>
      </c>
      <c r="AY26" s="109" t="s">
        <v>1211</v>
      </c>
      <c r="AZ26" s="2"/>
      <c r="BA26" s="3"/>
      <c r="BB26" s="3"/>
      <c r="BC26" s="3"/>
      <c r="BD26" s="3"/>
    </row>
    <row r="27" spans="1:56" ht="15">
      <c r="A27" s="65" t="s">
        <v>349</v>
      </c>
      <c r="B27" s="66"/>
      <c r="C27" s="66"/>
      <c r="D27" s="67">
        <v>52.196259591969365</v>
      </c>
      <c r="E27" s="69"/>
      <c r="F27" s="66"/>
      <c r="G27" s="66"/>
      <c r="H27" s="70" t="s">
        <v>349</v>
      </c>
      <c r="I27" s="71"/>
      <c r="J27" s="71"/>
      <c r="K27" s="70" t="s">
        <v>349</v>
      </c>
      <c r="L27" s="74">
        <v>36.805159758463375</v>
      </c>
      <c r="M27" s="75">
        <v>5848.3310546875</v>
      </c>
      <c r="N27" s="75">
        <v>9823.5693359375</v>
      </c>
      <c r="O27" s="76"/>
      <c r="P27" s="77"/>
      <c r="Q27" s="77"/>
      <c r="R27" s="82"/>
      <c r="S27" s="49">
        <v>1</v>
      </c>
      <c r="T27" s="49">
        <v>1</v>
      </c>
      <c r="U27" s="50">
        <v>10.649756</v>
      </c>
      <c r="V27" s="50">
        <v>0.002865</v>
      </c>
      <c r="W27" s="50">
        <v>0.004312</v>
      </c>
      <c r="X27" s="50">
        <v>0.471797</v>
      </c>
      <c r="Y27" s="50">
        <v>0</v>
      </c>
      <c r="Z27" s="50">
        <v>0</v>
      </c>
      <c r="AA27" s="72">
        <v>27</v>
      </c>
      <c r="AB27" s="72"/>
      <c r="AC27" s="73"/>
      <c r="AD27" s="80" t="s">
        <v>674</v>
      </c>
      <c r="AE27" s="96" t="str">
        <f>HYPERLINK("http://en.wikipedia.org/wiki/User:Jonesey95")</f>
        <v>http://en.wikipedia.org/wiki/User:Jonesey95</v>
      </c>
      <c r="AF27" s="80" t="s">
        <v>687</v>
      </c>
      <c r="AG27" s="80"/>
      <c r="AH27" s="80"/>
      <c r="AI27" s="80">
        <v>0.03516185</v>
      </c>
      <c r="AJ27" s="80">
        <v>500</v>
      </c>
      <c r="AK27" s="80"/>
      <c r="AL27" s="80" t="str">
        <f>REPLACE(INDEX(GroupVertices[Group],MATCH(Vertices[[#This Row],[Vertex]],GroupVertices[Vertex],0)),1,1,"")</f>
        <v>3</v>
      </c>
      <c r="AM27" s="49">
        <v>0</v>
      </c>
      <c r="AN27" s="50">
        <v>0</v>
      </c>
      <c r="AO27" s="49">
        <v>0</v>
      </c>
      <c r="AP27" s="50">
        <v>0</v>
      </c>
      <c r="AQ27" s="49">
        <v>0</v>
      </c>
      <c r="AR27" s="50">
        <v>0</v>
      </c>
      <c r="AS27" s="49">
        <v>11</v>
      </c>
      <c r="AT27" s="50">
        <v>100</v>
      </c>
      <c r="AU27" s="49">
        <v>11</v>
      </c>
      <c r="AV27" s="109" t="s">
        <v>1098</v>
      </c>
      <c r="AW27" s="109" t="s">
        <v>1098</v>
      </c>
      <c r="AX27" s="109" t="s">
        <v>1212</v>
      </c>
      <c r="AY27" s="109" t="s">
        <v>1212</v>
      </c>
      <c r="AZ27" s="2"/>
      <c r="BA27" s="3"/>
      <c r="BB27" s="3"/>
      <c r="BC27" s="3"/>
      <c r="BD27" s="3"/>
    </row>
    <row r="28" spans="1:56" ht="15">
      <c r="A28" s="65" t="s">
        <v>350</v>
      </c>
      <c r="B28" s="66"/>
      <c r="C28" s="66"/>
      <c r="D28" s="67">
        <v>65.51187388518196</v>
      </c>
      <c r="E28" s="69"/>
      <c r="F28" s="66"/>
      <c r="G28" s="66"/>
      <c r="H28" s="70" t="s">
        <v>350</v>
      </c>
      <c r="I28" s="71"/>
      <c r="J28" s="71"/>
      <c r="K28" s="70" t="s">
        <v>350</v>
      </c>
      <c r="L28" s="74">
        <v>253.88682842543645</v>
      </c>
      <c r="M28" s="75">
        <v>6590.1064453125</v>
      </c>
      <c r="N28" s="75">
        <v>5468.43115234375</v>
      </c>
      <c r="O28" s="76"/>
      <c r="P28" s="77"/>
      <c r="Q28" s="77"/>
      <c r="R28" s="82"/>
      <c r="S28" s="49">
        <v>2</v>
      </c>
      <c r="T28" s="49">
        <v>2</v>
      </c>
      <c r="U28" s="50">
        <v>75.217735</v>
      </c>
      <c r="V28" s="50">
        <v>0.002882</v>
      </c>
      <c r="W28" s="50">
        <v>0.004888</v>
      </c>
      <c r="X28" s="50">
        <v>0.846144</v>
      </c>
      <c r="Y28" s="50">
        <v>0</v>
      </c>
      <c r="Z28" s="50">
        <v>0</v>
      </c>
      <c r="AA28" s="72">
        <v>28</v>
      </c>
      <c r="AB28" s="72"/>
      <c r="AC28" s="73"/>
      <c r="AD28" s="80" t="s">
        <v>674</v>
      </c>
      <c r="AE28" s="96" t="str">
        <f>HYPERLINK("http://en.wikipedia.org/wiki/User:PackMecEng")</f>
        <v>http://en.wikipedia.org/wiki/User:PackMecEng</v>
      </c>
      <c r="AF28" s="80" t="s">
        <v>687</v>
      </c>
      <c r="AG28" s="80"/>
      <c r="AH28" s="80"/>
      <c r="AI28" s="80">
        <v>0.5865085</v>
      </c>
      <c r="AJ28" s="80">
        <v>500</v>
      </c>
      <c r="AK28" s="80"/>
      <c r="AL28" s="80" t="str">
        <f>REPLACE(INDEX(GroupVertices[Group],MATCH(Vertices[[#This Row],[Vertex]],GroupVertices[Vertex],0)),1,1,"")</f>
        <v>3</v>
      </c>
      <c r="AM28" s="49">
        <v>1</v>
      </c>
      <c r="AN28" s="50">
        <v>4.761904761904762</v>
      </c>
      <c r="AO28" s="49">
        <v>1</v>
      </c>
      <c r="AP28" s="50">
        <v>4.761904761904762</v>
      </c>
      <c r="AQ28" s="49">
        <v>0</v>
      </c>
      <c r="AR28" s="50">
        <v>0</v>
      </c>
      <c r="AS28" s="49">
        <v>19</v>
      </c>
      <c r="AT28" s="50">
        <v>90.47619047619048</v>
      </c>
      <c r="AU28" s="49">
        <v>21</v>
      </c>
      <c r="AV28" s="109" t="s">
        <v>1099</v>
      </c>
      <c r="AW28" s="109" t="s">
        <v>1099</v>
      </c>
      <c r="AX28" s="109" t="s">
        <v>1213</v>
      </c>
      <c r="AY28" s="109" t="s">
        <v>1213</v>
      </c>
      <c r="AZ28" s="2"/>
      <c r="BA28" s="3"/>
      <c r="BB28" s="3"/>
      <c r="BC28" s="3"/>
      <c r="BD28" s="3"/>
    </row>
    <row r="29" spans="1:56" ht="15">
      <c r="A29" s="65" t="s">
        <v>351</v>
      </c>
      <c r="B29" s="66"/>
      <c r="C29" s="66"/>
      <c r="D29" s="67">
        <v>51.3060242431259</v>
      </c>
      <c r="E29" s="69"/>
      <c r="F29" s="66"/>
      <c r="G29" s="66"/>
      <c r="H29" s="70" t="s">
        <v>351</v>
      </c>
      <c r="I29" s="71"/>
      <c r="J29" s="71"/>
      <c r="K29" s="70" t="s">
        <v>351</v>
      </c>
      <c r="L29" s="74">
        <v>22.2918394731369</v>
      </c>
      <c r="M29" s="75">
        <v>5871.8271484375</v>
      </c>
      <c r="N29" s="75">
        <v>5724.74658203125</v>
      </c>
      <c r="O29" s="76"/>
      <c r="P29" s="77"/>
      <c r="Q29" s="77"/>
      <c r="R29" s="82"/>
      <c r="S29" s="49">
        <v>2</v>
      </c>
      <c r="T29" s="49">
        <v>2</v>
      </c>
      <c r="U29" s="50">
        <v>6.332967</v>
      </c>
      <c r="V29" s="50">
        <v>0.002667</v>
      </c>
      <c r="W29" s="50">
        <v>0.002356</v>
      </c>
      <c r="X29" s="50">
        <v>0.659992</v>
      </c>
      <c r="Y29" s="50">
        <v>0</v>
      </c>
      <c r="Z29" s="50">
        <v>0</v>
      </c>
      <c r="AA29" s="72">
        <v>29</v>
      </c>
      <c r="AB29" s="72"/>
      <c r="AC29" s="73"/>
      <c r="AD29" s="80" t="s">
        <v>674</v>
      </c>
      <c r="AE29" s="96" t="str">
        <f>HYPERLINK("http://en.wikipedia.org/wiki/User:JLo-Watson")</f>
        <v>http://en.wikipedia.org/wiki/User:JLo-Watson</v>
      </c>
      <c r="AF29" s="80" t="s">
        <v>687</v>
      </c>
      <c r="AG29" s="80"/>
      <c r="AH29" s="80"/>
      <c r="AI29" s="80">
        <v>0.4724399</v>
      </c>
      <c r="AJ29" s="80">
        <v>500</v>
      </c>
      <c r="AK29" s="80"/>
      <c r="AL29" s="80" t="str">
        <f>REPLACE(INDEX(GroupVertices[Group],MATCH(Vertices[[#This Row],[Vertex]],GroupVertices[Vertex],0)),1,1,"")</f>
        <v>3</v>
      </c>
      <c r="AM29" s="49">
        <v>2</v>
      </c>
      <c r="AN29" s="50">
        <v>14.285714285714286</v>
      </c>
      <c r="AO29" s="49">
        <v>0</v>
      </c>
      <c r="AP29" s="50">
        <v>0</v>
      </c>
      <c r="AQ29" s="49">
        <v>0</v>
      </c>
      <c r="AR29" s="50">
        <v>0</v>
      </c>
      <c r="AS29" s="49">
        <v>12</v>
      </c>
      <c r="AT29" s="50">
        <v>85.71428571428571</v>
      </c>
      <c r="AU29" s="49">
        <v>14</v>
      </c>
      <c r="AV29" s="109" t="s">
        <v>1100</v>
      </c>
      <c r="AW29" s="109" t="s">
        <v>1100</v>
      </c>
      <c r="AX29" s="109" t="s">
        <v>1214</v>
      </c>
      <c r="AY29" s="109" t="s">
        <v>1214</v>
      </c>
      <c r="AZ29" s="2"/>
      <c r="BA29" s="3"/>
      <c r="BB29" s="3"/>
      <c r="BC29" s="3"/>
      <c r="BD29" s="3"/>
    </row>
    <row r="30" spans="1:56" ht="15">
      <c r="A30" s="65" t="s">
        <v>352</v>
      </c>
      <c r="B30" s="66"/>
      <c r="C30" s="66"/>
      <c r="D30" s="67">
        <v>112.81036739338757</v>
      </c>
      <c r="E30" s="69"/>
      <c r="F30" s="66"/>
      <c r="G30" s="66"/>
      <c r="H30" s="70" t="s">
        <v>352</v>
      </c>
      <c r="I30" s="71"/>
      <c r="J30" s="71"/>
      <c r="K30" s="70" t="s">
        <v>352</v>
      </c>
      <c r="L30" s="74">
        <v>1024.9842536061142</v>
      </c>
      <c r="M30" s="75">
        <v>6653.23876953125</v>
      </c>
      <c r="N30" s="75">
        <v>1821.9296875</v>
      </c>
      <c r="O30" s="76"/>
      <c r="P30" s="77"/>
      <c r="Q30" s="77"/>
      <c r="R30" s="82"/>
      <c r="S30" s="49">
        <v>6</v>
      </c>
      <c r="T30" s="49">
        <v>6</v>
      </c>
      <c r="U30" s="50">
        <v>304.570138</v>
      </c>
      <c r="V30" s="50">
        <v>0.00361</v>
      </c>
      <c r="W30" s="50">
        <v>0.018641</v>
      </c>
      <c r="X30" s="50">
        <v>1.516118</v>
      </c>
      <c r="Y30" s="50">
        <v>0.18055555555555555</v>
      </c>
      <c r="Z30" s="50">
        <v>0.3333333333333333</v>
      </c>
      <c r="AA30" s="72">
        <v>30</v>
      </c>
      <c r="AB30" s="72"/>
      <c r="AC30" s="73"/>
      <c r="AD30" s="80" t="s">
        <v>674</v>
      </c>
      <c r="AE30" s="96" t="str">
        <f>HYPERLINK("http://en.wikipedia.org/wiki/User:Bdushaw")</f>
        <v>http://en.wikipedia.org/wiki/User:Bdushaw</v>
      </c>
      <c r="AF30" s="80" t="s">
        <v>687</v>
      </c>
      <c r="AG30" s="80"/>
      <c r="AH30" s="80"/>
      <c r="AI30" s="80">
        <v>0.8231837</v>
      </c>
      <c r="AJ30" s="80">
        <v>500</v>
      </c>
      <c r="AK30" s="80"/>
      <c r="AL30" s="80" t="str">
        <f>REPLACE(INDEX(GroupVertices[Group],MATCH(Vertices[[#This Row],[Vertex]],GroupVertices[Vertex],0)),1,1,"")</f>
        <v>7</v>
      </c>
      <c r="AM30" s="49">
        <v>5</v>
      </c>
      <c r="AN30" s="50">
        <v>10.869565217391305</v>
      </c>
      <c r="AO30" s="49">
        <v>2</v>
      </c>
      <c r="AP30" s="50">
        <v>4.3478260869565215</v>
      </c>
      <c r="AQ30" s="49">
        <v>0</v>
      </c>
      <c r="AR30" s="50">
        <v>0</v>
      </c>
      <c r="AS30" s="49">
        <v>39</v>
      </c>
      <c r="AT30" s="50">
        <v>84.78260869565217</v>
      </c>
      <c r="AU30" s="49">
        <v>46</v>
      </c>
      <c r="AV30" s="109" t="s">
        <v>1101</v>
      </c>
      <c r="AW30" s="109" t="s">
        <v>1175</v>
      </c>
      <c r="AX30" s="109" t="s">
        <v>1215</v>
      </c>
      <c r="AY30" s="109" t="s">
        <v>1215</v>
      </c>
      <c r="AZ30" s="2"/>
      <c r="BA30" s="3"/>
      <c r="BB30" s="3"/>
      <c r="BC30" s="3"/>
      <c r="BD30" s="3"/>
    </row>
    <row r="31" spans="1:56" ht="15">
      <c r="A31" s="65" t="s">
        <v>353</v>
      </c>
      <c r="B31" s="66"/>
      <c r="C31" s="66"/>
      <c r="D31" s="67">
        <v>50</v>
      </c>
      <c r="E31" s="69"/>
      <c r="F31" s="66"/>
      <c r="G31" s="66"/>
      <c r="H31" s="70" t="s">
        <v>353</v>
      </c>
      <c r="I31" s="71"/>
      <c r="J31" s="71"/>
      <c r="K31" s="70" t="s">
        <v>353</v>
      </c>
      <c r="L31" s="74">
        <v>1</v>
      </c>
      <c r="M31" s="75">
        <v>3115.3388671875</v>
      </c>
      <c r="N31" s="75">
        <v>4408.0869140625</v>
      </c>
      <c r="O31" s="76"/>
      <c r="P31" s="77"/>
      <c r="Q31" s="77"/>
      <c r="R31" s="82"/>
      <c r="S31" s="49">
        <v>1</v>
      </c>
      <c r="T31" s="49">
        <v>1</v>
      </c>
      <c r="U31" s="50">
        <v>0</v>
      </c>
      <c r="V31" s="50">
        <v>0.002817</v>
      </c>
      <c r="W31" s="50">
        <v>0.00413</v>
      </c>
      <c r="X31" s="50">
        <v>0.45237</v>
      </c>
      <c r="Y31" s="50">
        <v>0.5</v>
      </c>
      <c r="Z31" s="50">
        <v>0</v>
      </c>
      <c r="AA31" s="72">
        <v>31</v>
      </c>
      <c r="AB31" s="72"/>
      <c r="AC31" s="73"/>
      <c r="AD31" s="80" t="s">
        <v>674</v>
      </c>
      <c r="AE31" s="96" t="str">
        <f>HYPERLINK("http://en.wikipedia.org/wiki/User:Leopard.snow")</f>
        <v>http://en.wikipedia.org/wiki/User:Leopard.snow</v>
      </c>
      <c r="AF31" s="80" t="s">
        <v>687</v>
      </c>
      <c r="AG31" s="80"/>
      <c r="AH31" s="80"/>
      <c r="AI31" s="80">
        <v>0</v>
      </c>
      <c r="AJ31" s="80">
        <v>1</v>
      </c>
      <c r="AK31" s="80"/>
      <c r="AL31" s="80" t="str">
        <f>REPLACE(INDEX(GroupVertices[Group],MATCH(Vertices[[#This Row],[Vertex]],GroupVertices[Vertex],0)),1,1,"")</f>
        <v>2</v>
      </c>
      <c r="AM31" s="49">
        <v>0</v>
      </c>
      <c r="AN31" s="50">
        <v>0</v>
      </c>
      <c r="AO31" s="49">
        <v>0</v>
      </c>
      <c r="AP31" s="50">
        <v>0</v>
      </c>
      <c r="AQ31" s="49">
        <v>0</v>
      </c>
      <c r="AR31" s="50">
        <v>0</v>
      </c>
      <c r="AS31" s="49">
        <v>11</v>
      </c>
      <c r="AT31" s="50">
        <v>100</v>
      </c>
      <c r="AU31" s="49">
        <v>11</v>
      </c>
      <c r="AV31" s="109" t="s">
        <v>1102</v>
      </c>
      <c r="AW31" s="109" t="s">
        <v>1102</v>
      </c>
      <c r="AX31" s="109" t="s">
        <v>1216</v>
      </c>
      <c r="AY31" s="109" t="s">
        <v>1216</v>
      </c>
      <c r="AZ31" s="2"/>
      <c r="BA31" s="3"/>
      <c r="BB31" s="3"/>
      <c r="BC31" s="3"/>
      <c r="BD31" s="3"/>
    </row>
    <row r="32" spans="1:56" ht="15">
      <c r="A32" s="65" t="s">
        <v>356</v>
      </c>
      <c r="B32" s="66"/>
      <c r="C32" s="66"/>
      <c r="D32" s="67">
        <v>109.39154457227492</v>
      </c>
      <c r="E32" s="69"/>
      <c r="F32" s="66"/>
      <c r="G32" s="66"/>
      <c r="H32" s="70" t="s">
        <v>356</v>
      </c>
      <c r="I32" s="71"/>
      <c r="J32" s="71"/>
      <c r="K32" s="70" t="s">
        <v>356</v>
      </c>
      <c r="L32" s="74">
        <v>969.2479017907748</v>
      </c>
      <c r="M32" s="75">
        <v>1580.778076171875</v>
      </c>
      <c r="N32" s="75">
        <v>3653.68994140625</v>
      </c>
      <c r="O32" s="76"/>
      <c r="P32" s="77"/>
      <c r="Q32" s="77"/>
      <c r="R32" s="82"/>
      <c r="S32" s="49">
        <v>7</v>
      </c>
      <c r="T32" s="49">
        <v>7</v>
      </c>
      <c r="U32" s="50">
        <v>287.992121</v>
      </c>
      <c r="V32" s="50">
        <v>0.003571</v>
      </c>
      <c r="W32" s="50">
        <v>0.018428</v>
      </c>
      <c r="X32" s="50">
        <v>1.89917</v>
      </c>
      <c r="Y32" s="50">
        <v>0.13333333333333333</v>
      </c>
      <c r="Z32" s="50">
        <v>0.2</v>
      </c>
      <c r="AA32" s="72">
        <v>32</v>
      </c>
      <c r="AB32" s="72"/>
      <c r="AC32" s="73"/>
      <c r="AD32" s="80" t="s">
        <v>674</v>
      </c>
      <c r="AE32" s="96" t="str">
        <f>HYPERLINK("http://en.wikipedia.org/wiki/User:Sdkb")</f>
        <v>http://en.wikipedia.org/wiki/User:Sdkb</v>
      </c>
      <c r="AF32" s="80" t="s">
        <v>687</v>
      </c>
      <c r="AG32" s="80"/>
      <c r="AH32" s="80"/>
      <c r="AI32" s="80">
        <v>0.4040444</v>
      </c>
      <c r="AJ32" s="80">
        <v>500</v>
      </c>
      <c r="AK32" s="80"/>
      <c r="AL32" s="80" t="str">
        <f>REPLACE(INDEX(GroupVertices[Group],MATCH(Vertices[[#This Row],[Vertex]],GroupVertices[Vertex],0)),1,1,"")</f>
        <v>2</v>
      </c>
      <c r="AM32" s="49">
        <v>5</v>
      </c>
      <c r="AN32" s="50">
        <v>6.756756756756757</v>
      </c>
      <c r="AO32" s="49">
        <v>4</v>
      </c>
      <c r="AP32" s="50">
        <v>5.405405405405405</v>
      </c>
      <c r="AQ32" s="49">
        <v>0</v>
      </c>
      <c r="AR32" s="50">
        <v>0</v>
      </c>
      <c r="AS32" s="49">
        <v>65</v>
      </c>
      <c r="AT32" s="50">
        <v>87.83783783783784</v>
      </c>
      <c r="AU32" s="49">
        <v>74</v>
      </c>
      <c r="AV32" s="109" t="s">
        <v>1103</v>
      </c>
      <c r="AW32" s="109" t="s">
        <v>1176</v>
      </c>
      <c r="AX32" s="109" t="s">
        <v>1217</v>
      </c>
      <c r="AY32" s="109" t="s">
        <v>1285</v>
      </c>
      <c r="AZ32" s="2"/>
      <c r="BA32" s="3"/>
      <c r="BB32" s="3"/>
      <c r="BC32" s="3"/>
      <c r="BD32" s="3"/>
    </row>
    <row r="33" spans="1:56" ht="15">
      <c r="A33" s="65" t="s">
        <v>354</v>
      </c>
      <c r="B33" s="66"/>
      <c r="C33" s="66"/>
      <c r="D33" s="67">
        <v>200</v>
      </c>
      <c r="E33" s="69"/>
      <c r="F33" s="66"/>
      <c r="G33" s="66"/>
      <c r="H33" s="70" t="s">
        <v>354</v>
      </c>
      <c r="I33" s="71"/>
      <c r="J33" s="71"/>
      <c r="K33" s="70" t="s">
        <v>354</v>
      </c>
      <c r="L33" s="74">
        <v>3999.6238780818885</v>
      </c>
      <c r="M33" s="75">
        <v>1893.71923828125</v>
      </c>
      <c r="N33" s="75">
        <v>3132.536376953125</v>
      </c>
      <c r="O33" s="76"/>
      <c r="P33" s="77"/>
      <c r="Q33" s="77"/>
      <c r="R33" s="82"/>
      <c r="S33" s="49">
        <v>10</v>
      </c>
      <c r="T33" s="49">
        <v>10</v>
      </c>
      <c r="U33" s="50">
        <v>1189.336088</v>
      </c>
      <c r="V33" s="50">
        <v>0.003937</v>
      </c>
      <c r="W33" s="50">
        <v>0.026938</v>
      </c>
      <c r="X33" s="50">
        <v>2.929244</v>
      </c>
      <c r="Y33" s="50">
        <v>0.08095238095238096</v>
      </c>
      <c r="Z33" s="50">
        <v>0.2</v>
      </c>
      <c r="AA33" s="72">
        <v>33</v>
      </c>
      <c r="AB33" s="72"/>
      <c r="AC33" s="73"/>
      <c r="AD33" s="80" t="s">
        <v>674</v>
      </c>
      <c r="AE33" s="96" t="str">
        <f>HYPERLINK("http://en.wikipedia.org/wiki/User:Czello")</f>
        <v>http://en.wikipedia.org/wiki/User:Czello</v>
      </c>
      <c r="AF33" s="80" t="s">
        <v>687</v>
      </c>
      <c r="AG33" s="80"/>
      <c r="AH33" s="80"/>
      <c r="AI33" s="80">
        <v>0.4746269</v>
      </c>
      <c r="AJ33" s="80">
        <v>500</v>
      </c>
      <c r="AK33" s="80"/>
      <c r="AL33" s="80" t="str">
        <f>REPLACE(INDEX(GroupVertices[Group],MATCH(Vertices[[#This Row],[Vertex]],GroupVertices[Vertex],0)),1,1,"")</f>
        <v>2</v>
      </c>
      <c r="AM33" s="49">
        <v>4</v>
      </c>
      <c r="AN33" s="50">
        <v>4.49438202247191</v>
      </c>
      <c r="AO33" s="49">
        <v>2</v>
      </c>
      <c r="AP33" s="50">
        <v>2.247191011235955</v>
      </c>
      <c r="AQ33" s="49">
        <v>0</v>
      </c>
      <c r="AR33" s="50">
        <v>0</v>
      </c>
      <c r="AS33" s="49">
        <v>83</v>
      </c>
      <c r="AT33" s="50">
        <v>93.25842696629213</v>
      </c>
      <c r="AU33" s="49">
        <v>89</v>
      </c>
      <c r="AV33" s="109" t="s">
        <v>1104</v>
      </c>
      <c r="AW33" s="109" t="s">
        <v>1177</v>
      </c>
      <c r="AX33" s="109" t="s">
        <v>1218</v>
      </c>
      <c r="AY33" s="109" t="s">
        <v>1286</v>
      </c>
      <c r="AZ33" s="2"/>
      <c r="BA33" s="3"/>
      <c r="BB33" s="3"/>
      <c r="BC33" s="3"/>
      <c r="BD33" s="3"/>
    </row>
    <row r="34" spans="1:56" ht="15">
      <c r="A34" s="65" t="s">
        <v>355</v>
      </c>
      <c r="B34" s="66"/>
      <c r="C34" s="66"/>
      <c r="D34" s="67">
        <v>200</v>
      </c>
      <c r="E34" s="69"/>
      <c r="F34" s="66"/>
      <c r="G34" s="66"/>
      <c r="H34" s="70" t="s">
        <v>355</v>
      </c>
      <c r="I34" s="71"/>
      <c r="J34" s="71"/>
      <c r="K34" s="70" t="s">
        <v>355</v>
      </c>
      <c r="L34" s="74">
        <v>8632.664049016586</v>
      </c>
      <c r="M34" s="75">
        <v>1595.149169921875</v>
      </c>
      <c r="N34" s="75">
        <v>2143.544921875</v>
      </c>
      <c r="O34" s="76"/>
      <c r="P34" s="77"/>
      <c r="Q34" s="77"/>
      <c r="R34" s="82"/>
      <c r="S34" s="49">
        <v>16</v>
      </c>
      <c r="T34" s="49">
        <v>14</v>
      </c>
      <c r="U34" s="50">
        <v>2567.370642</v>
      </c>
      <c r="V34" s="50">
        <v>0.004329</v>
      </c>
      <c r="W34" s="50">
        <v>0.040199</v>
      </c>
      <c r="X34" s="50">
        <v>4.513724</v>
      </c>
      <c r="Y34" s="50">
        <v>0.06769230769230769</v>
      </c>
      <c r="Z34" s="50">
        <v>0.15384615384615385</v>
      </c>
      <c r="AA34" s="72">
        <v>34</v>
      </c>
      <c r="AB34" s="72"/>
      <c r="AC34" s="73"/>
      <c r="AD34" s="80" t="s">
        <v>674</v>
      </c>
      <c r="AE34" s="80" t="s">
        <v>678</v>
      </c>
      <c r="AF34" s="80" t="s">
        <v>687</v>
      </c>
      <c r="AG34" s="80"/>
      <c r="AH34" s="80"/>
      <c r="AI34" s="80">
        <v>0.007935405</v>
      </c>
      <c r="AJ34" s="80">
        <v>500</v>
      </c>
      <c r="AK34" s="80"/>
      <c r="AL34" s="80" t="str">
        <f>REPLACE(INDEX(GroupVertices[Group],MATCH(Vertices[[#This Row],[Vertex]],GroupVertices[Vertex],0)),1,1,"")</f>
        <v>2</v>
      </c>
      <c r="AM34" s="49">
        <v>0</v>
      </c>
      <c r="AN34" s="50">
        <v>0</v>
      </c>
      <c r="AO34" s="49">
        <v>0</v>
      </c>
      <c r="AP34" s="50">
        <v>0</v>
      </c>
      <c r="AQ34" s="49">
        <v>0</v>
      </c>
      <c r="AR34" s="50">
        <v>0</v>
      </c>
      <c r="AS34" s="49">
        <v>154</v>
      </c>
      <c r="AT34" s="50">
        <v>100</v>
      </c>
      <c r="AU34" s="49">
        <v>154</v>
      </c>
      <c r="AV34" s="109" t="s">
        <v>1105</v>
      </c>
      <c r="AW34" s="109" t="s">
        <v>1178</v>
      </c>
      <c r="AX34" s="109" t="s">
        <v>1219</v>
      </c>
      <c r="AY34" s="109" t="s">
        <v>1287</v>
      </c>
      <c r="AZ34" s="2"/>
      <c r="BA34" s="3"/>
      <c r="BB34" s="3"/>
      <c r="BC34" s="3"/>
      <c r="BD34" s="3"/>
    </row>
    <row r="35" spans="1:56" ht="15">
      <c r="A35" s="65" t="s">
        <v>357</v>
      </c>
      <c r="B35" s="66"/>
      <c r="C35" s="66"/>
      <c r="D35" s="67">
        <v>50</v>
      </c>
      <c r="E35" s="69"/>
      <c r="F35" s="66"/>
      <c r="G35" s="66"/>
      <c r="H35" s="70" t="s">
        <v>357</v>
      </c>
      <c r="I35" s="71"/>
      <c r="J35" s="71"/>
      <c r="K35" s="70" t="s">
        <v>357</v>
      </c>
      <c r="L35" s="74">
        <v>1</v>
      </c>
      <c r="M35" s="75">
        <v>4086.6396484375</v>
      </c>
      <c r="N35" s="75">
        <v>1310.837890625</v>
      </c>
      <c r="O35" s="76"/>
      <c r="P35" s="77"/>
      <c r="Q35" s="77"/>
      <c r="R35" s="82"/>
      <c r="S35" s="49">
        <v>2</v>
      </c>
      <c r="T35" s="49">
        <v>2</v>
      </c>
      <c r="U35" s="50">
        <v>0</v>
      </c>
      <c r="V35" s="50">
        <v>0.002597</v>
      </c>
      <c r="W35" s="50">
        <v>0.00234</v>
      </c>
      <c r="X35" s="50">
        <v>0.514686</v>
      </c>
      <c r="Y35" s="50">
        <v>0</v>
      </c>
      <c r="Z35" s="50">
        <v>1</v>
      </c>
      <c r="AA35" s="72">
        <v>35</v>
      </c>
      <c r="AB35" s="72"/>
      <c r="AC35" s="73"/>
      <c r="AD35" s="80" t="s">
        <v>674</v>
      </c>
      <c r="AE35" s="96" t="str">
        <f>HYPERLINK("http://en.wikipedia.org/wiki/User:2600:1012:B107:C33D:0:4F:BBEB:C001")</f>
        <v>http://en.wikipedia.org/wiki/User:2600:1012:B107:C33D:0:4F:BBEB:C001</v>
      </c>
      <c r="AF35" s="80" t="s">
        <v>687</v>
      </c>
      <c r="AG35" s="80"/>
      <c r="AH35" s="80"/>
      <c r="AI35" s="80">
        <v>0</v>
      </c>
      <c r="AJ35" s="80">
        <v>2</v>
      </c>
      <c r="AK35" s="80"/>
      <c r="AL35" s="80" t="str">
        <f>REPLACE(INDEX(GroupVertices[Group],MATCH(Vertices[[#This Row],[Vertex]],GroupVertices[Vertex],0)),1,1,"")</f>
        <v>2</v>
      </c>
      <c r="AM35" s="49">
        <v>2</v>
      </c>
      <c r="AN35" s="50">
        <v>28.571428571428573</v>
      </c>
      <c r="AO35" s="49">
        <v>0</v>
      </c>
      <c r="AP35" s="50">
        <v>0</v>
      </c>
      <c r="AQ35" s="49">
        <v>0</v>
      </c>
      <c r="AR35" s="50">
        <v>0</v>
      </c>
      <c r="AS35" s="49">
        <v>5</v>
      </c>
      <c r="AT35" s="50">
        <v>71.42857142857143</v>
      </c>
      <c r="AU35" s="49">
        <v>7</v>
      </c>
      <c r="AV35" s="109" t="s">
        <v>1106</v>
      </c>
      <c r="AW35" s="109" t="s">
        <v>1179</v>
      </c>
      <c r="AX35" s="109" t="s">
        <v>1220</v>
      </c>
      <c r="AY35" s="109" t="s">
        <v>1288</v>
      </c>
      <c r="AZ35" s="2"/>
      <c r="BA35" s="3"/>
      <c r="BB35" s="3"/>
      <c r="BC35" s="3"/>
      <c r="BD35" s="3"/>
    </row>
    <row r="36" spans="1:56" ht="15">
      <c r="A36" s="65" t="s">
        <v>359</v>
      </c>
      <c r="B36" s="66"/>
      <c r="C36" s="66"/>
      <c r="D36" s="67">
        <v>50</v>
      </c>
      <c r="E36" s="69"/>
      <c r="F36" s="66"/>
      <c r="G36" s="66"/>
      <c r="H36" s="70" t="s">
        <v>359</v>
      </c>
      <c r="I36" s="71"/>
      <c r="J36" s="71"/>
      <c r="K36" s="70" t="s">
        <v>359</v>
      </c>
      <c r="L36" s="74">
        <v>1</v>
      </c>
      <c r="M36" s="75">
        <v>9722.7294921875</v>
      </c>
      <c r="N36" s="75">
        <v>6574.70751953125</v>
      </c>
      <c r="O36" s="76"/>
      <c r="P36" s="77"/>
      <c r="Q36" s="77"/>
      <c r="R36" s="82"/>
      <c r="S36" s="49">
        <v>1</v>
      </c>
      <c r="T36" s="49">
        <v>1</v>
      </c>
      <c r="U36" s="50">
        <v>0</v>
      </c>
      <c r="V36" s="50">
        <v>0.003067</v>
      </c>
      <c r="W36" s="50">
        <v>0.006634</v>
      </c>
      <c r="X36" s="50">
        <v>0.435782</v>
      </c>
      <c r="Y36" s="50">
        <v>0.5</v>
      </c>
      <c r="Z36" s="50">
        <v>0</v>
      </c>
      <c r="AA36" s="72">
        <v>36</v>
      </c>
      <c r="AB36" s="72"/>
      <c r="AC36" s="73"/>
      <c r="AD36" s="80" t="s">
        <v>674</v>
      </c>
      <c r="AE36" s="96" t="str">
        <f>HYPERLINK("http://en.wikipedia.org/wiki/User:213.219.174.10")</f>
        <v>http://en.wikipedia.org/wiki/User:213.219.174.10</v>
      </c>
      <c r="AF36" s="80" t="s">
        <v>687</v>
      </c>
      <c r="AG36" s="80"/>
      <c r="AH36" s="80"/>
      <c r="AI36" s="80">
        <v>0.1333333</v>
      </c>
      <c r="AJ36" s="80">
        <v>6</v>
      </c>
      <c r="AK36" s="80"/>
      <c r="AL36" s="80" t="str">
        <f>REPLACE(INDEX(GroupVertices[Group],MATCH(Vertices[[#This Row],[Vertex]],GroupVertices[Vertex],0)),1,1,"")</f>
        <v>4</v>
      </c>
      <c r="AM36" s="49">
        <v>0</v>
      </c>
      <c r="AN36" s="50">
        <v>0</v>
      </c>
      <c r="AO36" s="49">
        <v>0</v>
      </c>
      <c r="AP36" s="50">
        <v>0</v>
      </c>
      <c r="AQ36" s="49">
        <v>0</v>
      </c>
      <c r="AR36" s="50">
        <v>0</v>
      </c>
      <c r="AS36" s="49">
        <v>11</v>
      </c>
      <c r="AT36" s="50">
        <v>100</v>
      </c>
      <c r="AU36" s="49">
        <v>11</v>
      </c>
      <c r="AV36" s="109" t="s">
        <v>1107</v>
      </c>
      <c r="AW36" s="109" t="s">
        <v>1107</v>
      </c>
      <c r="AX36" s="109" t="s">
        <v>1221</v>
      </c>
      <c r="AY36" s="109" t="s">
        <v>1221</v>
      </c>
      <c r="AZ36" s="2"/>
      <c r="BA36" s="3"/>
      <c r="BB36" s="3"/>
      <c r="BC36" s="3"/>
      <c r="BD36" s="3"/>
    </row>
    <row r="37" spans="1:56" ht="15">
      <c r="A37" s="65" t="s">
        <v>428</v>
      </c>
      <c r="B37" s="66"/>
      <c r="C37" s="66"/>
      <c r="D37" s="67">
        <v>100.15686320354041</v>
      </c>
      <c r="E37" s="69"/>
      <c r="F37" s="66"/>
      <c r="G37" s="66"/>
      <c r="H37" s="70" t="s">
        <v>428</v>
      </c>
      <c r="I37" s="71"/>
      <c r="J37" s="71"/>
      <c r="K37" s="70" t="s">
        <v>428</v>
      </c>
      <c r="L37" s="74">
        <v>818.6968271659606</v>
      </c>
      <c r="M37" s="75">
        <v>5494.7255859375</v>
      </c>
      <c r="N37" s="75">
        <v>5086.19677734375</v>
      </c>
      <c r="O37" s="76"/>
      <c r="P37" s="77"/>
      <c r="Q37" s="77"/>
      <c r="R37" s="82"/>
      <c r="S37" s="49">
        <v>4</v>
      </c>
      <c r="T37" s="49">
        <v>4</v>
      </c>
      <c r="U37" s="50">
        <v>243.212759</v>
      </c>
      <c r="V37" s="50">
        <v>0.003401</v>
      </c>
      <c r="W37" s="50">
        <v>0.015085</v>
      </c>
      <c r="X37" s="50">
        <v>1.250599</v>
      </c>
      <c r="Y37" s="50">
        <v>0.3333333333333333</v>
      </c>
      <c r="Z37" s="50">
        <v>0</v>
      </c>
      <c r="AA37" s="72">
        <v>37</v>
      </c>
      <c r="AB37" s="72"/>
      <c r="AC37" s="73"/>
      <c r="AD37" s="80" t="s">
        <v>674</v>
      </c>
      <c r="AE37" s="96" t="str">
        <f>HYPERLINK("http://en.wikipedia.org/wiki/User:Anon0098")</f>
        <v>http://en.wikipedia.org/wiki/User:Anon0098</v>
      </c>
      <c r="AF37" s="80" t="s">
        <v>687</v>
      </c>
      <c r="AG37" s="80"/>
      <c r="AH37" s="80"/>
      <c r="AI37" s="80">
        <v>0.6661875</v>
      </c>
      <c r="AJ37" s="80">
        <v>500</v>
      </c>
      <c r="AK37" s="80"/>
      <c r="AL37" s="80" t="str">
        <f>REPLACE(INDEX(GroupVertices[Group],MATCH(Vertices[[#This Row],[Vertex]],GroupVertices[Vertex],0)),1,1,"")</f>
        <v>3</v>
      </c>
      <c r="AM37" s="49">
        <v>2</v>
      </c>
      <c r="AN37" s="50">
        <v>9.090909090909092</v>
      </c>
      <c r="AO37" s="49">
        <v>2</v>
      </c>
      <c r="AP37" s="50">
        <v>9.090909090909092</v>
      </c>
      <c r="AQ37" s="49">
        <v>0</v>
      </c>
      <c r="AR37" s="50">
        <v>0</v>
      </c>
      <c r="AS37" s="49">
        <v>18</v>
      </c>
      <c r="AT37" s="50">
        <v>81.81818181818181</v>
      </c>
      <c r="AU37" s="49">
        <v>22</v>
      </c>
      <c r="AV37" s="109" t="s">
        <v>1108</v>
      </c>
      <c r="AW37" s="109" t="s">
        <v>1108</v>
      </c>
      <c r="AX37" s="109" t="s">
        <v>1222</v>
      </c>
      <c r="AY37" s="109" t="s">
        <v>1222</v>
      </c>
      <c r="AZ37" s="2"/>
      <c r="BA37" s="3"/>
      <c r="BB37" s="3"/>
      <c r="BC37" s="3"/>
      <c r="BD37" s="3"/>
    </row>
    <row r="38" spans="1:56" ht="15">
      <c r="A38" s="65" t="s">
        <v>360</v>
      </c>
      <c r="B38" s="66"/>
      <c r="C38" s="66"/>
      <c r="D38" s="67">
        <v>51.59969913125171</v>
      </c>
      <c r="E38" s="69"/>
      <c r="F38" s="66"/>
      <c r="G38" s="66"/>
      <c r="H38" s="70" t="s">
        <v>360</v>
      </c>
      <c r="I38" s="71"/>
      <c r="J38" s="71"/>
      <c r="K38" s="70" t="s">
        <v>360</v>
      </c>
      <c r="L38" s="74">
        <v>27.07955961552905</v>
      </c>
      <c r="M38" s="75">
        <v>4214.01416015625</v>
      </c>
      <c r="N38" s="75">
        <v>1874.196044921875</v>
      </c>
      <c r="O38" s="76"/>
      <c r="P38" s="77"/>
      <c r="Q38" s="77"/>
      <c r="R38" s="82"/>
      <c r="S38" s="49">
        <v>1</v>
      </c>
      <c r="T38" s="49">
        <v>1</v>
      </c>
      <c r="U38" s="50">
        <v>7.757009</v>
      </c>
      <c r="V38" s="50">
        <v>0.00304</v>
      </c>
      <c r="W38" s="50">
        <v>0.005312</v>
      </c>
      <c r="X38" s="50">
        <v>0.441153</v>
      </c>
      <c r="Y38" s="50">
        <v>0</v>
      </c>
      <c r="Z38" s="50">
        <v>0</v>
      </c>
      <c r="AA38" s="72">
        <v>38</v>
      </c>
      <c r="AB38" s="72"/>
      <c r="AC38" s="73"/>
      <c r="AD38" s="80" t="s">
        <v>674</v>
      </c>
      <c r="AE38" s="96" t="str">
        <f>HYPERLINK("http://en.wikipedia.org/wiki/User:Pipsally")</f>
        <v>http://en.wikipedia.org/wiki/User:Pipsally</v>
      </c>
      <c r="AF38" s="80" t="s">
        <v>687</v>
      </c>
      <c r="AG38" s="80"/>
      <c r="AH38" s="80"/>
      <c r="AI38" s="80">
        <v>0.3252516</v>
      </c>
      <c r="AJ38" s="80">
        <v>500</v>
      </c>
      <c r="AK38" s="80"/>
      <c r="AL38" s="80" t="str">
        <f>REPLACE(INDEX(GroupVertices[Group],MATCH(Vertices[[#This Row],[Vertex]],GroupVertices[Vertex],0)),1,1,"")</f>
        <v>7</v>
      </c>
      <c r="AM38" s="49">
        <v>0</v>
      </c>
      <c r="AN38" s="50">
        <v>0</v>
      </c>
      <c r="AO38" s="49">
        <v>1</v>
      </c>
      <c r="AP38" s="50">
        <v>33.333333333333336</v>
      </c>
      <c r="AQ38" s="49">
        <v>0</v>
      </c>
      <c r="AR38" s="50">
        <v>0</v>
      </c>
      <c r="AS38" s="49">
        <v>2</v>
      </c>
      <c r="AT38" s="50">
        <v>66.66666666666667</v>
      </c>
      <c r="AU38" s="49">
        <v>3</v>
      </c>
      <c r="AV38" s="109" t="s">
        <v>1109</v>
      </c>
      <c r="AW38" s="109" t="s">
        <v>1109</v>
      </c>
      <c r="AX38" s="109" t="s">
        <v>1223</v>
      </c>
      <c r="AY38" s="109" t="s">
        <v>1223</v>
      </c>
      <c r="AZ38" s="2"/>
      <c r="BA38" s="3"/>
      <c r="BB38" s="3"/>
      <c r="BC38" s="3"/>
      <c r="BD38" s="3"/>
    </row>
    <row r="39" spans="1:56" ht="15">
      <c r="A39" s="65" t="s">
        <v>413</v>
      </c>
      <c r="B39" s="66"/>
      <c r="C39" s="66"/>
      <c r="D39" s="67">
        <v>125.5412429413143</v>
      </c>
      <c r="E39" s="69"/>
      <c r="F39" s="66"/>
      <c r="G39" s="66"/>
      <c r="H39" s="70" t="s">
        <v>413</v>
      </c>
      <c r="I39" s="71"/>
      <c r="J39" s="71"/>
      <c r="K39" s="70" t="s">
        <v>413</v>
      </c>
      <c r="L39" s="74">
        <v>1232.533049078826</v>
      </c>
      <c r="M39" s="75">
        <v>5665.18115234375</v>
      </c>
      <c r="N39" s="75">
        <v>1502.5123291015625</v>
      </c>
      <c r="O39" s="76"/>
      <c r="P39" s="77"/>
      <c r="Q39" s="77"/>
      <c r="R39" s="82"/>
      <c r="S39" s="49">
        <v>7</v>
      </c>
      <c r="T39" s="49">
        <v>7</v>
      </c>
      <c r="U39" s="50">
        <v>366.302694</v>
      </c>
      <c r="V39" s="50">
        <v>0.003413</v>
      </c>
      <c r="W39" s="50">
        <v>0.018156</v>
      </c>
      <c r="X39" s="50">
        <v>1.858207</v>
      </c>
      <c r="Y39" s="50">
        <v>0.08888888888888889</v>
      </c>
      <c r="Z39" s="50">
        <v>0.2</v>
      </c>
      <c r="AA39" s="72">
        <v>39</v>
      </c>
      <c r="AB39" s="72"/>
      <c r="AC39" s="73"/>
      <c r="AD39" s="80" t="s">
        <v>674</v>
      </c>
      <c r="AE39" s="96" t="str">
        <f>HYPERLINK("http://en.wikipedia.org/wiki/User:Space4Time3Continuum2x")</f>
        <v>http://en.wikipedia.org/wiki/User:Space4Time3Continuum2x</v>
      </c>
      <c r="AF39" s="80" t="s">
        <v>687</v>
      </c>
      <c r="AG39" s="80"/>
      <c r="AH39" s="80"/>
      <c r="AI39" s="80">
        <v>0.767</v>
      </c>
      <c r="AJ39" s="80">
        <v>500</v>
      </c>
      <c r="AK39" s="80"/>
      <c r="AL39" s="80" t="str">
        <f>REPLACE(INDEX(GroupVertices[Group],MATCH(Vertices[[#This Row],[Vertex]],GroupVertices[Vertex],0)),1,1,"")</f>
        <v>7</v>
      </c>
      <c r="AM39" s="49">
        <v>1</v>
      </c>
      <c r="AN39" s="50">
        <v>3.3333333333333335</v>
      </c>
      <c r="AO39" s="49">
        <v>2</v>
      </c>
      <c r="AP39" s="50">
        <v>6.666666666666667</v>
      </c>
      <c r="AQ39" s="49">
        <v>0</v>
      </c>
      <c r="AR39" s="50">
        <v>0</v>
      </c>
      <c r="AS39" s="49">
        <v>27</v>
      </c>
      <c r="AT39" s="50">
        <v>90</v>
      </c>
      <c r="AU39" s="49">
        <v>30</v>
      </c>
      <c r="AV39" s="109" t="s">
        <v>1110</v>
      </c>
      <c r="AW39" s="109" t="s">
        <v>1110</v>
      </c>
      <c r="AX39" s="109" t="s">
        <v>1224</v>
      </c>
      <c r="AY39" s="109" t="s">
        <v>1224</v>
      </c>
      <c r="AZ39" s="2"/>
      <c r="BA39" s="3"/>
      <c r="BB39" s="3"/>
      <c r="BC39" s="3"/>
      <c r="BD39" s="3"/>
    </row>
    <row r="40" spans="1:56" ht="15">
      <c r="A40" s="65" t="s">
        <v>361</v>
      </c>
      <c r="B40" s="66"/>
      <c r="C40" s="66"/>
      <c r="D40" s="67">
        <v>50.24059739860557</v>
      </c>
      <c r="E40" s="69"/>
      <c r="F40" s="66"/>
      <c r="G40" s="66"/>
      <c r="H40" s="70" t="s">
        <v>361</v>
      </c>
      <c r="I40" s="71"/>
      <c r="J40" s="71"/>
      <c r="K40" s="70" t="s">
        <v>361</v>
      </c>
      <c r="L40" s="74">
        <v>4.922408956592732</v>
      </c>
      <c r="M40" s="75">
        <v>2135.00634765625</v>
      </c>
      <c r="N40" s="75">
        <v>4508.2216796875</v>
      </c>
      <c r="O40" s="76"/>
      <c r="P40" s="77"/>
      <c r="Q40" s="77"/>
      <c r="R40" s="82"/>
      <c r="S40" s="49">
        <v>2</v>
      </c>
      <c r="T40" s="49">
        <v>2</v>
      </c>
      <c r="U40" s="50">
        <v>1.166667</v>
      </c>
      <c r="V40" s="50">
        <v>0.002445</v>
      </c>
      <c r="W40" s="50">
        <v>0.002152</v>
      </c>
      <c r="X40" s="50">
        <v>0.653334</v>
      </c>
      <c r="Y40" s="50">
        <v>0</v>
      </c>
      <c r="Z40" s="50">
        <v>0</v>
      </c>
      <c r="AA40" s="72">
        <v>40</v>
      </c>
      <c r="AB40" s="72"/>
      <c r="AC40" s="73"/>
      <c r="AD40" s="80" t="s">
        <v>674</v>
      </c>
      <c r="AE40" s="96" t="str">
        <f>HYPERLINK("http://en.wikipedia.org/wiki/User:2600:1702:2340:9470:BD7A:302B:D2C5:5563")</f>
        <v>http://en.wikipedia.org/wiki/User:2600:1702:2340:9470:BD7A:302B:D2C5:5563</v>
      </c>
      <c r="AF40" s="80" t="s">
        <v>687</v>
      </c>
      <c r="AG40" s="80"/>
      <c r="AH40" s="80"/>
      <c r="AI40" s="80">
        <v>0</v>
      </c>
      <c r="AJ40" s="80">
        <v>2</v>
      </c>
      <c r="AK40" s="80"/>
      <c r="AL40" s="80" t="str">
        <f>REPLACE(INDEX(GroupVertices[Group],MATCH(Vertices[[#This Row],[Vertex]],GroupVertices[Vertex],0)),1,1,"")</f>
        <v>2</v>
      </c>
      <c r="AM40" s="49">
        <v>4</v>
      </c>
      <c r="AN40" s="50">
        <v>20</v>
      </c>
      <c r="AO40" s="49">
        <v>2</v>
      </c>
      <c r="AP40" s="50">
        <v>10</v>
      </c>
      <c r="AQ40" s="49">
        <v>0</v>
      </c>
      <c r="AR40" s="50">
        <v>0</v>
      </c>
      <c r="AS40" s="49">
        <v>14</v>
      </c>
      <c r="AT40" s="50">
        <v>70</v>
      </c>
      <c r="AU40" s="49">
        <v>20</v>
      </c>
      <c r="AV40" s="109" t="s">
        <v>1111</v>
      </c>
      <c r="AW40" s="109" t="s">
        <v>1111</v>
      </c>
      <c r="AX40" s="109" t="s">
        <v>1225</v>
      </c>
      <c r="AY40" s="109" t="s">
        <v>1225</v>
      </c>
      <c r="AZ40" s="2"/>
      <c r="BA40" s="3"/>
      <c r="BB40" s="3"/>
      <c r="BC40" s="3"/>
      <c r="BD40" s="3"/>
    </row>
    <row r="41" spans="1:56" ht="15">
      <c r="A41" s="65" t="s">
        <v>362</v>
      </c>
      <c r="B41" s="66"/>
      <c r="C41" s="66"/>
      <c r="D41" s="67">
        <v>71.26154678830007</v>
      </c>
      <c r="E41" s="69"/>
      <c r="F41" s="66"/>
      <c r="G41" s="66"/>
      <c r="H41" s="70" t="s">
        <v>362</v>
      </c>
      <c r="I41" s="71"/>
      <c r="J41" s="71"/>
      <c r="K41" s="70" t="s">
        <v>362</v>
      </c>
      <c r="L41" s="74">
        <v>347.6225405460841</v>
      </c>
      <c r="M41" s="75">
        <v>2540.509033203125</v>
      </c>
      <c r="N41" s="75">
        <v>4189.76318359375</v>
      </c>
      <c r="O41" s="76"/>
      <c r="P41" s="77"/>
      <c r="Q41" s="77"/>
      <c r="R41" s="82"/>
      <c r="S41" s="49">
        <v>2</v>
      </c>
      <c r="T41" s="49">
        <v>2</v>
      </c>
      <c r="U41" s="50">
        <v>103.098143</v>
      </c>
      <c r="V41" s="50">
        <v>0.003175</v>
      </c>
      <c r="W41" s="50">
        <v>0.008638</v>
      </c>
      <c r="X41" s="50">
        <v>0.772564</v>
      </c>
      <c r="Y41" s="50">
        <v>0.08333333333333333</v>
      </c>
      <c r="Z41" s="50">
        <v>0</v>
      </c>
      <c r="AA41" s="72">
        <v>41</v>
      </c>
      <c r="AB41" s="72"/>
      <c r="AC41" s="73"/>
      <c r="AD41" s="80" t="s">
        <v>674</v>
      </c>
      <c r="AE41" s="80" t="s">
        <v>679</v>
      </c>
      <c r="AF41" s="80" t="s">
        <v>687</v>
      </c>
      <c r="AG41" s="80"/>
      <c r="AH41" s="80"/>
      <c r="AI41" s="80">
        <v>0.6746329</v>
      </c>
      <c r="AJ41" s="80">
        <v>500</v>
      </c>
      <c r="AK41" s="80"/>
      <c r="AL41" s="80" t="str">
        <f>REPLACE(INDEX(GroupVertices[Group],MATCH(Vertices[[#This Row],[Vertex]],GroupVertices[Vertex],0)),1,1,"")</f>
        <v>2</v>
      </c>
      <c r="AM41" s="49">
        <v>1</v>
      </c>
      <c r="AN41" s="50">
        <v>9.090909090909092</v>
      </c>
      <c r="AO41" s="49">
        <v>0</v>
      </c>
      <c r="AP41" s="50">
        <v>0</v>
      </c>
      <c r="AQ41" s="49">
        <v>0</v>
      </c>
      <c r="AR41" s="50">
        <v>0</v>
      </c>
      <c r="AS41" s="49">
        <v>10</v>
      </c>
      <c r="AT41" s="50">
        <v>90.9090909090909</v>
      </c>
      <c r="AU41" s="49">
        <v>11</v>
      </c>
      <c r="AV41" s="109" t="s">
        <v>1112</v>
      </c>
      <c r="AW41" s="109" t="s">
        <v>1112</v>
      </c>
      <c r="AX41" s="109" t="s">
        <v>1226</v>
      </c>
      <c r="AY41" s="109" t="s">
        <v>1226</v>
      </c>
      <c r="AZ41" s="2"/>
      <c r="BA41" s="3"/>
      <c r="BB41" s="3"/>
      <c r="BC41" s="3"/>
      <c r="BD41" s="3"/>
    </row>
    <row r="42" spans="1:56" ht="15">
      <c r="A42" s="65" t="s">
        <v>363</v>
      </c>
      <c r="B42" s="66"/>
      <c r="C42" s="66"/>
      <c r="D42" s="67">
        <v>122.4688021154439</v>
      </c>
      <c r="E42" s="69"/>
      <c r="F42" s="66"/>
      <c r="G42" s="66"/>
      <c r="H42" s="70" t="s">
        <v>363</v>
      </c>
      <c r="I42" s="71"/>
      <c r="J42" s="71"/>
      <c r="K42" s="70" t="s">
        <v>363</v>
      </c>
      <c r="L42" s="74">
        <v>1182.4436903249868</v>
      </c>
      <c r="M42" s="75">
        <v>5187.9365234375</v>
      </c>
      <c r="N42" s="75">
        <v>2485.30322265625</v>
      </c>
      <c r="O42" s="76"/>
      <c r="P42" s="77"/>
      <c r="Q42" s="77"/>
      <c r="R42" s="82"/>
      <c r="S42" s="49">
        <v>10</v>
      </c>
      <c r="T42" s="49">
        <v>9</v>
      </c>
      <c r="U42" s="50">
        <v>351.404298</v>
      </c>
      <c r="V42" s="50">
        <v>0.003876</v>
      </c>
      <c r="W42" s="50">
        <v>0.030842</v>
      </c>
      <c r="X42" s="50">
        <v>2.087093</v>
      </c>
      <c r="Y42" s="50">
        <v>0.21212121212121213</v>
      </c>
      <c r="Z42" s="50">
        <v>0.4166666666666667</v>
      </c>
      <c r="AA42" s="72">
        <v>42</v>
      </c>
      <c r="AB42" s="72"/>
      <c r="AC42" s="73"/>
      <c r="AD42" s="80" t="s">
        <v>674</v>
      </c>
      <c r="AE42" s="96" t="str">
        <f>HYPERLINK("http://en.wikipedia.org/wiki/User:力")</f>
        <v>http://en.wikipedia.org/wiki/User:力</v>
      </c>
      <c r="AF42" s="80" t="s">
        <v>687</v>
      </c>
      <c r="AG42" s="80"/>
      <c r="AH42" s="80"/>
      <c r="AI42" s="80">
        <v>0.3246335</v>
      </c>
      <c r="AJ42" s="80">
        <v>500</v>
      </c>
      <c r="AK42" s="80"/>
      <c r="AL42" s="80" t="str">
        <f>REPLACE(INDEX(GroupVertices[Group],MATCH(Vertices[[#This Row],[Vertex]],GroupVertices[Vertex],0)),1,1,"")</f>
        <v>5</v>
      </c>
      <c r="AM42" s="49">
        <v>1</v>
      </c>
      <c r="AN42" s="50">
        <v>1</v>
      </c>
      <c r="AO42" s="49">
        <v>3</v>
      </c>
      <c r="AP42" s="50">
        <v>3</v>
      </c>
      <c r="AQ42" s="49">
        <v>0</v>
      </c>
      <c r="AR42" s="50">
        <v>0</v>
      </c>
      <c r="AS42" s="49">
        <v>96</v>
      </c>
      <c r="AT42" s="50">
        <v>96</v>
      </c>
      <c r="AU42" s="49">
        <v>100</v>
      </c>
      <c r="AV42" s="109" t="s">
        <v>1113</v>
      </c>
      <c r="AW42" s="109" t="s">
        <v>1180</v>
      </c>
      <c r="AX42" s="109" t="s">
        <v>1227</v>
      </c>
      <c r="AY42" s="109" t="s">
        <v>1289</v>
      </c>
      <c r="AZ42" s="2"/>
      <c r="BA42" s="3"/>
      <c r="BB42" s="3"/>
      <c r="BC42" s="3"/>
      <c r="BD42" s="3"/>
    </row>
    <row r="43" spans="1:56" ht="15">
      <c r="A43" s="65" t="s">
        <v>364</v>
      </c>
      <c r="B43" s="66"/>
      <c r="C43" s="66"/>
      <c r="D43" s="67">
        <v>52.433566856460104</v>
      </c>
      <c r="E43" s="69"/>
      <c r="F43" s="66"/>
      <c r="G43" s="66"/>
      <c r="H43" s="70" t="s">
        <v>364</v>
      </c>
      <c r="I43" s="71"/>
      <c r="J43" s="71"/>
      <c r="K43" s="70" t="s">
        <v>364</v>
      </c>
      <c r="L43" s="74">
        <v>40.673930348244085</v>
      </c>
      <c r="M43" s="75">
        <v>4272.38330078125</v>
      </c>
      <c r="N43" s="75">
        <v>812.1723022460938</v>
      </c>
      <c r="O43" s="76"/>
      <c r="P43" s="77"/>
      <c r="Q43" s="77"/>
      <c r="R43" s="82"/>
      <c r="S43" s="49">
        <v>1</v>
      </c>
      <c r="T43" s="49">
        <v>1</v>
      </c>
      <c r="U43" s="50">
        <v>11.800469</v>
      </c>
      <c r="V43" s="50">
        <v>0.002538</v>
      </c>
      <c r="W43" s="50">
        <v>0.001892</v>
      </c>
      <c r="X43" s="50">
        <v>0.518499</v>
      </c>
      <c r="Y43" s="50">
        <v>0</v>
      </c>
      <c r="Z43" s="50">
        <v>0</v>
      </c>
      <c r="AA43" s="72">
        <v>43</v>
      </c>
      <c r="AB43" s="72"/>
      <c r="AC43" s="73"/>
      <c r="AD43" s="80" t="s">
        <v>674</v>
      </c>
      <c r="AE43" s="96" t="str">
        <f>HYPERLINK("http://en.wikipedia.org/wiki/User:74.95.38.84")</f>
        <v>http://en.wikipedia.org/wiki/User:74.95.38.84</v>
      </c>
      <c r="AF43" s="80" t="s">
        <v>687</v>
      </c>
      <c r="AG43" s="80"/>
      <c r="AH43" s="80"/>
      <c r="AI43" s="80">
        <v>0</v>
      </c>
      <c r="AJ43" s="80">
        <v>6</v>
      </c>
      <c r="AK43" s="80"/>
      <c r="AL43" s="80" t="str">
        <f>REPLACE(INDEX(GroupVertices[Group],MATCH(Vertices[[#This Row],[Vertex]],GroupVertices[Vertex],0)),1,1,"")</f>
        <v>7</v>
      </c>
      <c r="AM43" s="49">
        <v>0</v>
      </c>
      <c r="AN43" s="50">
        <v>0</v>
      </c>
      <c r="AO43" s="49">
        <v>0</v>
      </c>
      <c r="AP43" s="50">
        <v>0</v>
      </c>
      <c r="AQ43" s="49">
        <v>0</v>
      </c>
      <c r="AR43" s="50">
        <v>0</v>
      </c>
      <c r="AS43" s="49">
        <v>1</v>
      </c>
      <c r="AT43" s="50">
        <v>100</v>
      </c>
      <c r="AU43" s="49">
        <v>1</v>
      </c>
      <c r="AV43" s="109" t="s">
        <v>488</v>
      </c>
      <c r="AW43" s="109" t="s">
        <v>488</v>
      </c>
      <c r="AX43" s="109" t="s">
        <v>1088</v>
      </c>
      <c r="AY43" s="109" t="s">
        <v>1088</v>
      </c>
      <c r="AZ43" s="2"/>
      <c r="BA43" s="3"/>
      <c r="BB43" s="3"/>
      <c r="BC43" s="3"/>
      <c r="BD43" s="3"/>
    </row>
    <row r="44" spans="1:56" ht="15">
      <c r="A44" s="65" t="s">
        <v>365</v>
      </c>
      <c r="B44" s="66"/>
      <c r="C44" s="66"/>
      <c r="D44" s="67">
        <v>59.06343106354711</v>
      </c>
      <c r="E44" s="69"/>
      <c r="F44" s="66"/>
      <c r="G44" s="66"/>
      <c r="H44" s="70" t="s">
        <v>365</v>
      </c>
      <c r="I44" s="71"/>
      <c r="J44" s="71"/>
      <c r="K44" s="70" t="s">
        <v>365</v>
      </c>
      <c r="L44" s="74">
        <v>148.7592167960126</v>
      </c>
      <c r="M44" s="75">
        <v>5891.16845703125</v>
      </c>
      <c r="N44" s="75">
        <v>303.3232116699219</v>
      </c>
      <c r="O44" s="76"/>
      <c r="P44" s="77"/>
      <c r="Q44" s="77"/>
      <c r="R44" s="82"/>
      <c r="S44" s="49">
        <v>1</v>
      </c>
      <c r="T44" s="49">
        <v>1</v>
      </c>
      <c r="U44" s="50">
        <v>43.948962</v>
      </c>
      <c r="V44" s="50">
        <v>0.002778</v>
      </c>
      <c r="W44" s="50">
        <v>0.002632</v>
      </c>
      <c r="X44" s="50">
        <v>0.529202</v>
      </c>
      <c r="Y44" s="50">
        <v>0</v>
      </c>
      <c r="Z44" s="50">
        <v>0</v>
      </c>
      <c r="AA44" s="72">
        <v>44</v>
      </c>
      <c r="AB44" s="72"/>
      <c r="AC44" s="73"/>
      <c r="AD44" s="80" t="s">
        <v>674</v>
      </c>
      <c r="AE44" s="96" t="str">
        <f>HYPERLINK("http://en.wikipedia.org/wiki/User:GoodDay")</f>
        <v>http://en.wikipedia.org/wiki/User:GoodDay</v>
      </c>
      <c r="AF44" s="80" t="s">
        <v>687</v>
      </c>
      <c r="AG44" s="80"/>
      <c r="AH44" s="80"/>
      <c r="AI44" s="80">
        <v>0.1978462</v>
      </c>
      <c r="AJ44" s="80">
        <v>500</v>
      </c>
      <c r="AK44" s="80"/>
      <c r="AL44" s="80" t="str">
        <f>REPLACE(INDEX(GroupVertices[Group],MATCH(Vertices[[#This Row],[Vertex]],GroupVertices[Vertex],0)),1,1,"")</f>
        <v>7</v>
      </c>
      <c r="AM44" s="49">
        <v>0</v>
      </c>
      <c r="AN44" s="50">
        <v>0</v>
      </c>
      <c r="AO44" s="49">
        <v>0</v>
      </c>
      <c r="AP44" s="50">
        <v>0</v>
      </c>
      <c r="AQ44" s="49">
        <v>0</v>
      </c>
      <c r="AR44" s="50">
        <v>0</v>
      </c>
      <c r="AS44" s="49">
        <v>5</v>
      </c>
      <c r="AT44" s="50">
        <v>100</v>
      </c>
      <c r="AU44" s="49">
        <v>5</v>
      </c>
      <c r="AV44" s="109" t="s">
        <v>1088</v>
      </c>
      <c r="AW44" s="109" t="s">
        <v>1088</v>
      </c>
      <c r="AX44" s="109" t="s">
        <v>1088</v>
      </c>
      <c r="AY44" s="109" t="s">
        <v>1088</v>
      </c>
      <c r="AZ44" s="2"/>
      <c r="BA44" s="3"/>
      <c r="BB44" s="3"/>
      <c r="BC44" s="3"/>
      <c r="BD44" s="3"/>
    </row>
    <row r="45" spans="1:56" ht="15">
      <c r="A45" s="65" t="s">
        <v>367</v>
      </c>
      <c r="B45" s="66"/>
      <c r="C45" s="66"/>
      <c r="D45" s="67">
        <v>50</v>
      </c>
      <c r="E45" s="69"/>
      <c r="F45" s="66"/>
      <c r="G45" s="66"/>
      <c r="H45" s="70" t="s">
        <v>367</v>
      </c>
      <c r="I45" s="71"/>
      <c r="J45" s="71"/>
      <c r="K45" s="70" t="s">
        <v>367</v>
      </c>
      <c r="L45" s="74">
        <v>1</v>
      </c>
      <c r="M45" s="75">
        <v>1062.162109375</v>
      </c>
      <c r="N45" s="75">
        <v>6073.421875</v>
      </c>
      <c r="O45" s="76"/>
      <c r="P45" s="77"/>
      <c r="Q45" s="77"/>
      <c r="R45" s="82"/>
      <c r="S45" s="49">
        <v>1</v>
      </c>
      <c r="T45" s="49">
        <v>1</v>
      </c>
      <c r="U45" s="50">
        <v>0</v>
      </c>
      <c r="V45" s="50">
        <v>0.002924</v>
      </c>
      <c r="W45" s="50">
        <v>0.003858</v>
      </c>
      <c r="X45" s="50">
        <v>0.481457</v>
      </c>
      <c r="Y45" s="50">
        <v>0.5</v>
      </c>
      <c r="Z45" s="50">
        <v>0</v>
      </c>
      <c r="AA45" s="72">
        <v>45</v>
      </c>
      <c r="AB45" s="72"/>
      <c r="AC45" s="73"/>
      <c r="AD45" s="80" t="s">
        <v>674</v>
      </c>
      <c r="AE45" s="96" t="str">
        <f>HYPERLINK("http://en.wikipedia.org/wiki/User:Tbiters")</f>
        <v>http://en.wikipedia.org/wiki/User:Tbiters</v>
      </c>
      <c r="AF45" s="80" t="s">
        <v>687</v>
      </c>
      <c r="AG45" s="80"/>
      <c r="AH45" s="80"/>
      <c r="AI45" s="80">
        <v>0</v>
      </c>
      <c r="AJ45" s="80">
        <v>1</v>
      </c>
      <c r="AK45" s="80"/>
      <c r="AL45" s="80" t="str">
        <f>REPLACE(INDEX(GroupVertices[Group],MATCH(Vertices[[#This Row],[Vertex]],GroupVertices[Vertex],0)),1,1,"")</f>
        <v>1</v>
      </c>
      <c r="AM45" s="49">
        <v>1</v>
      </c>
      <c r="AN45" s="50">
        <v>11.11111111111111</v>
      </c>
      <c r="AO45" s="49">
        <v>0</v>
      </c>
      <c r="AP45" s="50">
        <v>0</v>
      </c>
      <c r="AQ45" s="49">
        <v>0</v>
      </c>
      <c r="AR45" s="50">
        <v>0</v>
      </c>
      <c r="AS45" s="49">
        <v>8</v>
      </c>
      <c r="AT45" s="50">
        <v>88.88888888888889</v>
      </c>
      <c r="AU45" s="49">
        <v>9</v>
      </c>
      <c r="AV45" s="109" t="s">
        <v>1114</v>
      </c>
      <c r="AW45" s="109" t="s">
        <v>1114</v>
      </c>
      <c r="AX45" s="109" t="s">
        <v>1228</v>
      </c>
      <c r="AY45" s="109" t="s">
        <v>1228</v>
      </c>
      <c r="AZ45" s="2"/>
      <c r="BA45" s="3"/>
      <c r="BB45" s="3"/>
      <c r="BC45" s="3"/>
      <c r="BD45" s="3"/>
    </row>
    <row r="46" spans="1:56" ht="15">
      <c r="A46" s="65" t="s">
        <v>368</v>
      </c>
      <c r="B46" s="66"/>
      <c r="C46" s="66"/>
      <c r="D46" s="67">
        <v>50</v>
      </c>
      <c r="E46" s="69"/>
      <c r="F46" s="66"/>
      <c r="G46" s="66"/>
      <c r="H46" s="70" t="s">
        <v>368</v>
      </c>
      <c r="I46" s="71"/>
      <c r="J46" s="71"/>
      <c r="K46" s="70" t="s">
        <v>368</v>
      </c>
      <c r="L46" s="74">
        <v>1</v>
      </c>
      <c r="M46" s="75">
        <v>3002.3310546875</v>
      </c>
      <c r="N46" s="75">
        <v>8735.8837890625</v>
      </c>
      <c r="O46" s="76"/>
      <c r="P46" s="77"/>
      <c r="Q46" s="77"/>
      <c r="R46" s="82"/>
      <c r="S46" s="49">
        <v>1</v>
      </c>
      <c r="T46" s="49">
        <v>1</v>
      </c>
      <c r="U46" s="50">
        <v>0</v>
      </c>
      <c r="V46" s="50">
        <v>0.003049</v>
      </c>
      <c r="W46" s="50">
        <v>0.005367</v>
      </c>
      <c r="X46" s="50">
        <v>0.465614</v>
      </c>
      <c r="Y46" s="50">
        <v>0.5</v>
      </c>
      <c r="Z46" s="50">
        <v>0</v>
      </c>
      <c r="AA46" s="72">
        <v>46</v>
      </c>
      <c r="AB46" s="72"/>
      <c r="AC46" s="73"/>
      <c r="AD46" s="80" t="s">
        <v>674</v>
      </c>
      <c r="AE46" s="96" t="str">
        <f>HYPERLINK("http://en.wikipedia.org/wiki/User:Scoutguy138")</f>
        <v>http://en.wikipedia.org/wiki/User:Scoutguy138</v>
      </c>
      <c r="AF46" s="80" t="s">
        <v>687</v>
      </c>
      <c r="AG46" s="80"/>
      <c r="AH46" s="80"/>
      <c r="AI46" s="80">
        <v>0.3760866</v>
      </c>
      <c r="AJ46" s="80">
        <v>158</v>
      </c>
      <c r="AK46" s="80"/>
      <c r="AL46" s="80" t="str">
        <f>REPLACE(INDEX(GroupVertices[Group],MATCH(Vertices[[#This Row],[Vertex]],GroupVertices[Vertex],0)),1,1,"")</f>
        <v>1</v>
      </c>
      <c r="AM46" s="49">
        <v>1</v>
      </c>
      <c r="AN46" s="50">
        <v>14.285714285714286</v>
      </c>
      <c r="AO46" s="49">
        <v>0</v>
      </c>
      <c r="AP46" s="50">
        <v>0</v>
      </c>
      <c r="AQ46" s="49">
        <v>0</v>
      </c>
      <c r="AR46" s="50">
        <v>0</v>
      </c>
      <c r="AS46" s="49">
        <v>6</v>
      </c>
      <c r="AT46" s="50">
        <v>85.71428571428571</v>
      </c>
      <c r="AU46" s="49">
        <v>7</v>
      </c>
      <c r="AV46" s="109" t="s">
        <v>1114</v>
      </c>
      <c r="AW46" s="109" t="s">
        <v>1114</v>
      </c>
      <c r="AX46" s="109" t="s">
        <v>1228</v>
      </c>
      <c r="AY46" s="109" t="s">
        <v>1228</v>
      </c>
      <c r="AZ46" s="2"/>
      <c r="BA46" s="3"/>
      <c r="BB46" s="3"/>
      <c r="BC46" s="3"/>
      <c r="BD46" s="3"/>
    </row>
    <row r="47" spans="1:56" ht="15">
      <c r="A47" s="65" t="s">
        <v>369</v>
      </c>
      <c r="B47" s="66"/>
      <c r="C47" s="66"/>
      <c r="D47" s="67">
        <v>71.68226717168166</v>
      </c>
      <c r="E47" s="69"/>
      <c r="F47" s="66"/>
      <c r="G47" s="66"/>
      <c r="H47" s="70" t="s">
        <v>369</v>
      </c>
      <c r="I47" s="71"/>
      <c r="J47" s="71"/>
      <c r="K47" s="70" t="s">
        <v>369</v>
      </c>
      <c r="L47" s="74">
        <v>354.48145676696305</v>
      </c>
      <c r="M47" s="75">
        <v>6805.9384765625</v>
      </c>
      <c r="N47" s="75">
        <v>8313.7431640625</v>
      </c>
      <c r="O47" s="76"/>
      <c r="P47" s="77"/>
      <c r="Q47" s="77"/>
      <c r="R47" s="82"/>
      <c r="S47" s="49">
        <v>2</v>
      </c>
      <c r="T47" s="49">
        <v>2</v>
      </c>
      <c r="U47" s="50">
        <v>105.138234</v>
      </c>
      <c r="V47" s="50">
        <v>0.002865</v>
      </c>
      <c r="W47" s="50">
        <v>0.004336</v>
      </c>
      <c r="X47" s="50">
        <v>0.727395</v>
      </c>
      <c r="Y47" s="50">
        <v>0</v>
      </c>
      <c r="Z47" s="50">
        <v>0</v>
      </c>
      <c r="AA47" s="72">
        <v>47</v>
      </c>
      <c r="AB47" s="72"/>
      <c r="AC47" s="73"/>
      <c r="AD47" s="80" t="s">
        <v>674</v>
      </c>
      <c r="AE47" s="96" t="str">
        <f>HYPERLINK("http://en.wikipedia.org/wiki/User:Hermit7")</f>
        <v>http://en.wikipedia.org/wiki/User:Hermit7</v>
      </c>
      <c r="AF47" s="80" t="s">
        <v>687</v>
      </c>
      <c r="AG47" s="80"/>
      <c r="AH47" s="80"/>
      <c r="AI47" s="80">
        <v>0.3571428</v>
      </c>
      <c r="AJ47" s="80">
        <v>42</v>
      </c>
      <c r="AK47" s="80"/>
      <c r="AL47" s="80" t="str">
        <f>REPLACE(INDEX(GroupVertices[Group],MATCH(Vertices[[#This Row],[Vertex]],GroupVertices[Vertex],0)),1,1,"")</f>
        <v>3</v>
      </c>
      <c r="AM47" s="49">
        <v>1</v>
      </c>
      <c r="AN47" s="50">
        <v>11.11111111111111</v>
      </c>
      <c r="AO47" s="49">
        <v>0</v>
      </c>
      <c r="AP47" s="50">
        <v>0</v>
      </c>
      <c r="AQ47" s="49">
        <v>0</v>
      </c>
      <c r="AR47" s="50">
        <v>0</v>
      </c>
      <c r="AS47" s="49">
        <v>8</v>
      </c>
      <c r="AT47" s="50">
        <v>88.88888888888889</v>
      </c>
      <c r="AU47" s="49">
        <v>9</v>
      </c>
      <c r="AV47" s="109" t="s">
        <v>1115</v>
      </c>
      <c r="AW47" s="109" t="s">
        <v>1115</v>
      </c>
      <c r="AX47" s="109" t="s">
        <v>1209</v>
      </c>
      <c r="AY47" s="109" t="s">
        <v>1209</v>
      </c>
      <c r="AZ47" s="2"/>
      <c r="BA47" s="3"/>
      <c r="BB47" s="3"/>
      <c r="BC47" s="3"/>
      <c r="BD47" s="3"/>
    </row>
    <row r="48" spans="1:56" ht="15">
      <c r="A48" s="65" t="s">
        <v>370</v>
      </c>
      <c r="B48" s="66"/>
      <c r="C48" s="66"/>
      <c r="D48" s="67">
        <v>50.41245256548025</v>
      </c>
      <c r="E48" s="69"/>
      <c r="F48" s="66"/>
      <c r="G48" s="66"/>
      <c r="H48" s="70" t="s">
        <v>370</v>
      </c>
      <c r="I48" s="71"/>
      <c r="J48" s="71"/>
      <c r="K48" s="70" t="s">
        <v>370</v>
      </c>
      <c r="L48" s="74">
        <v>7.724127718693907</v>
      </c>
      <c r="M48" s="75">
        <v>6274.884765625</v>
      </c>
      <c r="N48" s="75">
        <v>9381.236328125</v>
      </c>
      <c r="O48" s="76"/>
      <c r="P48" s="77"/>
      <c r="Q48" s="77"/>
      <c r="R48" s="82"/>
      <c r="S48" s="49">
        <v>2</v>
      </c>
      <c r="T48" s="49">
        <v>2</v>
      </c>
      <c r="U48" s="50">
        <v>2</v>
      </c>
      <c r="V48" s="50">
        <v>0.00232</v>
      </c>
      <c r="W48" s="50">
        <v>0.000808</v>
      </c>
      <c r="X48" s="50">
        <v>0.809324</v>
      </c>
      <c r="Y48" s="50">
        <v>0</v>
      </c>
      <c r="Z48" s="50">
        <v>0</v>
      </c>
      <c r="AA48" s="72">
        <v>48</v>
      </c>
      <c r="AB48" s="72"/>
      <c r="AC48" s="73"/>
      <c r="AD48" s="80" t="s">
        <v>674</v>
      </c>
      <c r="AE48" s="96" t="str">
        <f>HYPERLINK("http://en.wikipedia.org/wiki/User:MaximusEditor")</f>
        <v>http://en.wikipedia.org/wiki/User:MaximusEditor</v>
      </c>
      <c r="AF48" s="80" t="s">
        <v>687</v>
      </c>
      <c r="AG48" s="80"/>
      <c r="AH48" s="80"/>
      <c r="AI48" s="80">
        <v>0.3943466</v>
      </c>
      <c r="AJ48" s="80">
        <v>267</v>
      </c>
      <c r="AK48" s="80"/>
      <c r="AL48" s="80" t="str">
        <f>REPLACE(INDEX(GroupVertices[Group],MATCH(Vertices[[#This Row],[Vertex]],GroupVertices[Vertex],0)),1,1,"")</f>
        <v>3</v>
      </c>
      <c r="AM48" s="49">
        <v>2</v>
      </c>
      <c r="AN48" s="50">
        <v>12.5</v>
      </c>
      <c r="AO48" s="49">
        <v>1</v>
      </c>
      <c r="AP48" s="50">
        <v>6.25</v>
      </c>
      <c r="AQ48" s="49">
        <v>0</v>
      </c>
      <c r="AR48" s="50">
        <v>0</v>
      </c>
      <c r="AS48" s="49">
        <v>13</v>
      </c>
      <c r="AT48" s="50">
        <v>81.25</v>
      </c>
      <c r="AU48" s="49">
        <v>16</v>
      </c>
      <c r="AV48" s="109" t="s">
        <v>1116</v>
      </c>
      <c r="AW48" s="109" t="s">
        <v>1116</v>
      </c>
      <c r="AX48" s="109" t="s">
        <v>1229</v>
      </c>
      <c r="AY48" s="109" t="s">
        <v>1229</v>
      </c>
      <c r="AZ48" s="2"/>
      <c r="BA48" s="3"/>
      <c r="BB48" s="3"/>
      <c r="BC48" s="3"/>
      <c r="BD48" s="3"/>
    </row>
    <row r="49" spans="1:56" ht="15">
      <c r="A49" s="65" t="s">
        <v>371</v>
      </c>
      <c r="B49" s="66"/>
      <c r="C49" s="66"/>
      <c r="D49" s="67">
        <v>74.92487272758709</v>
      </c>
      <c r="E49" s="69"/>
      <c r="F49" s="66"/>
      <c r="G49" s="66"/>
      <c r="H49" s="70" t="s">
        <v>371</v>
      </c>
      <c r="I49" s="71"/>
      <c r="J49" s="71"/>
      <c r="K49" s="70" t="s">
        <v>371</v>
      </c>
      <c r="L49" s="74">
        <v>407.3449754454484</v>
      </c>
      <c r="M49" s="75">
        <v>4454.0205078125</v>
      </c>
      <c r="N49" s="75">
        <v>8379.5166015625</v>
      </c>
      <c r="O49" s="76"/>
      <c r="P49" s="77"/>
      <c r="Q49" s="77"/>
      <c r="R49" s="82"/>
      <c r="S49" s="49">
        <v>1</v>
      </c>
      <c r="T49" s="49">
        <v>1</v>
      </c>
      <c r="U49" s="50">
        <v>120.861766</v>
      </c>
      <c r="V49" s="50">
        <v>0.002924</v>
      </c>
      <c r="W49" s="50">
        <v>0.003733</v>
      </c>
      <c r="X49" s="50">
        <v>0.526872</v>
      </c>
      <c r="Y49" s="50">
        <v>0</v>
      </c>
      <c r="Z49" s="50">
        <v>0</v>
      </c>
      <c r="AA49" s="72">
        <v>49</v>
      </c>
      <c r="AB49" s="72"/>
      <c r="AC49" s="73"/>
      <c r="AD49" s="80" t="s">
        <v>674</v>
      </c>
      <c r="AE49" s="96" t="str">
        <f>HYPERLINK("http://en.wikipedia.org/wiki/User:NSNW")</f>
        <v>http://en.wikipedia.org/wiki/User:NSNW</v>
      </c>
      <c r="AF49" s="80" t="s">
        <v>687</v>
      </c>
      <c r="AG49" s="80"/>
      <c r="AH49" s="80"/>
      <c r="AI49" s="80">
        <v>0.3068415</v>
      </c>
      <c r="AJ49" s="80">
        <v>81</v>
      </c>
      <c r="AK49" s="80"/>
      <c r="AL49" s="80" t="str">
        <f>REPLACE(INDEX(GroupVertices[Group],MATCH(Vertices[[#This Row],[Vertex]],GroupVertices[Vertex],0)),1,1,"")</f>
        <v>3</v>
      </c>
      <c r="AM49" s="49">
        <v>1</v>
      </c>
      <c r="AN49" s="50">
        <v>50</v>
      </c>
      <c r="AO49" s="49">
        <v>0</v>
      </c>
      <c r="AP49" s="50">
        <v>0</v>
      </c>
      <c r="AQ49" s="49">
        <v>0</v>
      </c>
      <c r="AR49" s="50">
        <v>0</v>
      </c>
      <c r="AS49" s="49">
        <v>1</v>
      </c>
      <c r="AT49" s="50">
        <v>50</v>
      </c>
      <c r="AU49" s="49">
        <v>2</v>
      </c>
      <c r="AV49" s="109" t="s">
        <v>785</v>
      </c>
      <c r="AW49" s="109" t="s">
        <v>785</v>
      </c>
      <c r="AX49" s="109" t="s">
        <v>1088</v>
      </c>
      <c r="AY49" s="109" t="s">
        <v>1088</v>
      </c>
      <c r="AZ49" s="2"/>
      <c r="BA49" s="3"/>
      <c r="BB49" s="3"/>
      <c r="BC49" s="3"/>
      <c r="BD49" s="3"/>
    </row>
    <row r="50" spans="1:56" ht="15">
      <c r="A50" s="65" t="s">
        <v>372</v>
      </c>
      <c r="B50" s="66"/>
      <c r="C50" s="66"/>
      <c r="D50" s="67">
        <v>51.78974654965831</v>
      </c>
      <c r="E50" s="69"/>
      <c r="F50" s="66"/>
      <c r="G50" s="66"/>
      <c r="H50" s="70" t="s">
        <v>372</v>
      </c>
      <c r="I50" s="71"/>
      <c r="J50" s="71"/>
      <c r="K50" s="70" t="s">
        <v>372</v>
      </c>
      <c r="L50" s="74">
        <v>30.177862840982517</v>
      </c>
      <c r="M50" s="75">
        <v>3119.85498046875</v>
      </c>
      <c r="N50" s="75">
        <v>425.24462890625</v>
      </c>
      <c r="O50" s="76"/>
      <c r="P50" s="77"/>
      <c r="Q50" s="77"/>
      <c r="R50" s="82"/>
      <c r="S50" s="49">
        <v>1</v>
      </c>
      <c r="T50" s="49">
        <v>1</v>
      </c>
      <c r="U50" s="50">
        <v>8.678557</v>
      </c>
      <c r="V50" s="50">
        <v>0.003115</v>
      </c>
      <c r="W50" s="50">
        <v>0.006111</v>
      </c>
      <c r="X50" s="50">
        <v>0.45318</v>
      </c>
      <c r="Y50" s="50">
        <v>0</v>
      </c>
      <c r="Z50" s="50">
        <v>0</v>
      </c>
      <c r="AA50" s="72">
        <v>50</v>
      </c>
      <c r="AB50" s="72"/>
      <c r="AC50" s="73"/>
      <c r="AD50" s="80" t="s">
        <v>674</v>
      </c>
      <c r="AE50" s="96" t="str">
        <f>HYPERLINK("http://en.wikipedia.org/wiki/User:70.15.26.189")</f>
        <v>http://en.wikipedia.org/wiki/User:70.15.26.189</v>
      </c>
      <c r="AF50" s="80" t="s">
        <v>687</v>
      </c>
      <c r="AG50" s="80"/>
      <c r="AH50" s="80"/>
      <c r="AI50" s="80">
        <v>0</v>
      </c>
      <c r="AJ50" s="80">
        <v>2</v>
      </c>
      <c r="AK50" s="80"/>
      <c r="AL50" s="80" t="str">
        <f>REPLACE(INDEX(GroupVertices[Group],MATCH(Vertices[[#This Row],[Vertex]],GroupVertices[Vertex],0)),1,1,"")</f>
        <v>2</v>
      </c>
      <c r="AM50" s="49">
        <v>0</v>
      </c>
      <c r="AN50" s="50">
        <v>0</v>
      </c>
      <c r="AO50" s="49">
        <v>0</v>
      </c>
      <c r="AP50" s="50">
        <v>0</v>
      </c>
      <c r="AQ50" s="49">
        <v>0</v>
      </c>
      <c r="AR50" s="50">
        <v>0</v>
      </c>
      <c r="AS50" s="49">
        <v>11</v>
      </c>
      <c r="AT50" s="50">
        <v>100</v>
      </c>
      <c r="AU50" s="49">
        <v>11</v>
      </c>
      <c r="AV50" s="109" t="s">
        <v>1117</v>
      </c>
      <c r="AW50" s="109" t="s">
        <v>1117</v>
      </c>
      <c r="AX50" s="109" t="s">
        <v>1230</v>
      </c>
      <c r="AY50" s="109" t="s">
        <v>1230</v>
      </c>
      <c r="AZ50" s="2"/>
      <c r="BA50" s="3"/>
      <c r="BB50" s="3"/>
      <c r="BC50" s="3"/>
      <c r="BD50" s="3"/>
    </row>
    <row r="51" spans="1:56" ht="15">
      <c r="A51" s="65" t="s">
        <v>373</v>
      </c>
      <c r="B51" s="66"/>
      <c r="C51" s="66"/>
      <c r="D51" s="67">
        <v>50</v>
      </c>
      <c r="E51" s="69"/>
      <c r="F51" s="66"/>
      <c r="G51" s="66"/>
      <c r="H51" s="70" t="s">
        <v>373</v>
      </c>
      <c r="I51" s="71"/>
      <c r="J51" s="71"/>
      <c r="K51" s="70" t="s">
        <v>373</v>
      </c>
      <c r="L51" s="74">
        <v>1</v>
      </c>
      <c r="M51" s="75">
        <v>3707.918701171875</v>
      </c>
      <c r="N51" s="75">
        <v>3062.443603515625</v>
      </c>
      <c r="O51" s="76"/>
      <c r="P51" s="77"/>
      <c r="Q51" s="77"/>
      <c r="R51" s="82"/>
      <c r="S51" s="49">
        <v>1</v>
      </c>
      <c r="T51" s="49">
        <v>1</v>
      </c>
      <c r="U51" s="50">
        <v>0</v>
      </c>
      <c r="V51" s="50">
        <v>0.002717</v>
      </c>
      <c r="W51" s="50">
        <v>0.002452</v>
      </c>
      <c r="X51" s="50">
        <v>0.305616</v>
      </c>
      <c r="Y51" s="50">
        <v>0</v>
      </c>
      <c r="Z51" s="50">
        <v>1</v>
      </c>
      <c r="AA51" s="72">
        <v>51</v>
      </c>
      <c r="AB51" s="72"/>
      <c r="AC51" s="73"/>
      <c r="AD51" s="80" t="s">
        <v>674</v>
      </c>
      <c r="AE51" s="96" t="str">
        <f>HYPERLINK("http://en.wikipedia.org/wiki/User:74.193.109.22")</f>
        <v>http://en.wikipedia.org/wiki/User:74.193.109.22</v>
      </c>
      <c r="AF51" s="80" t="s">
        <v>687</v>
      </c>
      <c r="AG51" s="80"/>
      <c r="AH51" s="80"/>
      <c r="AI51" s="80">
        <v>0</v>
      </c>
      <c r="AJ51" s="80">
        <v>1</v>
      </c>
      <c r="AK51" s="80"/>
      <c r="AL51" s="80" t="str">
        <f>REPLACE(INDEX(GroupVertices[Group],MATCH(Vertices[[#This Row],[Vertex]],GroupVertices[Vertex],0)),1,1,"")</f>
        <v>2</v>
      </c>
      <c r="AM51" s="49">
        <v>1</v>
      </c>
      <c r="AN51" s="50">
        <v>11.11111111111111</v>
      </c>
      <c r="AO51" s="49">
        <v>1</v>
      </c>
      <c r="AP51" s="50">
        <v>11.11111111111111</v>
      </c>
      <c r="AQ51" s="49">
        <v>0</v>
      </c>
      <c r="AR51" s="50">
        <v>0</v>
      </c>
      <c r="AS51" s="49">
        <v>7</v>
      </c>
      <c r="AT51" s="50">
        <v>77.77777777777777</v>
      </c>
      <c r="AU51" s="49">
        <v>9</v>
      </c>
      <c r="AV51" s="109" t="s">
        <v>1108</v>
      </c>
      <c r="AW51" s="109" t="s">
        <v>1108</v>
      </c>
      <c r="AX51" s="109" t="s">
        <v>1222</v>
      </c>
      <c r="AY51" s="109" t="s">
        <v>1222</v>
      </c>
      <c r="AZ51" s="2"/>
      <c r="BA51" s="3"/>
      <c r="BB51" s="3"/>
      <c r="BC51" s="3"/>
      <c r="BD51" s="3"/>
    </row>
    <row r="52" spans="1:56" ht="15">
      <c r="A52" s="65" t="s">
        <v>374</v>
      </c>
      <c r="B52" s="66"/>
      <c r="C52" s="66"/>
      <c r="D52" s="67">
        <v>52.49809526655577</v>
      </c>
      <c r="E52" s="69"/>
      <c r="F52" s="66"/>
      <c r="G52" s="66"/>
      <c r="H52" s="70" t="s">
        <v>374</v>
      </c>
      <c r="I52" s="71"/>
      <c r="J52" s="71"/>
      <c r="K52" s="70" t="s">
        <v>374</v>
      </c>
      <c r="L52" s="74">
        <v>41.7259234918976</v>
      </c>
      <c r="M52" s="75">
        <v>6951.400390625</v>
      </c>
      <c r="N52" s="75">
        <v>9127.2099609375</v>
      </c>
      <c r="O52" s="76"/>
      <c r="P52" s="77"/>
      <c r="Q52" s="77"/>
      <c r="R52" s="82"/>
      <c r="S52" s="49">
        <v>1</v>
      </c>
      <c r="T52" s="49">
        <v>1</v>
      </c>
      <c r="U52" s="50">
        <v>12.11337</v>
      </c>
      <c r="V52" s="50">
        <v>0.002857</v>
      </c>
      <c r="W52" s="50">
        <v>0.004236</v>
      </c>
      <c r="X52" s="50">
        <v>0.510702</v>
      </c>
      <c r="Y52" s="50">
        <v>0</v>
      </c>
      <c r="Z52" s="50">
        <v>0</v>
      </c>
      <c r="AA52" s="72">
        <v>52</v>
      </c>
      <c r="AB52" s="72"/>
      <c r="AC52" s="73"/>
      <c r="AD52" s="80" t="s">
        <v>674</v>
      </c>
      <c r="AE52" s="96" t="str">
        <f>HYPERLINK("http://en.wikipedia.org/wiki/User:Walnutman83759")</f>
        <v>http://en.wikipedia.org/wiki/User:Walnutman83759</v>
      </c>
      <c r="AF52" s="80" t="s">
        <v>687</v>
      </c>
      <c r="AG52" s="80"/>
      <c r="AH52" s="80"/>
      <c r="AI52" s="80">
        <v>0</v>
      </c>
      <c r="AJ52" s="80">
        <v>1</v>
      </c>
      <c r="AK52" s="80"/>
      <c r="AL52" s="80" t="str">
        <f>REPLACE(INDEX(GroupVertices[Group],MATCH(Vertices[[#This Row],[Vertex]],GroupVertices[Vertex],0)),1,1,"")</f>
        <v>3</v>
      </c>
      <c r="AM52" s="49">
        <v>0</v>
      </c>
      <c r="AN52" s="50">
        <v>0</v>
      </c>
      <c r="AO52" s="49">
        <v>0</v>
      </c>
      <c r="AP52" s="50">
        <v>0</v>
      </c>
      <c r="AQ52" s="49">
        <v>0</v>
      </c>
      <c r="AR52" s="50">
        <v>0</v>
      </c>
      <c r="AS52" s="49">
        <v>2</v>
      </c>
      <c r="AT52" s="50">
        <v>100</v>
      </c>
      <c r="AU52" s="49">
        <v>2</v>
      </c>
      <c r="AV52" s="109" t="s">
        <v>1088</v>
      </c>
      <c r="AW52" s="109" t="s">
        <v>1088</v>
      </c>
      <c r="AX52" s="109" t="s">
        <v>1088</v>
      </c>
      <c r="AY52" s="109" t="s">
        <v>1088</v>
      </c>
      <c r="AZ52" s="2"/>
      <c r="BA52" s="3"/>
      <c r="BB52" s="3"/>
      <c r="BC52" s="3"/>
      <c r="BD52" s="3"/>
    </row>
    <row r="53" spans="1:56" ht="15">
      <c r="A53" s="65" t="s">
        <v>375</v>
      </c>
      <c r="B53" s="66"/>
      <c r="C53" s="66"/>
      <c r="D53" s="67">
        <v>53.2279071900557</v>
      </c>
      <c r="E53" s="69"/>
      <c r="F53" s="66"/>
      <c r="G53" s="66"/>
      <c r="H53" s="70" t="s">
        <v>375</v>
      </c>
      <c r="I53" s="71"/>
      <c r="J53" s="71"/>
      <c r="K53" s="70" t="s">
        <v>375</v>
      </c>
      <c r="L53" s="74">
        <v>53.62389430103809</v>
      </c>
      <c r="M53" s="75">
        <v>6679.615234375</v>
      </c>
      <c r="N53" s="75">
        <v>6530.05419921875</v>
      </c>
      <c r="O53" s="76"/>
      <c r="P53" s="77"/>
      <c r="Q53" s="77"/>
      <c r="R53" s="82"/>
      <c r="S53" s="49">
        <v>1</v>
      </c>
      <c r="T53" s="49">
        <v>1</v>
      </c>
      <c r="U53" s="50">
        <v>15.652259</v>
      </c>
      <c r="V53" s="50">
        <v>0.002915</v>
      </c>
      <c r="W53" s="50">
        <v>0.004045</v>
      </c>
      <c r="X53" s="50">
        <v>0.514612</v>
      </c>
      <c r="Y53" s="50">
        <v>0</v>
      </c>
      <c r="Z53" s="50">
        <v>0</v>
      </c>
      <c r="AA53" s="72">
        <v>53</v>
      </c>
      <c r="AB53" s="72"/>
      <c r="AC53" s="73"/>
      <c r="AD53" s="80" t="s">
        <v>674</v>
      </c>
      <c r="AE53" s="96" t="str">
        <f>HYPERLINK("http://en.wikipedia.org/wiki/User:JBW")</f>
        <v>http://en.wikipedia.org/wiki/User:JBW</v>
      </c>
      <c r="AF53" s="80" t="s">
        <v>687</v>
      </c>
      <c r="AG53" s="80"/>
      <c r="AH53" s="80"/>
      <c r="AI53" s="80">
        <v>0.1935816</v>
      </c>
      <c r="AJ53" s="80">
        <v>500</v>
      </c>
      <c r="AK53" s="80"/>
      <c r="AL53" s="80" t="str">
        <f>REPLACE(INDEX(GroupVertices[Group],MATCH(Vertices[[#This Row],[Vertex]],GroupVertices[Vertex],0)),1,1,"")</f>
        <v>3</v>
      </c>
      <c r="AM53" s="49">
        <v>0</v>
      </c>
      <c r="AN53" s="50">
        <v>0</v>
      </c>
      <c r="AO53" s="49">
        <v>0</v>
      </c>
      <c r="AP53" s="50">
        <v>0</v>
      </c>
      <c r="AQ53" s="49">
        <v>0</v>
      </c>
      <c r="AR53" s="50">
        <v>0</v>
      </c>
      <c r="AS53" s="49">
        <v>16</v>
      </c>
      <c r="AT53" s="50">
        <v>100</v>
      </c>
      <c r="AU53" s="49">
        <v>16</v>
      </c>
      <c r="AV53" s="109" t="s">
        <v>1118</v>
      </c>
      <c r="AW53" s="109" t="s">
        <v>1118</v>
      </c>
      <c r="AX53" s="109" t="s">
        <v>1231</v>
      </c>
      <c r="AY53" s="109" t="s">
        <v>1231</v>
      </c>
      <c r="AZ53" s="2"/>
      <c r="BA53" s="3"/>
      <c r="BB53" s="3"/>
      <c r="BC53" s="3"/>
      <c r="BD53" s="3"/>
    </row>
    <row r="54" spans="1:56" ht="15">
      <c r="A54" s="65" t="s">
        <v>377</v>
      </c>
      <c r="B54" s="66"/>
      <c r="C54" s="66"/>
      <c r="D54" s="67">
        <v>140.6453767378029</v>
      </c>
      <c r="E54" s="69"/>
      <c r="F54" s="66"/>
      <c r="G54" s="66"/>
      <c r="H54" s="70" t="s">
        <v>377</v>
      </c>
      <c r="I54" s="71"/>
      <c r="J54" s="71"/>
      <c r="K54" s="70" t="s">
        <v>377</v>
      </c>
      <c r="L54" s="74">
        <v>1478.7725763068186</v>
      </c>
      <c r="M54" s="75">
        <v>8404.6904296875</v>
      </c>
      <c r="N54" s="75">
        <v>5748.69091796875</v>
      </c>
      <c r="O54" s="76"/>
      <c r="P54" s="77"/>
      <c r="Q54" s="77"/>
      <c r="R54" s="82"/>
      <c r="S54" s="49">
        <v>7</v>
      </c>
      <c r="T54" s="49">
        <v>6</v>
      </c>
      <c r="U54" s="50">
        <v>439.54328</v>
      </c>
      <c r="V54" s="50">
        <v>0.003448</v>
      </c>
      <c r="W54" s="50">
        <v>0.019106</v>
      </c>
      <c r="X54" s="50">
        <v>2.048586</v>
      </c>
      <c r="Y54" s="50">
        <v>0.11363636363636363</v>
      </c>
      <c r="Z54" s="50">
        <v>0.08333333333333333</v>
      </c>
      <c r="AA54" s="72">
        <v>54</v>
      </c>
      <c r="AB54" s="72"/>
      <c r="AC54" s="73"/>
      <c r="AD54" s="80" t="s">
        <v>674</v>
      </c>
      <c r="AE54" s="96" t="str">
        <f>HYPERLINK("http://en.wikipedia.org/wiki/User:ValarianB")</f>
        <v>http://en.wikipedia.org/wiki/User:ValarianB</v>
      </c>
      <c r="AF54" s="80" t="s">
        <v>687</v>
      </c>
      <c r="AG54" s="80"/>
      <c r="AH54" s="80"/>
      <c r="AI54" s="80">
        <v>0.5553558</v>
      </c>
      <c r="AJ54" s="80">
        <v>500</v>
      </c>
      <c r="AK54" s="80"/>
      <c r="AL54" s="80" t="str">
        <f>REPLACE(INDEX(GroupVertices[Group],MATCH(Vertices[[#This Row],[Vertex]],GroupVertices[Vertex],0)),1,1,"")</f>
        <v>4</v>
      </c>
      <c r="AM54" s="49">
        <v>0</v>
      </c>
      <c r="AN54" s="50">
        <v>0</v>
      </c>
      <c r="AO54" s="49">
        <v>3</v>
      </c>
      <c r="AP54" s="50">
        <v>10.714285714285714</v>
      </c>
      <c r="AQ54" s="49">
        <v>0</v>
      </c>
      <c r="AR54" s="50">
        <v>0</v>
      </c>
      <c r="AS54" s="49">
        <v>25</v>
      </c>
      <c r="AT54" s="50">
        <v>89.28571428571429</v>
      </c>
      <c r="AU54" s="49">
        <v>28</v>
      </c>
      <c r="AV54" s="109" t="s">
        <v>1119</v>
      </c>
      <c r="AW54" s="109" t="s">
        <v>1181</v>
      </c>
      <c r="AX54" s="109" t="s">
        <v>1232</v>
      </c>
      <c r="AY54" s="109" t="s">
        <v>1232</v>
      </c>
      <c r="AZ54" s="2"/>
      <c r="BA54" s="3"/>
      <c r="BB54" s="3"/>
      <c r="BC54" s="3"/>
      <c r="BD54" s="3"/>
    </row>
    <row r="55" spans="1:56" ht="15">
      <c r="A55" s="65" t="s">
        <v>378</v>
      </c>
      <c r="B55" s="66"/>
      <c r="C55" s="66"/>
      <c r="D55" s="67">
        <v>50</v>
      </c>
      <c r="E55" s="69"/>
      <c r="F55" s="66"/>
      <c r="G55" s="66"/>
      <c r="H55" s="70" t="s">
        <v>378</v>
      </c>
      <c r="I55" s="71"/>
      <c r="J55" s="71"/>
      <c r="K55" s="70" t="s">
        <v>378</v>
      </c>
      <c r="L55" s="74">
        <v>1</v>
      </c>
      <c r="M55" s="75">
        <v>4488.0380859375</v>
      </c>
      <c r="N55" s="75">
        <v>7317.814453125</v>
      </c>
      <c r="O55" s="76"/>
      <c r="P55" s="77"/>
      <c r="Q55" s="77"/>
      <c r="R55" s="82"/>
      <c r="S55" s="49">
        <v>2</v>
      </c>
      <c r="T55" s="49">
        <v>2</v>
      </c>
      <c r="U55" s="50">
        <v>0</v>
      </c>
      <c r="V55" s="50">
        <v>0.003086</v>
      </c>
      <c r="W55" s="50">
        <v>0.007671</v>
      </c>
      <c r="X55" s="50">
        <v>0.607153</v>
      </c>
      <c r="Y55" s="50">
        <v>0.5</v>
      </c>
      <c r="Z55" s="50">
        <v>0</v>
      </c>
      <c r="AA55" s="72">
        <v>55</v>
      </c>
      <c r="AB55" s="72"/>
      <c r="AC55" s="73"/>
      <c r="AD55" s="80" t="s">
        <v>674</v>
      </c>
      <c r="AE55" s="96" t="str">
        <f>HYPERLINK("http://en.wikipedia.org/wiki/User:Starship.paint")</f>
        <v>http://en.wikipedia.org/wiki/User:Starship.paint</v>
      </c>
      <c r="AF55" s="80" t="s">
        <v>687</v>
      </c>
      <c r="AG55" s="80"/>
      <c r="AH55" s="80"/>
      <c r="AI55" s="80">
        <v>0.5857528</v>
      </c>
      <c r="AJ55" s="80">
        <v>500</v>
      </c>
      <c r="AK55" s="80"/>
      <c r="AL55" s="80" t="str">
        <f>REPLACE(INDEX(GroupVertices[Group],MATCH(Vertices[[#This Row],[Vertex]],GroupVertices[Vertex],0)),1,1,"")</f>
        <v>3</v>
      </c>
      <c r="AM55" s="49">
        <v>1</v>
      </c>
      <c r="AN55" s="50">
        <v>12.5</v>
      </c>
      <c r="AO55" s="49">
        <v>2</v>
      </c>
      <c r="AP55" s="50">
        <v>25</v>
      </c>
      <c r="AQ55" s="49">
        <v>0</v>
      </c>
      <c r="AR55" s="50">
        <v>0</v>
      </c>
      <c r="AS55" s="49">
        <v>5</v>
      </c>
      <c r="AT55" s="50">
        <v>62.5</v>
      </c>
      <c r="AU55" s="49">
        <v>8</v>
      </c>
      <c r="AV55" s="109" t="s">
        <v>1120</v>
      </c>
      <c r="AW55" s="109" t="s">
        <v>1120</v>
      </c>
      <c r="AX55" s="109" t="s">
        <v>1233</v>
      </c>
      <c r="AY55" s="109" t="s">
        <v>1233</v>
      </c>
      <c r="AZ55" s="2"/>
      <c r="BA55" s="3"/>
      <c r="BB55" s="3"/>
      <c r="BC55" s="3"/>
      <c r="BD55" s="3"/>
    </row>
    <row r="56" spans="1:56" ht="15">
      <c r="A56" s="65" t="s">
        <v>379</v>
      </c>
      <c r="B56" s="66"/>
      <c r="C56" s="66"/>
      <c r="D56" s="67">
        <v>200</v>
      </c>
      <c r="E56" s="69"/>
      <c r="F56" s="66"/>
      <c r="G56" s="66"/>
      <c r="H56" s="70" t="s">
        <v>379</v>
      </c>
      <c r="I56" s="71"/>
      <c r="J56" s="71"/>
      <c r="K56" s="70" t="s">
        <v>379</v>
      </c>
      <c r="L56" s="74">
        <v>3034.770097429359</v>
      </c>
      <c r="M56" s="75">
        <v>2448.223388671875</v>
      </c>
      <c r="N56" s="75">
        <v>6440.49658203125</v>
      </c>
      <c r="O56" s="76"/>
      <c r="P56" s="77"/>
      <c r="Q56" s="77"/>
      <c r="R56" s="82"/>
      <c r="S56" s="49">
        <v>10</v>
      </c>
      <c r="T56" s="49">
        <v>10</v>
      </c>
      <c r="U56" s="50">
        <v>902.353502</v>
      </c>
      <c r="V56" s="50">
        <v>0.003968</v>
      </c>
      <c r="W56" s="50">
        <v>0.034109</v>
      </c>
      <c r="X56" s="50">
        <v>2.862695</v>
      </c>
      <c r="Y56" s="50">
        <v>0.12083333333333333</v>
      </c>
      <c r="Z56" s="50">
        <v>0.125</v>
      </c>
      <c r="AA56" s="72">
        <v>56</v>
      </c>
      <c r="AB56" s="72"/>
      <c r="AC56" s="73"/>
      <c r="AD56" s="80" t="s">
        <v>674</v>
      </c>
      <c r="AE56" s="96" t="str">
        <f>HYPERLINK("http://en.wikipedia.org/wiki/User:Mgasparin")</f>
        <v>http://en.wikipedia.org/wiki/User:Mgasparin</v>
      </c>
      <c r="AF56" s="80" t="s">
        <v>687</v>
      </c>
      <c r="AG56" s="80"/>
      <c r="AH56" s="80"/>
      <c r="AI56" s="80">
        <v>0.5243793</v>
      </c>
      <c r="AJ56" s="80">
        <v>500</v>
      </c>
      <c r="AK56" s="80"/>
      <c r="AL56" s="80" t="str">
        <f>REPLACE(INDEX(GroupVertices[Group],MATCH(Vertices[[#This Row],[Vertex]],GroupVertices[Vertex],0)),1,1,"")</f>
        <v>1</v>
      </c>
      <c r="AM56" s="49">
        <v>2</v>
      </c>
      <c r="AN56" s="50">
        <v>0.966183574879227</v>
      </c>
      <c r="AO56" s="49">
        <v>0</v>
      </c>
      <c r="AP56" s="50">
        <v>0</v>
      </c>
      <c r="AQ56" s="49">
        <v>0</v>
      </c>
      <c r="AR56" s="50">
        <v>0</v>
      </c>
      <c r="AS56" s="49">
        <v>205</v>
      </c>
      <c r="AT56" s="50">
        <v>99.03381642512078</v>
      </c>
      <c r="AU56" s="49">
        <v>207</v>
      </c>
      <c r="AV56" s="109" t="s">
        <v>1121</v>
      </c>
      <c r="AW56" s="109" t="s">
        <v>1182</v>
      </c>
      <c r="AX56" s="109" t="s">
        <v>1234</v>
      </c>
      <c r="AY56" s="109" t="s">
        <v>1290</v>
      </c>
      <c r="AZ56" s="2"/>
      <c r="BA56" s="3"/>
      <c r="BB56" s="3"/>
      <c r="BC56" s="3"/>
      <c r="BD56" s="3"/>
    </row>
    <row r="57" spans="1:56" ht="15">
      <c r="A57" s="65" t="s">
        <v>380</v>
      </c>
      <c r="B57" s="66"/>
      <c r="C57" s="66"/>
      <c r="D57" s="67">
        <v>55.84535509284219</v>
      </c>
      <c r="E57" s="69"/>
      <c r="F57" s="66"/>
      <c r="G57" s="66"/>
      <c r="H57" s="70" t="s">
        <v>380</v>
      </c>
      <c r="I57" s="71"/>
      <c r="J57" s="71"/>
      <c r="K57" s="70" t="s">
        <v>380</v>
      </c>
      <c r="L57" s="74">
        <v>96.2955988032773</v>
      </c>
      <c r="M57" s="75">
        <v>284.2177734375</v>
      </c>
      <c r="N57" s="75">
        <v>3012.4443359375</v>
      </c>
      <c r="O57" s="76"/>
      <c r="P57" s="77"/>
      <c r="Q57" s="77"/>
      <c r="R57" s="82"/>
      <c r="S57" s="49">
        <v>1</v>
      </c>
      <c r="T57" s="49">
        <v>1</v>
      </c>
      <c r="U57" s="50">
        <v>28.344375</v>
      </c>
      <c r="V57" s="50">
        <v>0.003165</v>
      </c>
      <c r="W57" s="50">
        <v>0.005058</v>
      </c>
      <c r="X57" s="50">
        <v>0.470181</v>
      </c>
      <c r="Y57" s="50">
        <v>0</v>
      </c>
      <c r="Z57" s="50">
        <v>0</v>
      </c>
      <c r="AA57" s="72">
        <v>57</v>
      </c>
      <c r="AB57" s="72"/>
      <c r="AC57" s="73"/>
      <c r="AD57" s="80" t="s">
        <v>674</v>
      </c>
      <c r="AE57" s="80" t="s">
        <v>680</v>
      </c>
      <c r="AF57" s="80" t="s">
        <v>687</v>
      </c>
      <c r="AG57" s="80"/>
      <c r="AH57" s="80"/>
      <c r="AI57" s="80">
        <v>0</v>
      </c>
      <c r="AJ57" s="80">
        <v>2</v>
      </c>
      <c r="AK57" s="80"/>
      <c r="AL57" s="80" t="str">
        <f>REPLACE(INDEX(GroupVertices[Group],MATCH(Vertices[[#This Row],[Vertex]],GroupVertices[Vertex],0)),1,1,"")</f>
        <v>2</v>
      </c>
      <c r="AM57" s="49">
        <v>1</v>
      </c>
      <c r="AN57" s="50">
        <v>14.285714285714286</v>
      </c>
      <c r="AO57" s="49">
        <v>0</v>
      </c>
      <c r="AP57" s="50">
        <v>0</v>
      </c>
      <c r="AQ57" s="49">
        <v>0</v>
      </c>
      <c r="AR57" s="50">
        <v>0</v>
      </c>
      <c r="AS57" s="49">
        <v>6</v>
      </c>
      <c r="AT57" s="50">
        <v>85.71428571428571</v>
      </c>
      <c r="AU57" s="49">
        <v>7</v>
      </c>
      <c r="AV57" s="109" t="s">
        <v>1114</v>
      </c>
      <c r="AW57" s="109" t="s">
        <v>1114</v>
      </c>
      <c r="AX57" s="109" t="s">
        <v>1228</v>
      </c>
      <c r="AY57" s="109" t="s">
        <v>1228</v>
      </c>
      <c r="AZ57" s="2"/>
      <c r="BA57" s="3"/>
      <c r="BB57" s="3"/>
      <c r="BC57" s="3"/>
      <c r="BD57" s="3"/>
    </row>
    <row r="58" spans="1:56" ht="15">
      <c r="A58" s="65" t="s">
        <v>381</v>
      </c>
      <c r="B58" s="66"/>
      <c r="C58" s="66"/>
      <c r="D58" s="67">
        <v>117.28010326569382</v>
      </c>
      <c r="E58" s="69"/>
      <c r="F58" s="66"/>
      <c r="G58" s="66"/>
      <c r="H58" s="70" t="s">
        <v>381</v>
      </c>
      <c r="I58" s="71"/>
      <c r="J58" s="71"/>
      <c r="K58" s="70" t="s">
        <v>381</v>
      </c>
      <c r="L58" s="74">
        <v>1097.8534206077047</v>
      </c>
      <c r="M58" s="75">
        <v>3493.885498046875</v>
      </c>
      <c r="N58" s="75">
        <v>7865.05908203125</v>
      </c>
      <c r="O58" s="76"/>
      <c r="P58" s="77"/>
      <c r="Q58" s="77"/>
      <c r="R58" s="82"/>
      <c r="S58" s="49">
        <v>5</v>
      </c>
      <c r="T58" s="49">
        <v>5</v>
      </c>
      <c r="U58" s="50">
        <v>326.244077</v>
      </c>
      <c r="V58" s="50">
        <v>0.003704</v>
      </c>
      <c r="W58" s="50">
        <v>0.018098</v>
      </c>
      <c r="X58" s="50">
        <v>1.581786</v>
      </c>
      <c r="Y58" s="50">
        <v>0.17857142857142858</v>
      </c>
      <c r="Z58" s="50">
        <v>0</v>
      </c>
      <c r="AA58" s="72">
        <v>58</v>
      </c>
      <c r="AB58" s="72"/>
      <c r="AC58" s="73"/>
      <c r="AD58" s="80" t="s">
        <v>674</v>
      </c>
      <c r="AE58" s="96" t="str">
        <f>HYPERLINK("http://en.wikipedia.org/wiki/User:ONUnicorn")</f>
        <v>http://en.wikipedia.org/wiki/User:ONUnicorn</v>
      </c>
      <c r="AF58" s="80" t="s">
        <v>687</v>
      </c>
      <c r="AG58" s="80"/>
      <c r="AH58" s="80"/>
      <c r="AI58" s="80">
        <v>0.5085334</v>
      </c>
      <c r="AJ58" s="80">
        <v>500</v>
      </c>
      <c r="AK58" s="80"/>
      <c r="AL58" s="80" t="str">
        <f>REPLACE(INDEX(GroupVertices[Group],MATCH(Vertices[[#This Row],[Vertex]],GroupVertices[Vertex],0)),1,1,"")</f>
        <v>1</v>
      </c>
      <c r="AM58" s="49">
        <v>3</v>
      </c>
      <c r="AN58" s="50">
        <v>4.285714285714286</v>
      </c>
      <c r="AO58" s="49">
        <v>5</v>
      </c>
      <c r="AP58" s="50">
        <v>7.142857142857143</v>
      </c>
      <c r="AQ58" s="49">
        <v>0</v>
      </c>
      <c r="AR58" s="50">
        <v>0</v>
      </c>
      <c r="AS58" s="49">
        <v>62</v>
      </c>
      <c r="AT58" s="50">
        <v>88.57142857142857</v>
      </c>
      <c r="AU58" s="49">
        <v>70</v>
      </c>
      <c r="AV58" s="109" t="s">
        <v>1122</v>
      </c>
      <c r="AW58" s="109" t="s">
        <v>1183</v>
      </c>
      <c r="AX58" s="109" t="s">
        <v>1235</v>
      </c>
      <c r="AY58" s="109" t="s">
        <v>1235</v>
      </c>
      <c r="AZ58" s="2"/>
      <c r="BA58" s="3"/>
      <c r="BB58" s="3"/>
      <c r="BC58" s="3"/>
      <c r="BD58" s="3"/>
    </row>
    <row r="59" spans="1:56" ht="15">
      <c r="A59" s="65" t="s">
        <v>382</v>
      </c>
      <c r="B59" s="66"/>
      <c r="C59" s="66"/>
      <c r="D59" s="67">
        <v>55.314670318525344</v>
      </c>
      <c r="E59" s="69"/>
      <c r="F59" s="66"/>
      <c r="G59" s="66"/>
      <c r="H59" s="70" t="s">
        <v>382</v>
      </c>
      <c r="I59" s="71"/>
      <c r="J59" s="71"/>
      <c r="K59" s="70" t="s">
        <v>382</v>
      </c>
      <c r="L59" s="74">
        <v>87.64395616718961</v>
      </c>
      <c r="M59" s="75">
        <v>1158.12841796875</v>
      </c>
      <c r="N59" s="75">
        <v>5341.05712890625</v>
      </c>
      <c r="O59" s="76"/>
      <c r="P59" s="77"/>
      <c r="Q59" s="77"/>
      <c r="R59" s="82"/>
      <c r="S59" s="49">
        <v>2</v>
      </c>
      <c r="T59" s="49">
        <v>1</v>
      </c>
      <c r="U59" s="50">
        <v>25.771062</v>
      </c>
      <c r="V59" s="50">
        <v>0.002825</v>
      </c>
      <c r="W59" s="50">
        <v>0.003296</v>
      </c>
      <c r="X59" s="50">
        <v>0.684295</v>
      </c>
      <c r="Y59" s="50">
        <v>0</v>
      </c>
      <c r="Z59" s="50">
        <v>0</v>
      </c>
      <c r="AA59" s="72">
        <v>59</v>
      </c>
      <c r="AB59" s="72"/>
      <c r="AC59" s="73"/>
      <c r="AD59" s="80" t="s">
        <v>674</v>
      </c>
      <c r="AE59" s="96" t="str">
        <f>HYPERLINK("http://en.wikipedia.org/wiki/User:Crboyer")</f>
        <v>http://en.wikipedia.org/wiki/User:Crboyer</v>
      </c>
      <c r="AF59" s="80" t="s">
        <v>687</v>
      </c>
      <c r="AG59" s="80"/>
      <c r="AH59" s="80"/>
      <c r="AI59" s="80">
        <v>0.3624858</v>
      </c>
      <c r="AJ59" s="80">
        <v>500</v>
      </c>
      <c r="AK59" s="80"/>
      <c r="AL59" s="80" t="str">
        <f>REPLACE(INDEX(GroupVertices[Group],MATCH(Vertices[[#This Row],[Vertex]],GroupVertices[Vertex],0)),1,1,"")</f>
        <v>1</v>
      </c>
      <c r="AM59" s="49">
        <v>1</v>
      </c>
      <c r="AN59" s="50">
        <v>5.555555555555555</v>
      </c>
      <c r="AO59" s="49">
        <v>0</v>
      </c>
      <c r="AP59" s="50">
        <v>0</v>
      </c>
      <c r="AQ59" s="49">
        <v>0</v>
      </c>
      <c r="AR59" s="50">
        <v>0</v>
      </c>
      <c r="AS59" s="49">
        <v>17</v>
      </c>
      <c r="AT59" s="50">
        <v>94.44444444444444</v>
      </c>
      <c r="AU59" s="49">
        <v>18</v>
      </c>
      <c r="AV59" s="109" t="s">
        <v>1123</v>
      </c>
      <c r="AW59" s="109" t="s">
        <v>1123</v>
      </c>
      <c r="AX59" s="109" t="s">
        <v>1236</v>
      </c>
      <c r="AY59" s="109" t="s">
        <v>1236</v>
      </c>
      <c r="AZ59" s="2"/>
      <c r="BA59" s="3"/>
      <c r="BB59" s="3"/>
      <c r="BC59" s="3"/>
      <c r="BD59" s="3"/>
    </row>
    <row r="60" spans="1:56" ht="15">
      <c r="A60" s="65" t="s">
        <v>383</v>
      </c>
      <c r="B60" s="66"/>
      <c r="C60" s="66"/>
      <c r="D60" s="67">
        <v>52.10399519042913</v>
      </c>
      <c r="E60" s="69"/>
      <c r="F60" s="66"/>
      <c r="G60" s="66"/>
      <c r="H60" s="70" t="s">
        <v>383</v>
      </c>
      <c r="I60" s="71"/>
      <c r="J60" s="71"/>
      <c r="K60" s="70" t="s">
        <v>383</v>
      </c>
      <c r="L60" s="74">
        <v>35.300992560174706</v>
      </c>
      <c r="M60" s="75">
        <v>1121.493896484375</v>
      </c>
      <c r="N60" s="75">
        <v>7459.00048828125</v>
      </c>
      <c r="O60" s="76"/>
      <c r="P60" s="77"/>
      <c r="Q60" s="77"/>
      <c r="R60" s="82"/>
      <c r="S60" s="49">
        <v>1</v>
      </c>
      <c r="T60" s="49">
        <v>1</v>
      </c>
      <c r="U60" s="50">
        <v>10.202362</v>
      </c>
      <c r="V60" s="50">
        <v>0.002747</v>
      </c>
      <c r="W60" s="50">
        <v>0.002752</v>
      </c>
      <c r="X60" s="50">
        <v>0.4995</v>
      </c>
      <c r="Y60" s="50">
        <v>0</v>
      </c>
      <c r="Z60" s="50">
        <v>0</v>
      </c>
      <c r="AA60" s="72">
        <v>60</v>
      </c>
      <c r="AB60" s="72"/>
      <c r="AC60" s="73"/>
      <c r="AD60" s="80" t="s">
        <v>674</v>
      </c>
      <c r="AE60" s="96" t="str">
        <f>HYPERLINK("http://en.wikipedia.org/wiki/User:PearcyBoi")</f>
        <v>http://en.wikipedia.org/wiki/User:PearcyBoi</v>
      </c>
      <c r="AF60" s="80" t="s">
        <v>687</v>
      </c>
      <c r="AG60" s="80"/>
      <c r="AH60" s="80"/>
      <c r="AI60" s="80">
        <v>0</v>
      </c>
      <c r="AJ60" s="80">
        <v>1</v>
      </c>
      <c r="AK60" s="80"/>
      <c r="AL60" s="80" t="str">
        <f>REPLACE(INDEX(GroupVertices[Group],MATCH(Vertices[[#This Row],[Vertex]],GroupVertices[Vertex],0)),1,1,"")</f>
        <v>1</v>
      </c>
      <c r="AM60" s="49">
        <v>0</v>
      </c>
      <c r="AN60" s="50">
        <v>0</v>
      </c>
      <c r="AO60" s="49">
        <v>0</v>
      </c>
      <c r="AP60" s="50">
        <v>0</v>
      </c>
      <c r="AQ60" s="49">
        <v>0</v>
      </c>
      <c r="AR60" s="50">
        <v>0</v>
      </c>
      <c r="AS60" s="49">
        <v>11</v>
      </c>
      <c r="AT60" s="50">
        <v>100</v>
      </c>
      <c r="AU60" s="49">
        <v>11</v>
      </c>
      <c r="AV60" s="109" t="s">
        <v>1117</v>
      </c>
      <c r="AW60" s="109" t="s">
        <v>1117</v>
      </c>
      <c r="AX60" s="109" t="s">
        <v>1230</v>
      </c>
      <c r="AY60" s="109" t="s">
        <v>1230</v>
      </c>
      <c r="AZ60" s="2"/>
      <c r="BA60" s="3"/>
      <c r="BB60" s="3"/>
      <c r="BC60" s="3"/>
      <c r="BD60" s="3"/>
    </row>
    <row r="61" spans="1:56" ht="15">
      <c r="A61" s="65" t="s">
        <v>384</v>
      </c>
      <c r="B61" s="66"/>
      <c r="C61" s="66"/>
      <c r="D61" s="67">
        <v>50</v>
      </c>
      <c r="E61" s="69"/>
      <c r="F61" s="66"/>
      <c r="G61" s="66"/>
      <c r="H61" s="70" t="s">
        <v>384</v>
      </c>
      <c r="I61" s="71"/>
      <c r="J61" s="71"/>
      <c r="K61" s="70" t="s">
        <v>384</v>
      </c>
      <c r="L61" s="74">
        <v>1</v>
      </c>
      <c r="M61" s="75">
        <v>3797.5146484375</v>
      </c>
      <c r="N61" s="75">
        <v>3953.728759765625</v>
      </c>
      <c r="O61" s="76"/>
      <c r="P61" s="77"/>
      <c r="Q61" s="77"/>
      <c r="R61" s="82"/>
      <c r="S61" s="49">
        <v>1</v>
      </c>
      <c r="T61" s="49">
        <v>1</v>
      </c>
      <c r="U61" s="50">
        <v>0</v>
      </c>
      <c r="V61" s="50">
        <v>0.002717</v>
      </c>
      <c r="W61" s="50">
        <v>0.002452</v>
      </c>
      <c r="X61" s="50">
        <v>0.305616</v>
      </c>
      <c r="Y61" s="50">
        <v>0</v>
      </c>
      <c r="Z61" s="50">
        <v>1</v>
      </c>
      <c r="AA61" s="72">
        <v>61</v>
      </c>
      <c r="AB61" s="72"/>
      <c r="AC61" s="73"/>
      <c r="AD61" s="80" t="s">
        <v>674</v>
      </c>
      <c r="AE61" s="96" t="str">
        <f>HYPERLINK("http://en.wikipedia.org/wiki/User:Eehdbf")</f>
        <v>http://en.wikipedia.org/wiki/User:Eehdbf</v>
      </c>
      <c r="AF61" s="80" t="s">
        <v>687</v>
      </c>
      <c r="AG61" s="80"/>
      <c r="AH61" s="80"/>
      <c r="AI61" s="80">
        <v>0</v>
      </c>
      <c r="AJ61" s="80">
        <v>1</v>
      </c>
      <c r="AK61" s="80"/>
      <c r="AL61" s="80" t="str">
        <f>REPLACE(INDEX(GroupVertices[Group],MATCH(Vertices[[#This Row],[Vertex]],GroupVertices[Vertex],0)),1,1,"")</f>
        <v>2</v>
      </c>
      <c r="AM61" s="49">
        <v>0</v>
      </c>
      <c r="AN61" s="50">
        <v>0</v>
      </c>
      <c r="AO61" s="49">
        <v>0</v>
      </c>
      <c r="AP61" s="50">
        <v>0</v>
      </c>
      <c r="AQ61" s="49">
        <v>0</v>
      </c>
      <c r="AR61" s="50">
        <v>0</v>
      </c>
      <c r="AS61" s="49">
        <v>11</v>
      </c>
      <c r="AT61" s="50">
        <v>100</v>
      </c>
      <c r="AU61" s="49">
        <v>11</v>
      </c>
      <c r="AV61" s="109" t="s">
        <v>1117</v>
      </c>
      <c r="AW61" s="109" t="s">
        <v>1117</v>
      </c>
      <c r="AX61" s="109" t="s">
        <v>1230</v>
      </c>
      <c r="AY61" s="109" t="s">
        <v>1230</v>
      </c>
      <c r="AZ61" s="2"/>
      <c r="BA61" s="3"/>
      <c r="BB61" s="3"/>
      <c r="BC61" s="3"/>
      <c r="BD61" s="3"/>
    </row>
    <row r="62" spans="1:56" ht="15">
      <c r="A62" s="65" t="s">
        <v>385</v>
      </c>
      <c r="B62" s="66"/>
      <c r="C62" s="66"/>
      <c r="D62" s="67">
        <v>50</v>
      </c>
      <c r="E62" s="69"/>
      <c r="F62" s="66"/>
      <c r="G62" s="66"/>
      <c r="H62" s="70" t="s">
        <v>385</v>
      </c>
      <c r="I62" s="71"/>
      <c r="J62" s="71"/>
      <c r="K62" s="70" t="s">
        <v>385</v>
      </c>
      <c r="L62" s="74">
        <v>1</v>
      </c>
      <c r="M62" s="75">
        <v>2728.33935546875</v>
      </c>
      <c r="N62" s="75">
        <v>858.3233642578125</v>
      </c>
      <c r="O62" s="76"/>
      <c r="P62" s="77"/>
      <c r="Q62" s="77"/>
      <c r="R62" s="82"/>
      <c r="S62" s="49">
        <v>1</v>
      </c>
      <c r="T62" s="49">
        <v>1</v>
      </c>
      <c r="U62" s="50">
        <v>0</v>
      </c>
      <c r="V62" s="50">
        <v>0.002326</v>
      </c>
      <c r="W62" s="50">
        <v>0.000947</v>
      </c>
      <c r="X62" s="50">
        <v>0.328134</v>
      </c>
      <c r="Y62" s="50">
        <v>0</v>
      </c>
      <c r="Z62" s="50">
        <v>1</v>
      </c>
      <c r="AA62" s="72">
        <v>62</v>
      </c>
      <c r="AB62" s="72"/>
      <c r="AC62" s="73"/>
      <c r="AD62" s="80" t="s">
        <v>674</v>
      </c>
      <c r="AE62" s="80" t="s">
        <v>681</v>
      </c>
      <c r="AF62" s="80" t="s">
        <v>687</v>
      </c>
      <c r="AG62" s="80"/>
      <c r="AH62" s="80"/>
      <c r="AI62" s="80">
        <v>0.02530599</v>
      </c>
      <c r="AJ62" s="80">
        <v>500</v>
      </c>
      <c r="AK62" s="80"/>
      <c r="AL62" s="80" t="str">
        <f>REPLACE(INDEX(GroupVertices[Group],MATCH(Vertices[[#This Row],[Vertex]],GroupVertices[Vertex],0)),1,1,"")</f>
        <v>2</v>
      </c>
      <c r="AM62" s="49">
        <v>0</v>
      </c>
      <c r="AN62" s="50">
        <v>0</v>
      </c>
      <c r="AO62" s="49">
        <v>0</v>
      </c>
      <c r="AP62" s="50">
        <v>0</v>
      </c>
      <c r="AQ62" s="49">
        <v>0</v>
      </c>
      <c r="AR62" s="50">
        <v>0</v>
      </c>
      <c r="AS62" s="49">
        <v>16</v>
      </c>
      <c r="AT62" s="50">
        <v>100</v>
      </c>
      <c r="AU62" s="49">
        <v>16</v>
      </c>
      <c r="AV62" s="109" t="s">
        <v>1124</v>
      </c>
      <c r="AW62" s="109" t="s">
        <v>1124</v>
      </c>
      <c r="AX62" s="109" t="s">
        <v>1237</v>
      </c>
      <c r="AY62" s="109" t="s">
        <v>1237</v>
      </c>
      <c r="AZ62" s="2"/>
      <c r="BA62" s="3"/>
      <c r="BB62" s="3"/>
      <c r="BC62" s="3"/>
      <c r="BD62" s="3"/>
    </row>
    <row r="63" spans="1:56" ht="15">
      <c r="A63" s="65" t="s">
        <v>386</v>
      </c>
      <c r="B63" s="66"/>
      <c r="C63" s="66"/>
      <c r="D63" s="67">
        <v>97.019592464749</v>
      </c>
      <c r="E63" s="69"/>
      <c r="F63" s="66"/>
      <c r="G63" s="66"/>
      <c r="H63" s="70" t="s">
        <v>386</v>
      </c>
      <c r="I63" s="71"/>
      <c r="J63" s="71"/>
      <c r="K63" s="70" t="s">
        <v>386</v>
      </c>
      <c r="L63" s="74">
        <v>767.5505599311055</v>
      </c>
      <c r="M63" s="75">
        <v>877.0993041992188</v>
      </c>
      <c r="N63" s="75">
        <v>1358.9185791015625</v>
      </c>
      <c r="O63" s="76"/>
      <c r="P63" s="77"/>
      <c r="Q63" s="77"/>
      <c r="R63" s="82"/>
      <c r="S63" s="49">
        <v>3</v>
      </c>
      <c r="T63" s="49">
        <v>4</v>
      </c>
      <c r="U63" s="50">
        <v>228</v>
      </c>
      <c r="V63" s="50">
        <v>0.003165</v>
      </c>
      <c r="W63" s="50">
        <v>0.010408</v>
      </c>
      <c r="X63" s="50">
        <v>1.047851</v>
      </c>
      <c r="Y63" s="50">
        <v>0.5</v>
      </c>
      <c r="Z63" s="50">
        <v>0.25</v>
      </c>
      <c r="AA63" s="72">
        <v>63</v>
      </c>
      <c r="AB63" s="72"/>
      <c r="AC63" s="73"/>
      <c r="AD63" s="80" t="s">
        <v>674</v>
      </c>
      <c r="AE63" s="96" t="str">
        <f>HYPERLINK("http://en.wikipedia.org/wiki/User:Thanoscar21")</f>
        <v>http://en.wikipedia.org/wiki/User:Thanoscar21</v>
      </c>
      <c r="AF63" s="80" t="s">
        <v>687</v>
      </c>
      <c r="AG63" s="80"/>
      <c r="AH63" s="80"/>
      <c r="AI63" s="80">
        <v>0.492923</v>
      </c>
      <c r="AJ63" s="80">
        <v>500</v>
      </c>
      <c r="AK63" s="80"/>
      <c r="AL63" s="80" t="str">
        <f>REPLACE(INDEX(GroupVertices[Group],MATCH(Vertices[[#This Row],[Vertex]],GroupVertices[Vertex],0)),1,1,"")</f>
        <v>2</v>
      </c>
      <c r="AM63" s="49">
        <v>0</v>
      </c>
      <c r="AN63" s="50">
        <v>0</v>
      </c>
      <c r="AO63" s="49">
        <v>0</v>
      </c>
      <c r="AP63" s="50">
        <v>0</v>
      </c>
      <c r="AQ63" s="49">
        <v>0</v>
      </c>
      <c r="AR63" s="50">
        <v>0</v>
      </c>
      <c r="AS63" s="49">
        <v>44</v>
      </c>
      <c r="AT63" s="50">
        <v>100</v>
      </c>
      <c r="AU63" s="49">
        <v>44</v>
      </c>
      <c r="AV63" s="109" t="s">
        <v>1125</v>
      </c>
      <c r="AW63" s="109" t="s">
        <v>1125</v>
      </c>
      <c r="AX63" s="109" t="s">
        <v>1238</v>
      </c>
      <c r="AY63" s="109" t="s">
        <v>1238</v>
      </c>
      <c r="AZ63" s="2"/>
      <c r="BA63" s="3"/>
      <c r="BB63" s="3"/>
      <c r="BC63" s="3"/>
      <c r="BD63" s="3"/>
    </row>
    <row r="64" spans="1:56" ht="15">
      <c r="A64" s="65" t="s">
        <v>387</v>
      </c>
      <c r="B64" s="66"/>
      <c r="C64" s="66"/>
      <c r="D64" s="67">
        <v>116.88328883923376</v>
      </c>
      <c r="E64" s="69"/>
      <c r="F64" s="66"/>
      <c r="G64" s="66"/>
      <c r="H64" s="70" t="s">
        <v>387</v>
      </c>
      <c r="I64" s="71"/>
      <c r="J64" s="71"/>
      <c r="K64" s="70" t="s">
        <v>387</v>
      </c>
      <c r="L64" s="74">
        <v>1091.384238191465</v>
      </c>
      <c r="M64" s="75">
        <v>7101.1943359375</v>
      </c>
      <c r="N64" s="75">
        <v>1209.69189453125</v>
      </c>
      <c r="O64" s="76"/>
      <c r="P64" s="77"/>
      <c r="Q64" s="77"/>
      <c r="R64" s="82"/>
      <c r="S64" s="49">
        <v>1</v>
      </c>
      <c r="T64" s="49">
        <v>1</v>
      </c>
      <c r="U64" s="50">
        <v>324.319907</v>
      </c>
      <c r="V64" s="50">
        <v>0.00295</v>
      </c>
      <c r="W64" s="50">
        <v>0.003691</v>
      </c>
      <c r="X64" s="50">
        <v>0.596188</v>
      </c>
      <c r="Y64" s="50">
        <v>0</v>
      </c>
      <c r="Z64" s="50">
        <v>0</v>
      </c>
      <c r="AA64" s="72">
        <v>64</v>
      </c>
      <c r="AB64" s="72"/>
      <c r="AC64" s="73"/>
      <c r="AD64" s="80" t="s">
        <v>674</v>
      </c>
      <c r="AE64" s="96" t="str">
        <f>HYPERLINK("http://en.wikipedia.org/wiki/User:Soibangla")</f>
        <v>http://en.wikipedia.org/wiki/User:Soibangla</v>
      </c>
      <c r="AF64" s="80" t="s">
        <v>687</v>
      </c>
      <c r="AG64" s="80"/>
      <c r="AH64" s="80"/>
      <c r="AI64" s="80">
        <v>0.511246</v>
      </c>
      <c r="AJ64" s="80">
        <v>500</v>
      </c>
      <c r="AK64" s="80"/>
      <c r="AL64" s="80" t="str">
        <f>REPLACE(INDEX(GroupVertices[Group],MATCH(Vertices[[#This Row],[Vertex]],GroupVertices[Vertex],0)),1,1,"")</f>
        <v>8</v>
      </c>
      <c r="AM64" s="49">
        <v>0</v>
      </c>
      <c r="AN64" s="50">
        <v>0</v>
      </c>
      <c r="AO64" s="49">
        <v>0</v>
      </c>
      <c r="AP64" s="50">
        <v>0</v>
      </c>
      <c r="AQ64" s="49">
        <v>0</v>
      </c>
      <c r="AR64" s="50">
        <v>0</v>
      </c>
      <c r="AS64" s="49">
        <v>6</v>
      </c>
      <c r="AT64" s="50">
        <v>100</v>
      </c>
      <c r="AU64" s="49">
        <v>6</v>
      </c>
      <c r="AV64" s="109" t="s">
        <v>1126</v>
      </c>
      <c r="AW64" s="109" t="s">
        <v>1126</v>
      </c>
      <c r="AX64" s="109" t="s">
        <v>1239</v>
      </c>
      <c r="AY64" s="109" t="s">
        <v>1239</v>
      </c>
      <c r="AZ64" s="2"/>
      <c r="BA64" s="3"/>
      <c r="BB64" s="3"/>
      <c r="BC64" s="3"/>
      <c r="BD64" s="3"/>
    </row>
    <row r="65" spans="1:56" ht="15">
      <c r="A65" s="65" t="s">
        <v>388</v>
      </c>
      <c r="B65" s="66"/>
      <c r="C65" s="66"/>
      <c r="D65" s="67">
        <v>72.2573840172937</v>
      </c>
      <c r="E65" s="69"/>
      <c r="F65" s="66"/>
      <c r="G65" s="66"/>
      <c r="H65" s="70" t="s">
        <v>388</v>
      </c>
      <c r="I65" s="71"/>
      <c r="J65" s="71"/>
      <c r="K65" s="70" t="s">
        <v>388</v>
      </c>
      <c r="L65" s="74">
        <v>363.8574661477387</v>
      </c>
      <c r="M65" s="75">
        <v>7735.21337890625</v>
      </c>
      <c r="N65" s="75">
        <v>191.09854125976562</v>
      </c>
      <c r="O65" s="76"/>
      <c r="P65" s="77"/>
      <c r="Q65" s="77"/>
      <c r="R65" s="82"/>
      <c r="S65" s="49">
        <v>1</v>
      </c>
      <c r="T65" s="49">
        <v>1</v>
      </c>
      <c r="U65" s="50">
        <v>107.927</v>
      </c>
      <c r="V65" s="50">
        <v>0.002237</v>
      </c>
      <c r="W65" s="50">
        <v>0.000343</v>
      </c>
      <c r="X65" s="50">
        <v>0.702645</v>
      </c>
      <c r="Y65" s="50">
        <v>0</v>
      </c>
      <c r="Z65" s="50">
        <v>0</v>
      </c>
      <c r="AA65" s="72">
        <v>65</v>
      </c>
      <c r="AB65" s="72"/>
      <c r="AC65" s="73"/>
      <c r="AD65" s="80" t="s">
        <v>674</v>
      </c>
      <c r="AE65" s="96" t="str">
        <f>HYPERLINK("http://en.wikipedia.org/wiki/User:194.223.61.176")</f>
        <v>http://en.wikipedia.org/wiki/User:194.223.61.176</v>
      </c>
      <c r="AF65" s="80" t="s">
        <v>687</v>
      </c>
      <c r="AG65" s="80"/>
      <c r="AH65" s="80"/>
      <c r="AI65" s="80">
        <v>0</v>
      </c>
      <c r="AJ65" s="80">
        <v>1</v>
      </c>
      <c r="AK65" s="80"/>
      <c r="AL65" s="80" t="str">
        <f>REPLACE(INDEX(GroupVertices[Group],MATCH(Vertices[[#This Row],[Vertex]],GroupVertices[Vertex],0)),1,1,"")</f>
        <v>8</v>
      </c>
      <c r="AM65" s="49">
        <v>0</v>
      </c>
      <c r="AN65" s="50">
        <v>0</v>
      </c>
      <c r="AO65" s="49">
        <v>0</v>
      </c>
      <c r="AP65" s="50">
        <v>0</v>
      </c>
      <c r="AQ65" s="49">
        <v>0</v>
      </c>
      <c r="AR65" s="50">
        <v>0</v>
      </c>
      <c r="AS65" s="49">
        <v>11</v>
      </c>
      <c r="AT65" s="50">
        <v>100</v>
      </c>
      <c r="AU65" s="49">
        <v>11</v>
      </c>
      <c r="AV65" s="109" t="s">
        <v>1127</v>
      </c>
      <c r="AW65" s="109" t="s">
        <v>1127</v>
      </c>
      <c r="AX65" s="109" t="s">
        <v>1240</v>
      </c>
      <c r="AY65" s="109" t="s">
        <v>1240</v>
      </c>
      <c r="AZ65" s="2"/>
      <c r="BA65" s="3"/>
      <c r="BB65" s="3"/>
      <c r="BC65" s="3"/>
      <c r="BD65" s="3"/>
    </row>
    <row r="66" spans="1:56" ht="15">
      <c r="A66" s="65" t="s">
        <v>389</v>
      </c>
      <c r="B66" s="66"/>
      <c r="C66" s="66"/>
      <c r="D66" s="67">
        <v>51.76419470077424</v>
      </c>
      <c r="E66" s="69"/>
      <c r="F66" s="66"/>
      <c r="G66" s="66"/>
      <c r="H66" s="70" t="s">
        <v>389</v>
      </c>
      <c r="I66" s="71"/>
      <c r="J66" s="71"/>
      <c r="K66" s="70" t="s">
        <v>389</v>
      </c>
      <c r="L66" s="74">
        <v>29.761296404681712</v>
      </c>
      <c r="M66" s="75">
        <v>8587.2431640625</v>
      </c>
      <c r="N66" s="75">
        <v>1834.48828125</v>
      </c>
      <c r="O66" s="76"/>
      <c r="P66" s="77"/>
      <c r="Q66" s="77"/>
      <c r="R66" s="82"/>
      <c r="S66" s="49">
        <v>1</v>
      </c>
      <c r="T66" s="49">
        <v>1</v>
      </c>
      <c r="U66" s="50">
        <v>8.554655</v>
      </c>
      <c r="V66" s="50">
        <v>0.001953</v>
      </c>
      <c r="W66" s="50">
        <v>8.2E-05</v>
      </c>
      <c r="X66" s="50">
        <v>0.704155</v>
      </c>
      <c r="Y66" s="50">
        <v>0</v>
      </c>
      <c r="Z66" s="50">
        <v>0</v>
      </c>
      <c r="AA66" s="72">
        <v>66</v>
      </c>
      <c r="AB66" s="72"/>
      <c r="AC66" s="73"/>
      <c r="AD66" s="80" t="s">
        <v>674</v>
      </c>
      <c r="AE66" s="96" t="str">
        <f>HYPERLINK("http://en.wikipedia.org/wiki/User:1234qwer1234qwer4")</f>
        <v>http://en.wikipedia.org/wiki/User:1234qwer1234qwer4</v>
      </c>
      <c r="AF66" s="80" t="s">
        <v>687</v>
      </c>
      <c r="AG66" s="80"/>
      <c r="AH66" s="80"/>
      <c r="AI66" s="80">
        <v>0.04644537</v>
      </c>
      <c r="AJ66" s="80">
        <v>500</v>
      </c>
      <c r="AK66" s="80"/>
      <c r="AL66" s="80" t="str">
        <f>REPLACE(INDEX(GroupVertices[Group],MATCH(Vertices[[#This Row],[Vertex]],GroupVertices[Vertex],0)),1,1,"")</f>
        <v>8</v>
      </c>
      <c r="AM66" s="49">
        <v>1</v>
      </c>
      <c r="AN66" s="50">
        <v>4.761904761904762</v>
      </c>
      <c r="AO66" s="49">
        <v>0</v>
      </c>
      <c r="AP66" s="50">
        <v>0</v>
      </c>
      <c r="AQ66" s="49">
        <v>0</v>
      </c>
      <c r="AR66" s="50">
        <v>0</v>
      </c>
      <c r="AS66" s="49">
        <v>20</v>
      </c>
      <c r="AT66" s="50">
        <v>95.23809523809524</v>
      </c>
      <c r="AU66" s="49">
        <v>21</v>
      </c>
      <c r="AV66" s="109" t="s">
        <v>1128</v>
      </c>
      <c r="AW66" s="109" t="s">
        <v>1128</v>
      </c>
      <c r="AX66" s="109" t="s">
        <v>1241</v>
      </c>
      <c r="AY66" s="109" t="s">
        <v>1241</v>
      </c>
      <c r="AZ66" s="2"/>
      <c r="BA66" s="3"/>
      <c r="BB66" s="3"/>
      <c r="BC66" s="3"/>
      <c r="BD66" s="3"/>
    </row>
    <row r="67" spans="1:56" ht="15">
      <c r="A67" s="65" t="s">
        <v>390</v>
      </c>
      <c r="B67" s="66"/>
      <c r="C67" s="66"/>
      <c r="D67" s="67">
        <v>75.73899387377055</v>
      </c>
      <c r="E67" s="69"/>
      <c r="F67" s="66"/>
      <c r="G67" s="66"/>
      <c r="H67" s="70" t="s">
        <v>390</v>
      </c>
      <c r="I67" s="71"/>
      <c r="J67" s="71"/>
      <c r="K67" s="70" t="s">
        <v>390</v>
      </c>
      <c r="L67" s="74">
        <v>420.61742183950327</v>
      </c>
      <c r="M67" s="75">
        <v>8451.2841796875</v>
      </c>
      <c r="N67" s="75">
        <v>873.1290893554688</v>
      </c>
      <c r="O67" s="76"/>
      <c r="P67" s="77"/>
      <c r="Q67" s="77"/>
      <c r="R67" s="82"/>
      <c r="S67" s="49">
        <v>2</v>
      </c>
      <c r="T67" s="49">
        <v>2</v>
      </c>
      <c r="U67" s="50">
        <v>124.809474</v>
      </c>
      <c r="V67" s="50">
        <v>0.002252</v>
      </c>
      <c r="W67" s="50">
        <v>0.000555</v>
      </c>
      <c r="X67" s="50">
        <v>0.901872</v>
      </c>
      <c r="Y67" s="50">
        <v>0</v>
      </c>
      <c r="Z67" s="50">
        <v>0</v>
      </c>
      <c r="AA67" s="72">
        <v>67</v>
      </c>
      <c r="AB67" s="72"/>
      <c r="AC67" s="73"/>
      <c r="AD67" s="80" t="s">
        <v>674</v>
      </c>
      <c r="AE67" s="96" t="str">
        <f>HYPERLINK("http://en.wikipedia.org/wiki/User:Shadybabs")</f>
        <v>http://en.wikipedia.org/wiki/User:Shadybabs</v>
      </c>
      <c r="AF67" s="80" t="s">
        <v>687</v>
      </c>
      <c r="AG67" s="80"/>
      <c r="AH67" s="80"/>
      <c r="AI67" s="80">
        <v>0.4054114</v>
      </c>
      <c r="AJ67" s="80">
        <v>426</v>
      </c>
      <c r="AK67" s="80"/>
      <c r="AL67" s="80" t="str">
        <f>REPLACE(INDEX(GroupVertices[Group],MATCH(Vertices[[#This Row],[Vertex]],GroupVertices[Vertex],0)),1,1,"")</f>
        <v>8</v>
      </c>
      <c r="AM67" s="49">
        <v>0</v>
      </c>
      <c r="AN67" s="50">
        <v>0</v>
      </c>
      <c r="AO67" s="49">
        <v>0</v>
      </c>
      <c r="AP67" s="50">
        <v>0</v>
      </c>
      <c r="AQ67" s="49">
        <v>0</v>
      </c>
      <c r="AR67" s="50">
        <v>0</v>
      </c>
      <c r="AS67" s="49">
        <v>34</v>
      </c>
      <c r="AT67" s="50">
        <v>100</v>
      </c>
      <c r="AU67" s="49">
        <v>34</v>
      </c>
      <c r="AV67" s="109" t="s">
        <v>1129</v>
      </c>
      <c r="AW67" s="109" t="s">
        <v>1129</v>
      </c>
      <c r="AX67" s="109" t="s">
        <v>1242</v>
      </c>
      <c r="AY67" s="109" t="s">
        <v>1242</v>
      </c>
      <c r="AZ67" s="2"/>
      <c r="BA67" s="3"/>
      <c r="BB67" s="3"/>
      <c r="BC67" s="3"/>
      <c r="BD67" s="3"/>
    </row>
    <row r="68" spans="1:56" ht="15">
      <c r="A68" s="65" t="s">
        <v>391</v>
      </c>
      <c r="B68" s="66"/>
      <c r="C68" s="66"/>
      <c r="D68" s="67">
        <v>120.46341546569096</v>
      </c>
      <c r="E68" s="69"/>
      <c r="F68" s="66"/>
      <c r="G68" s="66"/>
      <c r="H68" s="70" t="s">
        <v>391</v>
      </c>
      <c r="I68" s="71"/>
      <c r="J68" s="71"/>
      <c r="K68" s="70" t="s">
        <v>391</v>
      </c>
      <c r="L68" s="74">
        <v>1149.7502921336059</v>
      </c>
      <c r="M68" s="75">
        <v>7622.3974609375</v>
      </c>
      <c r="N68" s="75">
        <v>2600.900390625</v>
      </c>
      <c r="O68" s="76"/>
      <c r="P68" s="77"/>
      <c r="Q68" s="77"/>
      <c r="R68" s="82"/>
      <c r="S68" s="49">
        <v>2</v>
      </c>
      <c r="T68" s="49">
        <v>2</v>
      </c>
      <c r="U68" s="50">
        <v>341.680093</v>
      </c>
      <c r="V68" s="50">
        <v>0.002976</v>
      </c>
      <c r="W68" s="50">
        <v>0.005457</v>
      </c>
      <c r="X68" s="50">
        <v>0.695565</v>
      </c>
      <c r="Y68" s="50">
        <v>0.16666666666666666</v>
      </c>
      <c r="Z68" s="50">
        <v>0.3333333333333333</v>
      </c>
      <c r="AA68" s="72">
        <v>68</v>
      </c>
      <c r="AB68" s="72"/>
      <c r="AC68" s="73"/>
      <c r="AD68" s="80" t="s">
        <v>674</v>
      </c>
      <c r="AE68" s="96" t="str">
        <f>HYPERLINK("http://en.wikipedia.org/wiki/User:BigCheese76")</f>
        <v>http://en.wikipedia.org/wiki/User:BigCheese76</v>
      </c>
      <c r="AF68" s="80" t="s">
        <v>687</v>
      </c>
      <c r="AG68" s="80"/>
      <c r="AH68" s="80"/>
      <c r="AI68" s="80">
        <v>0.673781</v>
      </c>
      <c r="AJ68" s="80">
        <v>299</v>
      </c>
      <c r="AK68" s="80"/>
      <c r="AL68" s="80" t="str">
        <f>REPLACE(INDEX(GroupVertices[Group],MATCH(Vertices[[#This Row],[Vertex]],GroupVertices[Vertex],0)),1,1,"")</f>
        <v>8</v>
      </c>
      <c r="AM68" s="49">
        <v>2</v>
      </c>
      <c r="AN68" s="50">
        <v>13.333333333333334</v>
      </c>
      <c r="AO68" s="49">
        <v>1</v>
      </c>
      <c r="AP68" s="50">
        <v>6.666666666666667</v>
      </c>
      <c r="AQ68" s="49">
        <v>0</v>
      </c>
      <c r="AR68" s="50">
        <v>0</v>
      </c>
      <c r="AS68" s="49">
        <v>12</v>
      </c>
      <c r="AT68" s="50">
        <v>80</v>
      </c>
      <c r="AU68" s="49">
        <v>15</v>
      </c>
      <c r="AV68" s="109" t="s">
        <v>1130</v>
      </c>
      <c r="AW68" s="109" t="s">
        <v>1130</v>
      </c>
      <c r="AX68" s="109" t="s">
        <v>1243</v>
      </c>
      <c r="AY68" s="109" t="s">
        <v>1243</v>
      </c>
      <c r="AZ68" s="2"/>
      <c r="BA68" s="3"/>
      <c r="BB68" s="3"/>
      <c r="BC68" s="3"/>
      <c r="BD68" s="3"/>
    </row>
    <row r="69" spans="1:56" ht="15">
      <c r="A69" s="65" t="s">
        <v>392</v>
      </c>
      <c r="B69" s="66"/>
      <c r="C69" s="66"/>
      <c r="D69" s="67">
        <v>87.78431138998428</v>
      </c>
      <c r="E69" s="69"/>
      <c r="F69" s="66"/>
      <c r="G69" s="66"/>
      <c r="H69" s="70" t="s">
        <v>392</v>
      </c>
      <c r="I69" s="71"/>
      <c r="J69" s="71"/>
      <c r="K69" s="70" t="s">
        <v>392</v>
      </c>
      <c r="L69" s="74">
        <v>616.9897084245881</v>
      </c>
      <c r="M69" s="75">
        <v>6973.82275390625</v>
      </c>
      <c r="N69" s="75">
        <v>3405.15869140625</v>
      </c>
      <c r="O69" s="76"/>
      <c r="P69" s="77"/>
      <c r="Q69" s="77"/>
      <c r="R69" s="82"/>
      <c r="S69" s="49">
        <v>8</v>
      </c>
      <c r="T69" s="49">
        <v>7</v>
      </c>
      <c r="U69" s="50">
        <v>183.21773</v>
      </c>
      <c r="V69" s="50">
        <v>0.003367</v>
      </c>
      <c r="W69" s="50">
        <v>0.019671</v>
      </c>
      <c r="X69" s="50">
        <v>1.67561</v>
      </c>
      <c r="Y69" s="50">
        <v>0.25</v>
      </c>
      <c r="Z69" s="50">
        <v>0.4444444444444444</v>
      </c>
      <c r="AA69" s="72">
        <v>69</v>
      </c>
      <c r="AB69" s="72"/>
      <c r="AC69" s="73"/>
      <c r="AD69" s="80" t="s">
        <v>674</v>
      </c>
      <c r="AE69" s="96" t="str">
        <f>HYPERLINK("http://en.wikipedia.org/wiki/User:Atsme")</f>
        <v>http://en.wikipedia.org/wiki/User:Atsme</v>
      </c>
      <c r="AF69" s="80" t="s">
        <v>687</v>
      </c>
      <c r="AG69" s="80"/>
      <c r="AH69" s="80"/>
      <c r="AI69" s="80">
        <v>0.6115044</v>
      </c>
      <c r="AJ69" s="80">
        <v>500</v>
      </c>
      <c r="AK69" s="80"/>
      <c r="AL69" s="80" t="str">
        <f>REPLACE(INDEX(GroupVertices[Group],MATCH(Vertices[[#This Row],[Vertex]],GroupVertices[Vertex],0)),1,1,"")</f>
        <v>5</v>
      </c>
      <c r="AM69" s="49">
        <v>1</v>
      </c>
      <c r="AN69" s="50">
        <v>0.7194244604316546</v>
      </c>
      <c r="AO69" s="49">
        <v>1</v>
      </c>
      <c r="AP69" s="50">
        <v>0.7194244604316546</v>
      </c>
      <c r="AQ69" s="49">
        <v>0</v>
      </c>
      <c r="AR69" s="50">
        <v>0</v>
      </c>
      <c r="AS69" s="49">
        <v>137</v>
      </c>
      <c r="AT69" s="50">
        <v>98.56115107913669</v>
      </c>
      <c r="AU69" s="49">
        <v>139</v>
      </c>
      <c r="AV69" s="109" t="s">
        <v>1131</v>
      </c>
      <c r="AW69" s="109" t="s">
        <v>1184</v>
      </c>
      <c r="AX69" s="109" t="s">
        <v>1244</v>
      </c>
      <c r="AY69" s="109" t="s">
        <v>1291</v>
      </c>
      <c r="AZ69" s="2"/>
      <c r="BA69" s="3"/>
      <c r="BB69" s="3"/>
      <c r="BC69" s="3"/>
      <c r="BD69" s="3"/>
    </row>
    <row r="70" spans="1:56" ht="15">
      <c r="A70" s="65" t="s">
        <v>393</v>
      </c>
      <c r="B70" s="66"/>
      <c r="C70" s="66"/>
      <c r="D70" s="67">
        <v>50.17497990751076</v>
      </c>
      <c r="E70" s="69"/>
      <c r="F70" s="66"/>
      <c r="G70" s="66"/>
      <c r="H70" s="70" t="s">
        <v>393</v>
      </c>
      <c r="I70" s="71"/>
      <c r="J70" s="71"/>
      <c r="K70" s="70" t="s">
        <v>393</v>
      </c>
      <c r="L70" s="74">
        <v>3.852660753698</v>
      </c>
      <c r="M70" s="75">
        <v>6139</v>
      </c>
      <c r="N70" s="75">
        <v>7004.82568359375</v>
      </c>
      <c r="O70" s="76"/>
      <c r="P70" s="77"/>
      <c r="Q70" s="77"/>
      <c r="R70" s="82"/>
      <c r="S70" s="49">
        <v>2</v>
      </c>
      <c r="T70" s="49">
        <v>2</v>
      </c>
      <c r="U70" s="50">
        <v>0.848485</v>
      </c>
      <c r="V70" s="50">
        <v>0.002584</v>
      </c>
      <c r="W70" s="50">
        <v>0.002726</v>
      </c>
      <c r="X70" s="50">
        <v>0.635916</v>
      </c>
      <c r="Y70" s="50">
        <v>0</v>
      </c>
      <c r="Z70" s="50">
        <v>0</v>
      </c>
      <c r="AA70" s="72">
        <v>70</v>
      </c>
      <c r="AB70" s="72"/>
      <c r="AC70" s="73"/>
      <c r="AD70" s="80" t="s">
        <v>674</v>
      </c>
      <c r="AE70" s="96" t="str">
        <f>HYPERLINK("http://en.wikipedia.org/wiki/User:2601:1C2:101:3480:1D0F:B662:4FA3:5613")</f>
        <v>http://en.wikipedia.org/wiki/User:2601:1C2:101:3480:1D0F:B662:4FA3:5613</v>
      </c>
      <c r="AF70" s="80" t="s">
        <v>687</v>
      </c>
      <c r="AG70" s="80"/>
      <c r="AH70" s="80"/>
      <c r="AI70" s="80">
        <v>0.1666666</v>
      </c>
      <c r="AJ70" s="80">
        <v>6</v>
      </c>
      <c r="AK70" s="80"/>
      <c r="AL70" s="80" t="str">
        <f>REPLACE(INDEX(GroupVertices[Group],MATCH(Vertices[[#This Row],[Vertex]],GroupVertices[Vertex],0)),1,1,"")</f>
        <v>3</v>
      </c>
      <c r="AM70" s="49">
        <v>0</v>
      </c>
      <c r="AN70" s="50">
        <v>0</v>
      </c>
      <c r="AO70" s="49">
        <v>0</v>
      </c>
      <c r="AP70" s="50">
        <v>0</v>
      </c>
      <c r="AQ70" s="49">
        <v>0</v>
      </c>
      <c r="AR70" s="50">
        <v>0</v>
      </c>
      <c r="AS70" s="49">
        <v>2</v>
      </c>
      <c r="AT70" s="50">
        <v>100</v>
      </c>
      <c r="AU70" s="49">
        <v>2</v>
      </c>
      <c r="AV70" s="109" t="s">
        <v>741</v>
      </c>
      <c r="AW70" s="109" t="s">
        <v>741</v>
      </c>
      <c r="AX70" s="109" t="s">
        <v>1088</v>
      </c>
      <c r="AY70" s="109" t="s">
        <v>1088</v>
      </c>
      <c r="AZ70" s="2"/>
      <c r="BA70" s="3"/>
      <c r="BB70" s="3"/>
      <c r="BC70" s="3"/>
      <c r="BD70" s="3"/>
    </row>
    <row r="71" spans="1:56" ht="15">
      <c r="A71" s="65" t="s">
        <v>399</v>
      </c>
      <c r="B71" s="66"/>
      <c r="C71" s="66"/>
      <c r="D71" s="67">
        <v>127.19500532371775</v>
      </c>
      <c r="E71" s="69"/>
      <c r="F71" s="66"/>
      <c r="G71" s="66"/>
      <c r="H71" s="70" t="s">
        <v>399</v>
      </c>
      <c r="I71" s="71"/>
      <c r="J71" s="71"/>
      <c r="K71" s="70" t="s">
        <v>399</v>
      </c>
      <c r="L71" s="74">
        <v>1259.4939905454023</v>
      </c>
      <c r="M71" s="75">
        <v>4214.0146484375</v>
      </c>
      <c r="N71" s="75">
        <v>6800.751953125</v>
      </c>
      <c r="O71" s="76"/>
      <c r="P71" s="77"/>
      <c r="Q71" s="77"/>
      <c r="R71" s="82"/>
      <c r="S71" s="49">
        <v>6</v>
      </c>
      <c r="T71" s="49">
        <v>8</v>
      </c>
      <c r="U71" s="50">
        <v>374.321858</v>
      </c>
      <c r="V71" s="50">
        <v>0.003636</v>
      </c>
      <c r="W71" s="50">
        <v>0.020724</v>
      </c>
      <c r="X71" s="50">
        <v>1.64585</v>
      </c>
      <c r="Y71" s="50">
        <v>0.1527777777777778</v>
      </c>
      <c r="Z71" s="50">
        <v>0.3333333333333333</v>
      </c>
      <c r="AA71" s="72">
        <v>71</v>
      </c>
      <c r="AB71" s="72"/>
      <c r="AC71" s="73"/>
      <c r="AD71" s="80" t="s">
        <v>674</v>
      </c>
      <c r="AE71" s="96" t="str">
        <f>HYPERLINK("http://en.wikipedia.org/wiki/User:Willbb234")</f>
        <v>http://en.wikipedia.org/wiki/User:Willbb234</v>
      </c>
      <c r="AF71" s="80" t="s">
        <v>687</v>
      </c>
      <c r="AG71" s="80"/>
      <c r="AH71" s="80"/>
      <c r="AI71" s="80">
        <v>0.3751973</v>
      </c>
      <c r="AJ71" s="80">
        <v>500</v>
      </c>
      <c r="AK71" s="80"/>
      <c r="AL71" s="80" t="str">
        <f>REPLACE(INDEX(GroupVertices[Group],MATCH(Vertices[[#This Row],[Vertex]],GroupVertices[Vertex],0)),1,1,"")</f>
        <v>3</v>
      </c>
      <c r="AM71" s="49">
        <v>0</v>
      </c>
      <c r="AN71" s="50">
        <v>0</v>
      </c>
      <c r="AO71" s="49">
        <v>2</v>
      </c>
      <c r="AP71" s="50">
        <v>11.11111111111111</v>
      </c>
      <c r="AQ71" s="49">
        <v>0</v>
      </c>
      <c r="AR71" s="50">
        <v>0</v>
      </c>
      <c r="AS71" s="49">
        <v>16</v>
      </c>
      <c r="AT71" s="50">
        <v>88.88888888888889</v>
      </c>
      <c r="AU71" s="49">
        <v>18</v>
      </c>
      <c r="AV71" s="109" t="s">
        <v>1132</v>
      </c>
      <c r="AW71" s="109" t="s">
        <v>1185</v>
      </c>
      <c r="AX71" s="109" t="s">
        <v>1245</v>
      </c>
      <c r="AY71" s="109" t="s">
        <v>1245</v>
      </c>
      <c r="AZ71" s="2"/>
      <c r="BA71" s="3"/>
      <c r="BB71" s="3"/>
      <c r="BC71" s="3"/>
      <c r="BD71" s="3"/>
    </row>
    <row r="72" spans="1:56" ht="15">
      <c r="A72" s="65" t="s">
        <v>394</v>
      </c>
      <c r="B72" s="66"/>
      <c r="C72" s="66"/>
      <c r="D72" s="67">
        <v>58.19759723338258</v>
      </c>
      <c r="E72" s="69"/>
      <c r="F72" s="66"/>
      <c r="G72" s="66"/>
      <c r="H72" s="70" t="s">
        <v>394</v>
      </c>
      <c r="I72" s="71"/>
      <c r="J72" s="71"/>
      <c r="K72" s="70" t="s">
        <v>394</v>
      </c>
      <c r="L72" s="74">
        <v>134.6437093547795</v>
      </c>
      <c r="M72" s="75">
        <v>4793.34912109375</v>
      </c>
      <c r="N72" s="75">
        <v>5254.51025390625</v>
      </c>
      <c r="O72" s="76"/>
      <c r="P72" s="77"/>
      <c r="Q72" s="77"/>
      <c r="R72" s="82"/>
      <c r="S72" s="49">
        <v>3</v>
      </c>
      <c r="T72" s="49">
        <v>3</v>
      </c>
      <c r="U72" s="50">
        <v>39.750497</v>
      </c>
      <c r="V72" s="50">
        <v>0.003021</v>
      </c>
      <c r="W72" s="50">
        <v>0.006498</v>
      </c>
      <c r="X72" s="50">
        <v>0.780437</v>
      </c>
      <c r="Y72" s="50">
        <v>0</v>
      </c>
      <c r="Z72" s="50">
        <v>0.3333333333333333</v>
      </c>
      <c r="AA72" s="72">
        <v>72</v>
      </c>
      <c r="AB72" s="72"/>
      <c r="AC72" s="73"/>
      <c r="AD72" s="80" t="s">
        <v>674</v>
      </c>
      <c r="AE72" s="96" t="str">
        <f>HYPERLINK("http://en.wikipedia.org/wiki/User:Calidum")</f>
        <v>http://en.wikipedia.org/wiki/User:Calidum</v>
      </c>
      <c r="AF72" s="80" t="s">
        <v>687</v>
      </c>
      <c r="AG72" s="80"/>
      <c r="AH72" s="80"/>
      <c r="AI72" s="80">
        <v>0.3253032</v>
      </c>
      <c r="AJ72" s="80">
        <v>500</v>
      </c>
      <c r="AK72" s="80"/>
      <c r="AL72" s="80" t="str">
        <f>REPLACE(INDEX(GroupVertices[Group],MATCH(Vertices[[#This Row],[Vertex]],GroupVertices[Vertex],0)),1,1,"")</f>
        <v>3</v>
      </c>
      <c r="AM72" s="49">
        <v>0</v>
      </c>
      <c r="AN72" s="50">
        <v>0</v>
      </c>
      <c r="AO72" s="49">
        <v>0</v>
      </c>
      <c r="AP72" s="50">
        <v>0</v>
      </c>
      <c r="AQ72" s="49">
        <v>0</v>
      </c>
      <c r="AR72" s="50">
        <v>0</v>
      </c>
      <c r="AS72" s="49">
        <v>69</v>
      </c>
      <c r="AT72" s="50">
        <v>100</v>
      </c>
      <c r="AU72" s="49">
        <v>69</v>
      </c>
      <c r="AV72" s="109" t="s">
        <v>1133</v>
      </c>
      <c r="AW72" s="109" t="s">
        <v>1186</v>
      </c>
      <c r="AX72" s="109" t="s">
        <v>1246</v>
      </c>
      <c r="AY72" s="109" t="s">
        <v>1292</v>
      </c>
      <c r="AZ72" s="2"/>
      <c r="BA72" s="3"/>
      <c r="BB72" s="3"/>
      <c r="BC72" s="3"/>
      <c r="BD72" s="3"/>
    </row>
    <row r="73" spans="1:56" ht="15">
      <c r="A73" s="65" t="s">
        <v>395</v>
      </c>
      <c r="B73" s="66"/>
      <c r="C73" s="66"/>
      <c r="D73" s="67">
        <v>50</v>
      </c>
      <c r="E73" s="69"/>
      <c r="F73" s="66"/>
      <c r="G73" s="66"/>
      <c r="H73" s="70" t="s">
        <v>395</v>
      </c>
      <c r="I73" s="71"/>
      <c r="J73" s="71"/>
      <c r="K73" s="70" t="s">
        <v>395</v>
      </c>
      <c r="L73" s="74">
        <v>1</v>
      </c>
      <c r="M73" s="75">
        <v>9624.3564453125</v>
      </c>
      <c r="N73" s="75">
        <v>7101.400390625</v>
      </c>
      <c r="O73" s="76"/>
      <c r="P73" s="77"/>
      <c r="Q73" s="77"/>
      <c r="R73" s="82"/>
      <c r="S73" s="49">
        <v>1</v>
      </c>
      <c r="T73" s="49">
        <v>1</v>
      </c>
      <c r="U73" s="50">
        <v>0</v>
      </c>
      <c r="V73" s="50">
        <v>0.002326</v>
      </c>
      <c r="W73" s="50">
        <v>0.000913</v>
      </c>
      <c r="X73" s="50">
        <v>0.313672</v>
      </c>
      <c r="Y73" s="50">
        <v>0</v>
      </c>
      <c r="Z73" s="50">
        <v>1</v>
      </c>
      <c r="AA73" s="72">
        <v>73</v>
      </c>
      <c r="AB73" s="72"/>
      <c r="AC73" s="73"/>
      <c r="AD73" s="80" t="s">
        <v>674</v>
      </c>
      <c r="AE73" s="96" t="str">
        <f>HYPERLINK("http://en.wikipedia.org/wiki/User:AnomieBOT")</f>
        <v>http://en.wikipedia.org/wiki/User:AnomieBOT</v>
      </c>
      <c r="AF73" s="80" t="s">
        <v>687</v>
      </c>
      <c r="AG73" s="80"/>
      <c r="AH73" s="80"/>
      <c r="AI73" s="80">
        <v>0.1346482</v>
      </c>
      <c r="AJ73" s="80">
        <v>500</v>
      </c>
      <c r="AK73" s="80"/>
      <c r="AL73" s="80" t="str">
        <f>REPLACE(INDEX(GroupVertices[Group],MATCH(Vertices[[#This Row],[Vertex]],GroupVertices[Vertex],0)),1,1,"")</f>
        <v>4</v>
      </c>
      <c r="AM73" s="49">
        <v>0</v>
      </c>
      <c r="AN73" s="50">
        <v>0</v>
      </c>
      <c r="AO73" s="49">
        <v>0</v>
      </c>
      <c r="AP73" s="50">
        <v>0</v>
      </c>
      <c r="AQ73" s="49">
        <v>0</v>
      </c>
      <c r="AR73" s="50">
        <v>0</v>
      </c>
      <c r="AS73" s="49">
        <v>14</v>
      </c>
      <c r="AT73" s="50">
        <v>100</v>
      </c>
      <c r="AU73" s="49">
        <v>14</v>
      </c>
      <c r="AV73" s="109" t="s">
        <v>1134</v>
      </c>
      <c r="AW73" s="109" t="s">
        <v>1134</v>
      </c>
      <c r="AX73" s="109" t="s">
        <v>1247</v>
      </c>
      <c r="AY73" s="109" t="s">
        <v>1247</v>
      </c>
      <c r="AZ73" s="2"/>
      <c r="BA73" s="3"/>
      <c r="BB73" s="3"/>
      <c r="BC73" s="3"/>
      <c r="BD73" s="3"/>
    </row>
    <row r="74" spans="1:56" ht="15">
      <c r="A74" s="65" t="s">
        <v>396</v>
      </c>
      <c r="B74" s="66"/>
      <c r="C74" s="66"/>
      <c r="D74" s="67">
        <v>98.33308725496715</v>
      </c>
      <c r="E74" s="69"/>
      <c r="F74" s="66"/>
      <c r="G74" s="66"/>
      <c r="H74" s="70" t="s">
        <v>396</v>
      </c>
      <c r="I74" s="71"/>
      <c r="J74" s="71"/>
      <c r="K74" s="70" t="s">
        <v>396</v>
      </c>
      <c r="L74" s="74">
        <v>788.9641901675471</v>
      </c>
      <c r="M74" s="75">
        <v>8069.435546875</v>
      </c>
      <c r="N74" s="75">
        <v>5086.19775390625</v>
      </c>
      <c r="O74" s="76"/>
      <c r="P74" s="77"/>
      <c r="Q74" s="77"/>
      <c r="R74" s="82"/>
      <c r="S74" s="49">
        <v>4</v>
      </c>
      <c r="T74" s="49">
        <v>5</v>
      </c>
      <c r="U74" s="50">
        <v>234.369192</v>
      </c>
      <c r="V74" s="50">
        <v>0.003165</v>
      </c>
      <c r="W74" s="50">
        <v>0.010028</v>
      </c>
      <c r="X74" s="50">
        <v>1.155332</v>
      </c>
      <c r="Y74" s="50">
        <v>0.4</v>
      </c>
      <c r="Z74" s="50">
        <v>0.4</v>
      </c>
      <c r="AA74" s="72">
        <v>74</v>
      </c>
      <c r="AB74" s="72"/>
      <c r="AC74" s="73"/>
      <c r="AD74" s="80" t="s">
        <v>674</v>
      </c>
      <c r="AE74" s="96" t="str">
        <f>HYPERLINK("http://en.wikipedia.org/wiki/User:Valereee")</f>
        <v>http://en.wikipedia.org/wiki/User:Valereee</v>
      </c>
      <c r="AF74" s="80" t="s">
        <v>687</v>
      </c>
      <c r="AG74" s="80"/>
      <c r="AH74" s="80"/>
      <c r="AI74" s="80">
        <v>0.604288</v>
      </c>
      <c r="AJ74" s="80">
        <v>500</v>
      </c>
      <c r="AK74" s="80"/>
      <c r="AL74" s="80" t="str">
        <f>REPLACE(INDEX(GroupVertices[Group],MATCH(Vertices[[#This Row],[Vertex]],GroupVertices[Vertex],0)),1,1,"")</f>
        <v>4</v>
      </c>
      <c r="AM74" s="49">
        <v>0</v>
      </c>
      <c r="AN74" s="50">
        <v>0</v>
      </c>
      <c r="AO74" s="49">
        <v>1</v>
      </c>
      <c r="AP74" s="50">
        <v>1.36986301369863</v>
      </c>
      <c r="AQ74" s="49">
        <v>0</v>
      </c>
      <c r="AR74" s="50">
        <v>0</v>
      </c>
      <c r="AS74" s="49">
        <v>72</v>
      </c>
      <c r="AT74" s="50">
        <v>98.63013698630137</v>
      </c>
      <c r="AU74" s="49">
        <v>73</v>
      </c>
      <c r="AV74" s="109" t="s">
        <v>1135</v>
      </c>
      <c r="AW74" s="109" t="s">
        <v>1187</v>
      </c>
      <c r="AX74" s="109" t="s">
        <v>1248</v>
      </c>
      <c r="AY74" s="109" t="s">
        <v>1293</v>
      </c>
      <c r="AZ74" s="2"/>
      <c r="BA74" s="3"/>
      <c r="BB74" s="3"/>
      <c r="BC74" s="3"/>
      <c r="BD74" s="3"/>
    </row>
    <row r="75" spans="1:56" ht="15">
      <c r="A75" s="65" t="s">
        <v>397</v>
      </c>
      <c r="B75" s="66"/>
      <c r="C75" s="66"/>
      <c r="D75" s="67">
        <v>50.25778285342516</v>
      </c>
      <c r="E75" s="69"/>
      <c r="F75" s="66"/>
      <c r="G75" s="66"/>
      <c r="H75" s="70" t="s">
        <v>397</v>
      </c>
      <c r="I75" s="71"/>
      <c r="J75" s="71"/>
      <c r="K75" s="70" t="s">
        <v>397</v>
      </c>
      <c r="L75" s="74">
        <v>5.202579824183692</v>
      </c>
      <c r="M75" s="75">
        <v>5191.4150390625</v>
      </c>
      <c r="N75" s="75">
        <v>4385.0791015625</v>
      </c>
      <c r="O75" s="76"/>
      <c r="P75" s="77"/>
      <c r="Q75" s="77"/>
      <c r="R75" s="82"/>
      <c r="S75" s="49">
        <v>1</v>
      </c>
      <c r="T75" s="49">
        <v>1</v>
      </c>
      <c r="U75" s="50">
        <v>1.25</v>
      </c>
      <c r="V75" s="50">
        <v>0.002725</v>
      </c>
      <c r="W75" s="50">
        <v>0.004009</v>
      </c>
      <c r="X75" s="50">
        <v>0.434796</v>
      </c>
      <c r="Y75" s="50">
        <v>0</v>
      </c>
      <c r="Z75" s="50">
        <v>0</v>
      </c>
      <c r="AA75" s="72">
        <v>75</v>
      </c>
      <c r="AB75" s="72"/>
      <c r="AC75" s="73"/>
      <c r="AD75" s="80" t="s">
        <v>674</v>
      </c>
      <c r="AE75" s="96" t="str">
        <f>HYPERLINK("http://en.wikipedia.org/wiki/User:MastCell")</f>
        <v>http://en.wikipedia.org/wiki/User:MastCell</v>
      </c>
      <c r="AF75" s="80" t="s">
        <v>687</v>
      </c>
      <c r="AG75" s="80"/>
      <c r="AH75" s="80"/>
      <c r="AI75" s="80">
        <v>0.5991428</v>
      </c>
      <c r="AJ75" s="80">
        <v>500</v>
      </c>
      <c r="AK75" s="80"/>
      <c r="AL75" s="80" t="str">
        <f>REPLACE(INDEX(GroupVertices[Group],MATCH(Vertices[[#This Row],[Vertex]],GroupVertices[Vertex],0)),1,1,"")</f>
        <v>5</v>
      </c>
      <c r="AM75" s="49">
        <v>1</v>
      </c>
      <c r="AN75" s="50">
        <v>3.4482758620689653</v>
      </c>
      <c r="AO75" s="49">
        <v>0</v>
      </c>
      <c r="AP75" s="50">
        <v>0</v>
      </c>
      <c r="AQ75" s="49">
        <v>0</v>
      </c>
      <c r="AR75" s="50">
        <v>0</v>
      </c>
      <c r="AS75" s="49">
        <v>28</v>
      </c>
      <c r="AT75" s="50">
        <v>96.55172413793103</v>
      </c>
      <c r="AU75" s="49">
        <v>29</v>
      </c>
      <c r="AV75" s="109" t="s">
        <v>1136</v>
      </c>
      <c r="AW75" s="109" t="s">
        <v>1136</v>
      </c>
      <c r="AX75" s="109" t="s">
        <v>1249</v>
      </c>
      <c r="AY75" s="109" t="s">
        <v>1249</v>
      </c>
      <c r="AZ75" s="2"/>
      <c r="BA75" s="3"/>
      <c r="BB75" s="3"/>
      <c r="BC75" s="3"/>
      <c r="BD75" s="3"/>
    </row>
    <row r="76" spans="1:56" ht="15">
      <c r="A76" s="65" t="s">
        <v>398</v>
      </c>
      <c r="B76" s="66"/>
      <c r="C76" s="66"/>
      <c r="D76" s="67">
        <v>111.535463315006</v>
      </c>
      <c r="E76" s="69"/>
      <c r="F76" s="66"/>
      <c r="G76" s="66"/>
      <c r="H76" s="70" t="s">
        <v>398</v>
      </c>
      <c r="I76" s="71"/>
      <c r="J76" s="71"/>
      <c r="K76" s="70" t="s">
        <v>398</v>
      </c>
      <c r="L76" s="74">
        <v>1004.1997596555443</v>
      </c>
      <c r="M76" s="75">
        <v>6570.1650390625</v>
      </c>
      <c r="N76" s="75">
        <v>3907.80419921875</v>
      </c>
      <c r="O76" s="76"/>
      <c r="P76" s="77"/>
      <c r="Q76" s="77"/>
      <c r="R76" s="82"/>
      <c r="S76" s="49">
        <v>6</v>
      </c>
      <c r="T76" s="49">
        <v>7</v>
      </c>
      <c r="U76" s="50">
        <v>298.388074</v>
      </c>
      <c r="V76" s="50">
        <v>0.003663</v>
      </c>
      <c r="W76" s="50">
        <v>0.024931</v>
      </c>
      <c r="X76" s="50">
        <v>1.807722</v>
      </c>
      <c r="Y76" s="50">
        <v>0.18888888888888888</v>
      </c>
      <c r="Z76" s="50">
        <v>0.1</v>
      </c>
      <c r="AA76" s="72">
        <v>76</v>
      </c>
      <c r="AB76" s="72"/>
      <c r="AC76" s="73"/>
      <c r="AD76" s="80" t="s">
        <v>674</v>
      </c>
      <c r="AE76" s="96" t="str">
        <f>HYPERLINK("http://en.wikipedia.org/wiki/User:MelanieN")</f>
        <v>http://en.wikipedia.org/wiki/User:MelanieN</v>
      </c>
      <c r="AF76" s="80" t="s">
        <v>687</v>
      </c>
      <c r="AG76" s="80"/>
      <c r="AH76" s="80"/>
      <c r="AI76" s="80">
        <v>0.4803059</v>
      </c>
      <c r="AJ76" s="80">
        <v>500</v>
      </c>
      <c r="AK76" s="80"/>
      <c r="AL76" s="80" t="str">
        <f>REPLACE(INDEX(GroupVertices[Group],MATCH(Vertices[[#This Row],[Vertex]],GroupVertices[Vertex],0)),1,1,"")</f>
        <v>5</v>
      </c>
      <c r="AM76" s="49">
        <v>0</v>
      </c>
      <c r="AN76" s="50">
        <v>0</v>
      </c>
      <c r="AO76" s="49">
        <v>2</v>
      </c>
      <c r="AP76" s="50">
        <v>4.081632653061225</v>
      </c>
      <c r="AQ76" s="49">
        <v>0</v>
      </c>
      <c r="AR76" s="50">
        <v>0</v>
      </c>
      <c r="AS76" s="49">
        <v>47</v>
      </c>
      <c r="AT76" s="50">
        <v>95.91836734693878</v>
      </c>
      <c r="AU76" s="49">
        <v>49</v>
      </c>
      <c r="AV76" s="109" t="s">
        <v>1137</v>
      </c>
      <c r="AW76" s="109" t="s">
        <v>1137</v>
      </c>
      <c r="AX76" s="109" t="s">
        <v>1250</v>
      </c>
      <c r="AY76" s="109" t="s">
        <v>1250</v>
      </c>
      <c r="AZ76" s="2"/>
      <c r="BA76" s="3"/>
      <c r="BB76" s="3"/>
      <c r="BC76" s="3"/>
      <c r="BD76" s="3"/>
    </row>
    <row r="77" spans="1:56" ht="15">
      <c r="A77" s="65" t="s">
        <v>400</v>
      </c>
      <c r="B77" s="66"/>
      <c r="C77" s="66"/>
      <c r="D77" s="67">
        <v>51.669904744684935</v>
      </c>
      <c r="E77" s="69"/>
      <c r="F77" s="66"/>
      <c r="G77" s="66"/>
      <c r="H77" s="70" t="s">
        <v>400</v>
      </c>
      <c r="I77" s="71"/>
      <c r="J77" s="71"/>
      <c r="K77" s="70" t="s">
        <v>400</v>
      </c>
      <c r="L77" s="74">
        <v>28.22410701516653</v>
      </c>
      <c r="M77" s="75">
        <v>4223.05322265625</v>
      </c>
      <c r="N77" s="75">
        <v>8699.158203125</v>
      </c>
      <c r="O77" s="76"/>
      <c r="P77" s="77"/>
      <c r="Q77" s="77"/>
      <c r="R77" s="82"/>
      <c r="S77" s="49">
        <v>3</v>
      </c>
      <c r="T77" s="49">
        <v>3</v>
      </c>
      <c r="U77" s="50">
        <v>8.097439</v>
      </c>
      <c r="V77" s="50">
        <v>0.003145</v>
      </c>
      <c r="W77" s="50">
        <v>0.011525</v>
      </c>
      <c r="X77" s="50">
        <v>0.876135</v>
      </c>
      <c r="Y77" s="50">
        <v>0.25</v>
      </c>
      <c r="Z77" s="50">
        <v>0</v>
      </c>
      <c r="AA77" s="72">
        <v>77</v>
      </c>
      <c r="AB77" s="72"/>
      <c r="AC77" s="73"/>
      <c r="AD77" s="80" t="s">
        <v>674</v>
      </c>
      <c r="AE77" s="96" t="str">
        <f>HYPERLINK("http://en.wikipedia.org/wiki/User:MONGO")</f>
        <v>http://en.wikipedia.org/wiki/User:MONGO</v>
      </c>
      <c r="AF77" s="80" t="s">
        <v>687</v>
      </c>
      <c r="AG77" s="80"/>
      <c r="AH77" s="80"/>
      <c r="AI77" s="80">
        <v>0.4533821</v>
      </c>
      <c r="AJ77" s="80">
        <v>500</v>
      </c>
      <c r="AK77" s="80"/>
      <c r="AL77" s="80" t="str">
        <f>REPLACE(INDEX(GroupVertices[Group],MATCH(Vertices[[#This Row],[Vertex]],GroupVertices[Vertex],0)),1,1,"")</f>
        <v>3</v>
      </c>
      <c r="AM77" s="49">
        <v>0</v>
      </c>
      <c r="AN77" s="50">
        <v>0</v>
      </c>
      <c r="AO77" s="49">
        <v>0</v>
      </c>
      <c r="AP77" s="50">
        <v>0</v>
      </c>
      <c r="AQ77" s="49">
        <v>0</v>
      </c>
      <c r="AR77" s="50">
        <v>0</v>
      </c>
      <c r="AS77" s="49">
        <v>37</v>
      </c>
      <c r="AT77" s="50">
        <v>100</v>
      </c>
      <c r="AU77" s="49">
        <v>37</v>
      </c>
      <c r="AV77" s="109" t="s">
        <v>1138</v>
      </c>
      <c r="AW77" s="109" t="s">
        <v>1188</v>
      </c>
      <c r="AX77" s="109" t="s">
        <v>1251</v>
      </c>
      <c r="AY77" s="109" t="s">
        <v>1294</v>
      </c>
      <c r="AZ77" s="2"/>
      <c r="BA77" s="3"/>
      <c r="BB77" s="3"/>
      <c r="BC77" s="3"/>
      <c r="BD77" s="3"/>
    </row>
    <row r="78" spans="1:56" ht="15">
      <c r="A78" s="65" t="s">
        <v>401</v>
      </c>
      <c r="B78" s="66"/>
      <c r="C78" s="66"/>
      <c r="D78" s="67">
        <v>53.175981474324566</v>
      </c>
      <c r="E78" s="69"/>
      <c r="F78" s="66"/>
      <c r="G78" s="66"/>
      <c r="H78" s="70" t="s">
        <v>401</v>
      </c>
      <c r="I78" s="71"/>
      <c r="J78" s="71"/>
      <c r="K78" s="70" t="s">
        <v>401</v>
      </c>
      <c r="L78" s="74">
        <v>52.77736024189312</v>
      </c>
      <c r="M78" s="75">
        <v>7271.0302734375</v>
      </c>
      <c r="N78" s="75">
        <v>8864.0908203125</v>
      </c>
      <c r="O78" s="76"/>
      <c r="P78" s="77"/>
      <c r="Q78" s="77"/>
      <c r="R78" s="82"/>
      <c r="S78" s="49">
        <v>1</v>
      </c>
      <c r="T78" s="49">
        <v>1</v>
      </c>
      <c r="U78" s="50">
        <v>15.400469</v>
      </c>
      <c r="V78" s="50">
        <v>0.002551</v>
      </c>
      <c r="W78" s="50">
        <v>0.001979</v>
      </c>
      <c r="X78" s="50">
        <v>0.520354</v>
      </c>
      <c r="Y78" s="50">
        <v>0</v>
      </c>
      <c r="Z78" s="50">
        <v>0</v>
      </c>
      <c r="AA78" s="72">
        <v>78</v>
      </c>
      <c r="AB78" s="72"/>
      <c r="AC78" s="73"/>
      <c r="AD78" s="80" t="s">
        <v>674</v>
      </c>
      <c r="AE78" s="96" t="str">
        <f>HYPERLINK("http://en.wikipedia.org/wiki/User:Levivich")</f>
        <v>http://en.wikipedia.org/wiki/User:Levivich</v>
      </c>
      <c r="AF78" s="80" t="s">
        <v>687</v>
      </c>
      <c r="AG78" s="80"/>
      <c r="AH78" s="80"/>
      <c r="AI78" s="80">
        <v>0.5412613</v>
      </c>
      <c r="AJ78" s="80">
        <v>500</v>
      </c>
      <c r="AK78" s="80"/>
      <c r="AL78" s="80" t="str">
        <f>REPLACE(INDEX(GroupVertices[Group],MATCH(Vertices[[#This Row],[Vertex]],GroupVertices[Vertex],0)),1,1,"")</f>
        <v>4</v>
      </c>
      <c r="AM78" s="49">
        <v>0</v>
      </c>
      <c r="AN78" s="50">
        <v>0</v>
      </c>
      <c r="AO78" s="49">
        <v>1</v>
      </c>
      <c r="AP78" s="50">
        <v>4.3478260869565215</v>
      </c>
      <c r="AQ78" s="49">
        <v>0</v>
      </c>
      <c r="AR78" s="50">
        <v>0</v>
      </c>
      <c r="AS78" s="49">
        <v>22</v>
      </c>
      <c r="AT78" s="50">
        <v>95.65217391304348</v>
      </c>
      <c r="AU78" s="49">
        <v>23</v>
      </c>
      <c r="AV78" s="109" t="s">
        <v>1139</v>
      </c>
      <c r="AW78" s="109" t="s">
        <v>1139</v>
      </c>
      <c r="AX78" s="109" t="s">
        <v>1252</v>
      </c>
      <c r="AY78" s="109" t="s">
        <v>1252</v>
      </c>
      <c r="AZ78" s="2"/>
      <c r="BA78" s="3"/>
      <c r="BB78" s="3"/>
      <c r="BC78" s="3"/>
      <c r="BD78" s="3"/>
    </row>
    <row r="79" spans="1:56" ht="15">
      <c r="A79" s="65" t="s">
        <v>402</v>
      </c>
      <c r="B79" s="66"/>
      <c r="C79" s="66"/>
      <c r="D79" s="67">
        <v>59.628027275345175</v>
      </c>
      <c r="E79" s="69"/>
      <c r="F79" s="66"/>
      <c r="G79" s="66"/>
      <c r="H79" s="70" t="s">
        <v>402</v>
      </c>
      <c r="I79" s="71"/>
      <c r="J79" s="71"/>
      <c r="K79" s="70" t="s">
        <v>402</v>
      </c>
      <c r="L79" s="74">
        <v>157.96371048900357</v>
      </c>
      <c r="M79" s="75">
        <v>7319.775390625</v>
      </c>
      <c r="N79" s="75">
        <v>6930.37158203125</v>
      </c>
      <c r="O79" s="76"/>
      <c r="P79" s="77"/>
      <c r="Q79" s="77"/>
      <c r="R79" s="82"/>
      <c r="S79" s="49">
        <v>1</v>
      </c>
      <c r="T79" s="49">
        <v>1</v>
      </c>
      <c r="U79" s="50">
        <v>46.686713</v>
      </c>
      <c r="V79" s="50">
        <v>0.002793</v>
      </c>
      <c r="W79" s="50">
        <v>0.00264</v>
      </c>
      <c r="X79" s="50">
        <v>0.52999</v>
      </c>
      <c r="Y79" s="50">
        <v>0</v>
      </c>
      <c r="Z79" s="50">
        <v>0</v>
      </c>
      <c r="AA79" s="72">
        <v>79</v>
      </c>
      <c r="AB79" s="72"/>
      <c r="AC79" s="73"/>
      <c r="AD79" s="80" t="s">
        <v>674</v>
      </c>
      <c r="AE79" s="96" t="str">
        <f>HYPERLINK("http://en.wikipedia.org/wiki/User:Mikehawk10")</f>
        <v>http://en.wikipedia.org/wiki/User:Mikehawk10</v>
      </c>
      <c r="AF79" s="80" t="s">
        <v>687</v>
      </c>
      <c r="AG79" s="80"/>
      <c r="AH79" s="80"/>
      <c r="AI79" s="80">
        <v>0.5969018</v>
      </c>
      <c r="AJ79" s="80">
        <v>500</v>
      </c>
      <c r="AK79" s="80"/>
      <c r="AL79" s="80" t="str">
        <f>REPLACE(INDEX(GroupVertices[Group],MATCH(Vertices[[#This Row],[Vertex]],GroupVertices[Vertex],0)),1,1,"")</f>
        <v>4</v>
      </c>
      <c r="AM79" s="49">
        <v>1</v>
      </c>
      <c r="AN79" s="50">
        <v>10</v>
      </c>
      <c r="AO79" s="49">
        <v>0</v>
      </c>
      <c r="AP79" s="50">
        <v>0</v>
      </c>
      <c r="AQ79" s="49">
        <v>0</v>
      </c>
      <c r="AR79" s="50">
        <v>0</v>
      </c>
      <c r="AS79" s="49">
        <v>9</v>
      </c>
      <c r="AT79" s="50">
        <v>90</v>
      </c>
      <c r="AU79" s="49">
        <v>10</v>
      </c>
      <c r="AV79" s="109" t="s">
        <v>1140</v>
      </c>
      <c r="AW79" s="109" t="s">
        <v>1140</v>
      </c>
      <c r="AX79" s="109" t="s">
        <v>1253</v>
      </c>
      <c r="AY79" s="109" t="s">
        <v>1253</v>
      </c>
      <c r="AZ79" s="2"/>
      <c r="BA79" s="3"/>
      <c r="BB79" s="3"/>
      <c r="BC79" s="3"/>
      <c r="BD79" s="3"/>
    </row>
    <row r="80" spans="1:56" ht="15">
      <c r="A80" s="65" t="s">
        <v>403</v>
      </c>
      <c r="B80" s="66"/>
      <c r="C80" s="66"/>
      <c r="D80" s="67">
        <v>50</v>
      </c>
      <c r="E80" s="69"/>
      <c r="F80" s="66"/>
      <c r="G80" s="66"/>
      <c r="H80" s="70" t="s">
        <v>403</v>
      </c>
      <c r="I80" s="71"/>
      <c r="J80" s="71"/>
      <c r="K80" s="70" t="s">
        <v>403</v>
      </c>
      <c r="L80" s="74">
        <v>1</v>
      </c>
      <c r="M80" s="75">
        <v>3195.896240234375</v>
      </c>
      <c r="N80" s="75">
        <v>9640.5205078125</v>
      </c>
      <c r="O80" s="76"/>
      <c r="P80" s="77"/>
      <c r="Q80" s="77"/>
      <c r="R80" s="82"/>
      <c r="S80" s="49">
        <v>1</v>
      </c>
      <c r="T80" s="49">
        <v>1</v>
      </c>
      <c r="U80" s="50">
        <v>0</v>
      </c>
      <c r="V80" s="50">
        <v>0.003165</v>
      </c>
      <c r="W80" s="50">
        <v>0.006075</v>
      </c>
      <c r="X80" s="50">
        <v>0.456447</v>
      </c>
      <c r="Y80" s="50">
        <v>1</v>
      </c>
      <c r="Z80" s="50">
        <v>0</v>
      </c>
      <c r="AA80" s="72">
        <v>80</v>
      </c>
      <c r="AB80" s="72"/>
      <c r="AC80" s="73"/>
      <c r="AD80" s="80" t="s">
        <v>674</v>
      </c>
      <c r="AE80" s="96" t="str">
        <f>HYPERLINK("http://en.wikipedia.org/wiki/User:93.108.204.23")</f>
        <v>http://en.wikipedia.org/wiki/User:93.108.204.23</v>
      </c>
      <c r="AF80" s="80" t="s">
        <v>687</v>
      </c>
      <c r="AG80" s="80"/>
      <c r="AH80" s="80"/>
      <c r="AI80" s="80">
        <v>0</v>
      </c>
      <c r="AJ80" s="80">
        <v>1</v>
      </c>
      <c r="AK80" s="80"/>
      <c r="AL80" s="80" t="str">
        <f>REPLACE(INDEX(GroupVertices[Group],MATCH(Vertices[[#This Row],[Vertex]],GroupVertices[Vertex],0)),1,1,"")</f>
        <v>1</v>
      </c>
      <c r="AM80" s="49">
        <v>0</v>
      </c>
      <c r="AN80" s="50">
        <v>0</v>
      </c>
      <c r="AO80" s="49">
        <v>0</v>
      </c>
      <c r="AP80" s="50">
        <v>0</v>
      </c>
      <c r="AQ80" s="49">
        <v>0</v>
      </c>
      <c r="AR80" s="50">
        <v>0</v>
      </c>
      <c r="AS80" s="49">
        <v>11</v>
      </c>
      <c r="AT80" s="50">
        <v>100</v>
      </c>
      <c r="AU80" s="49">
        <v>11</v>
      </c>
      <c r="AV80" s="109" t="s">
        <v>1141</v>
      </c>
      <c r="AW80" s="109" t="s">
        <v>1141</v>
      </c>
      <c r="AX80" s="109" t="s">
        <v>1254</v>
      </c>
      <c r="AY80" s="109" t="s">
        <v>1254</v>
      </c>
      <c r="AZ80" s="2"/>
      <c r="BA80" s="3"/>
      <c r="BB80" s="3"/>
      <c r="BC80" s="3"/>
      <c r="BD80" s="3"/>
    </row>
    <row r="81" spans="1:56" ht="15">
      <c r="A81" s="65" t="s">
        <v>404</v>
      </c>
      <c r="B81" s="66"/>
      <c r="C81" s="66"/>
      <c r="D81" s="67">
        <v>50</v>
      </c>
      <c r="E81" s="69"/>
      <c r="F81" s="66"/>
      <c r="G81" s="66"/>
      <c r="H81" s="70" t="s">
        <v>404</v>
      </c>
      <c r="I81" s="71"/>
      <c r="J81" s="71"/>
      <c r="K81" s="70" t="s">
        <v>404</v>
      </c>
      <c r="L81" s="74">
        <v>1</v>
      </c>
      <c r="M81" s="75">
        <v>9871.513671875</v>
      </c>
      <c r="N81" s="75">
        <v>3473.064208984375</v>
      </c>
      <c r="O81" s="76"/>
      <c r="P81" s="77"/>
      <c r="Q81" s="77"/>
      <c r="R81" s="82"/>
      <c r="S81" s="49">
        <v>1</v>
      </c>
      <c r="T81" s="49">
        <v>1</v>
      </c>
      <c r="U81" s="50">
        <v>0</v>
      </c>
      <c r="V81" s="50">
        <v>0.002519</v>
      </c>
      <c r="W81" s="50">
        <v>0.001692</v>
      </c>
      <c r="X81" s="50">
        <v>0.471178</v>
      </c>
      <c r="Y81" s="50">
        <v>0.5</v>
      </c>
      <c r="Z81" s="50">
        <v>0</v>
      </c>
      <c r="AA81" s="72">
        <v>81</v>
      </c>
      <c r="AB81" s="72"/>
      <c r="AC81" s="73"/>
      <c r="AD81" s="80" t="s">
        <v>674</v>
      </c>
      <c r="AE81" s="96" t="str">
        <f>HYPERLINK("http://en.wikipedia.org/wiki/User:Malerooster")</f>
        <v>http://en.wikipedia.org/wiki/User:Malerooster</v>
      </c>
      <c r="AF81" s="80" t="s">
        <v>687</v>
      </c>
      <c r="AG81" s="80"/>
      <c r="AH81" s="80"/>
      <c r="AI81" s="80">
        <v>0.3262839</v>
      </c>
      <c r="AJ81" s="80">
        <v>500</v>
      </c>
      <c r="AK81" s="80"/>
      <c r="AL81" s="80" t="str">
        <f>REPLACE(INDEX(GroupVertices[Group],MATCH(Vertices[[#This Row],[Vertex]],GroupVertices[Vertex],0)),1,1,"")</f>
        <v>6</v>
      </c>
      <c r="AM81" s="49">
        <v>0</v>
      </c>
      <c r="AN81" s="50">
        <v>0</v>
      </c>
      <c r="AO81" s="49">
        <v>0</v>
      </c>
      <c r="AP81" s="50">
        <v>0</v>
      </c>
      <c r="AQ81" s="49">
        <v>0</v>
      </c>
      <c r="AR81" s="50">
        <v>0</v>
      </c>
      <c r="AS81" s="49">
        <v>12</v>
      </c>
      <c r="AT81" s="50">
        <v>100</v>
      </c>
      <c r="AU81" s="49">
        <v>12</v>
      </c>
      <c r="AV81" s="109" t="s">
        <v>1142</v>
      </c>
      <c r="AW81" s="109" t="s">
        <v>1142</v>
      </c>
      <c r="AX81" s="109" t="s">
        <v>1255</v>
      </c>
      <c r="AY81" s="109" t="s">
        <v>1255</v>
      </c>
      <c r="AZ81" s="2"/>
      <c r="BA81" s="3"/>
      <c r="BB81" s="3"/>
      <c r="BC81" s="3"/>
      <c r="BD81" s="3"/>
    </row>
    <row r="82" spans="1:56" ht="15">
      <c r="A82" s="65" t="s">
        <v>407</v>
      </c>
      <c r="B82" s="66"/>
      <c r="C82" s="66"/>
      <c r="D82" s="67">
        <v>79.0215724762858</v>
      </c>
      <c r="E82" s="69"/>
      <c r="F82" s="66"/>
      <c r="G82" s="66"/>
      <c r="H82" s="70" t="s">
        <v>407</v>
      </c>
      <c r="I82" s="71"/>
      <c r="J82" s="71"/>
      <c r="K82" s="70" t="s">
        <v>407</v>
      </c>
      <c r="L82" s="74">
        <v>474.13261271790964</v>
      </c>
      <c r="M82" s="75">
        <v>7335.31640625</v>
      </c>
      <c r="N82" s="75">
        <v>4020.80029296875</v>
      </c>
      <c r="O82" s="76"/>
      <c r="P82" s="77"/>
      <c r="Q82" s="77"/>
      <c r="R82" s="82"/>
      <c r="S82" s="49">
        <v>4</v>
      </c>
      <c r="T82" s="49">
        <v>5</v>
      </c>
      <c r="U82" s="50">
        <v>140.726837</v>
      </c>
      <c r="V82" s="50">
        <v>0.002907</v>
      </c>
      <c r="W82" s="50">
        <v>0.004952</v>
      </c>
      <c r="X82" s="50">
        <v>1.372599</v>
      </c>
      <c r="Y82" s="50">
        <v>0.16666666666666666</v>
      </c>
      <c r="Z82" s="50">
        <v>0.16666666666666666</v>
      </c>
      <c r="AA82" s="72">
        <v>82</v>
      </c>
      <c r="AB82" s="72"/>
      <c r="AC82" s="73"/>
      <c r="AD82" s="80" t="s">
        <v>674</v>
      </c>
      <c r="AE82" s="96" t="str">
        <f>HYPERLINK("http://en.wikipedia.org/wiki/User:Praxidicae")</f>
        <v>http://en.wikipedia.org/wiki/User:Praxidicae</v>
      </c>
      <c r="AF82" s="80" t="s">
        <v>687</v>
      </c>
      <c r="AG82" s="80"/>
      <c r="AH82" s="80"/>
      <c r="AI82" s="80">
        <v>0.3767833</v>
      </c>
      <c r="AJ82" s="80">
        <v>500</v>
      </c>
      <c r="AK82" s="80"/>
      <c r="AL82" s="80" t="str">
        <f>REPLACE(INDEX(GroupVertices[Group],MATCH(Vertices[[#This Row],[Vertex]],GroupVertices[Vertex],0)),1,1,"")</f>
        <v>6</v>
      </c>
      <c r="AM82" s="49">
        <v>1</v>
      </c>
      <c r="AN82" s="50">
        <v>1.3157894736842106</v>
      </c>
      <c r="AO82" s="49">
        <v>2</v>
      </c>
      <c r="AP82" s="50">
        <v>2.6315789473684212</v>
      </c>
      <c r="AQ82" s="49">
        <v>0</v>
      </c>
      <c r="AR82" s="50">
        <v>0</v>
      </c>
      <c r="AS82" s="49">
        <v>73</v>
      </c>
      <c r="AT82" s="50">
        <v>96.05263157894737</v>
      </c>
      <c r="AU82" s="49">
        <v>76</v>
      </c>
      <c r="AV82" s="109" t="s">
        <v>1143</v>
      </c>
      <c r="AW82" s="109" t="s">
        <v>1189</v>
      </c>
      <c r="AX82" s="109" t="s">
        <v>1256</v>
      </c>
      <c r="AY82" s="109" t="s">
        <v>1295</v>
      </c>
      <c r="AZ82" s="2"/>
      <c r="BA82" s="3"/>
      <c r="BB82" s="3"/>
      <c r="BC82" s="3"/>
      <c r="BD82" s="3"/>
    </row>
    <row r="83" spans="1:56" ht="15">
      <c r="A83" s="65" t="s">
        <v>405</v>
      </c>
      <c r="B83" s="66"/>
      <c r="C83" s="66"/>
      <c r="D83" s="67">
        <v>185.63616865178804</v>
      </c>
      <c r="E83" s="69"/>
      <c r="F83" s="66"/>
      <c r="G83" s="66"/>
      <c r="H83" s="70" t="s">
        <v>405</v>
      </c>
      <c r="I83" s="71"/>
      <c r="J83" s="71"/>
      <c r="K83" s="70" t="s">
        <v>405</v>
      </c>
      <c r="L83" s="74">
        <v>2212.248026126272</v>
      </c>
      <c r="M83" s="75">
        <v>8210.6396484375</v>
      </c>
      <c r="N83" s="75">
        <v>4784.47802734375</v>
      </c>
      <c r="O83" s="76"/>
      <c r="P83" s="77"/>
      <c r="Q83" s="77"/>
      <c r="R83" s="82"/>
      <c r="S83" s="49">
        <v>7</v>
      </c>
      <c r="T83" s="49">
        <v>6</v>
      </c>
      <c r="U83" s="50">
        <v>657.70554</v>
      </c>
      <c r="V83" s="50">
        <v>0.003401</v>
      </c>
      <c r="W83" s="50">
        <v>0.013634</v>
      </c>
      <c r="X83" s="50">
        <v>1.817711</v>
      </c>
      <c r="Y83" s="50">
        <v>0.14444444444444443</v>
      </c>
      <c r="Z83" s="50">
        <v>0.3</v>
      </c>
      <c r="AA83" s="72">
        <v>83</v>
      </c>
      <c r="AB83" s="72"/>
      <c r="AC83" s="73"/>
      <c r="AD83" s="80" t="s">
        <v>674</v>
      </c>
      <c r="AE83" s="96" t="str">
        <f>HYPERLINK("http://en.wikipedia.org/wiki/User:Berchanhimez")</f>
        <v>http://en.wikipedia.org/wiki/User:Berchanhimez</v>
      </c>
      <c r="AF83" s="80" t="s">
        <v>687</v>
      </c>
      <c r="AG83" s="80"/>
      <c r="AH83" s="80"/>
      <c r="AI83" s="80">
        <v>0.5777353</v>
      </c>
      <c r="AJ83" s="80">
        <v>500</v>
      </c>
      <c r="AK83" s="80"/>
      <c r="AL83" s="80" t="str">
        <f>REPLACE(INDEX(GroupVertices[Group],MATCH(Vertices[[#This Row],[Vertex]],GroupVertices[Vertex],0)),1,1,"")</f>
        <v>6</v>
      </c>
      <c r="AM83" s="49">
        <v>0</v>
      </c>
      <c r="AN83" s="50">
        <v>0</v>
      </c>
      <c r="AO83" s="49">
        <v>2</v>
      </c>
      <c r="AP83" s="50">
        <v>2.3255813953488373</v>
      </c>
      <c r="AQ83" s="49">
        <v>0</v>
      </c>
      <c r="AR83" s="50">
        <v>0</v>
      </c>
      <c r="AS83" s="49">
        <v>84</v>
      </c>
      <c r="AT83" s="50">
        <v>97.67441860465117</v>
      </c>
      <c r="AU83" s="49">
        <v>86</v>
      </c>
      <c r="AV83" s="109" t="s">
        <v>1144</v>
      </c>
      <c r="AW83" s="109" t="s">
        <v>1144</v>
      </c>
      <c r="AX83" s="109" t="s">
        <v>1257</v>
      </c>
      <c r="AY83" s="109" t="s">
        <v>1257</v>
      </c>
      <c r="AZ83" s="2"/>
      <c r="BA83" s="3"/>
      <c r="BB83" s="3"/>
      <c r="BC83" s="3"/>
      <c r="BD83" s="3"/>
    </row>
    <row r="84" spans="1:56" ht="15">
      <c r="A84" s="65" t="s">
        <v>406</v>
      </c>
      <c r="B84" s="66"/>
      <c r="C84" s="66"/>
      <c r="D84" s="67">
        <v>50</v>
      </c>
      <c r="E84" s="69"/>
      <c r="F84" s="66"/>
      <c r="G84" s="66"/>
      <c r="H84" s="70" t="s">
        <v>406</v>
      </c>
      <c r="I84" s="71"/>
      <c r="J84" s="71"/>
      <c r="K84" s="70" t="s">
        <v>406</v>
      </c>
      <c r="L84" s="74">
        <v>1</v>
      </c>
      <c r="M84" s="75">
        <v>7783.5673828125</v>
      </c>
      <c r="N84" s="75">
        <v>2774.29296875</v>
      </c>
      <c r="O84" s="76"/>
      <c r="P84" s="77"/>
      <c r="Q84" s="77"/>
      <c r="R84" s="82"/>
      <c r="S84" s="49">
        <v>1</v>
      </c>
      <c r="T84" s="49">
        <v>1</v>
      </c>
      <c r="U84" s="50">
        <v>0</v>
      </c>
      <c r="V84" s="50">
        <v>0.002519</v>
      </c>
      <c r="W84" s="50">
        <v>0.001692</v>
      </c>
      <c r="X84" s="50">
        <v>0.471178</v>
      </c>
      <c r="Y84" s="50">
        <v>0.5</v>
      </c>
      <c r="Z84" s="50">
        <v>0</v>
      </c>
      <c r="AA84" s="72">
        <v>84</v>
      </c>
      <c r="AB84" s="72"/>
      <c r="AC84" s="73"/>
      <c r="AD84" s="80" t="s">
        <v>674</v>
      </c>
      <c r="AE84" s="96" t="str">
        <f>HYPERLINK("http://en.wikipedia.org/wiki/User:Nick")</f>
        <v>http://en.wikipedia.org/wiki/User:Nick</v>
      </c>
      <c r="AF84" s="80" t="s">
        <v>687</v>
      </c>
      <c r="AG84" s="80"/>
      <c r="AH84" s="80"/>
      <c r="AI84" s="80">
        <v>0.402895</v>
      </c>
      <c r="AJ84" s="80">
        <v>500</v>
      </c>
      <c r="AK84" s="80"/>
      <c r="AL84" s="80" t="str">
        <f>REPLACE(INDEX(GroupVertices[Group],MATCH(Vertices[[#This Row],[Vertex]],GroupVertices[Vertex],0)),1,1,"")</f>
        <v>6</v>
      </c>
      <c r="AM84" s="49">
        <v>0</v>
      </c>
      <c r="AN84" s="50">
        <v>0</v>
      </c>
      <c r="AO84" s="49">
        <v>0</v>
      </c>
      <c r="AP84" s="50">
        <v>0</v>
      </c>
      <c r="AQ84" s="49">
        <v>0</v>
      </c>
      <c r="AR84" s="50">
        <v>0</v>
      </c>
      <c r="AS84" s="49">
        <v>12</v>
      </c>
      <c r="AT84" s="50">
        <v>100</v>
      </c>
      <c r="AU84" s="49">
        <v>12</v>
      </c>
      <c r="AV84" s="109" t="s">
        <v>1145</v>
      </c>
      <c r="AW84" s="109" t="s">
        <v>1145</v>
      </c>
      <c r="AX84" s="109" t="s">
        <v>1258</v>
      </c>
      <c r="AY84" s="109" t="s">
        <v>1258</v>
      </c>
      <c r="AZ84" s="2"/>
      <c r="BA84" s="3"/>
      <c r="BB84" s="3"/>
      <c r="BC84" s="3"/>
      <c r="BD84" s="3"/>
    </row>
    <row r="85" spans="1:56" ht="15">
      <c r="A85" s="65" t="s">
        <v>408</v>
      </c>
      <c r="B85" s="66"/>
      <c r="C85" s="66"/>
      <c r="D85" s="67">
        <v>54.092371677702836</v>
      </c>
      <c r="E85" s="69"/>
      <c r="F85" s="66"/>
      <c r="G85" s="66"/>
      <c r="H85" s="70" t="s">
        <v>408</v>
      </c>
      <c r="I85" s="71"/>
      <c r="J85" s="71"/>
      <c r="K85" s="70" t="s">
        <v>408</v>
      </c>
      <c r="L85" s="74">
        <v>67.71707763824512</v>
      </c>
      <c r="M85" s="75">
        <v>7101.1943359375</v>
      </c>
      <c r="N85" s="75">
        <v>4847.9423828125</v>
      </c>
      <c r="O85" s="76"/>
      <c r="P85" s="77"/>
      <c r="Q85" s="77"/>
      <c r="R85" s="82"/>
      <c r="S85" s="49">
        <v>5</v>
      </c>
      <c r="T85" s="49">
        <v>4</v>
      </c>
      <c r="U85" s="50">
        <v>19.844084</v>
      </c>
      <c r="V85" s="50">
        <v>0.003012</v>
      </c>
      <c r="W85" s="50">
        <v>0.007245</v>
      </c>
      <c r="X85" s="50">
        <v>0.916763</v>
      </c>
      <c r="Y85" s="50">
        <v>0.25</v>
      </c>
      <c r="Z85" s="50">
        <v>0.75</v>
      </c>
      <c r="AA85" s="72">
        <v>85</v>
      </c>
      <c r="AB85" s="72"/>
      <c r="AC85" s="73"/>
      <c r="AD85" s="80" t="s">
        <v>674</v>
      </c>
      <c r="AE85" s="96" t="str">
        <f>HYPERLINK("http://en.wikipedia.org/wiki/User:SomeBodyAnyBody05")</f>
        <v>http://en.wikipedia.org/wiki/User:SomeBodyAnyBody05</v>
      </c>
      <c r="AF85" s="80" t="s">
        <v>687</v>
      </c>
      <c r="AG85" s="80"/>
      <c r="AH85" s="80"/>
      <c r="AI85" s="80">
        <v>0.3007134</v>
      </c>
      <c r="AJ85" s="80">
        <v>500</v>
      </c>
      <c r="AK85" s="80"/>
      <c r="AL85" s="80" t="str">
        <f>REPLACE(INDEX(GroupVertices[Group],MATCH(Vertices[[#This Row],[Vertex]],GroupVertices[Vertex],0)),1,1,"")</f>
        <v>6</v>
      </c>
      <c r="AM85" s="49">
        <v>1</v>
      </c>
      <c r="AN85" s="50">
        <v>1.075268817204301</v>
      </c>
      <c r="AO85" s="49">
        <v>1</v>
      </c>
      <c r="AP85" s="50">
        <v>1.075268817204301</v>
      </c>
      <c r="AQ85" s="49">
        <v>0</v>
      </c>
      <c r="AR85" s="50">
        <v>0</v>
      </c>
      <c r="AS85" s="49">
        <v>91</v>
      </c>
      <c r="AT85" s="50">
        <v>97.84946236559139</v>
      </c>
      <c r="AU85" s="49">
        <v>93</v>
      </c>
      <c r="AV85" s="109" t="s">
        <v>1146</v>
      </c>
      <c r="AW85" s="109" t="s">
        <v>1190</v>
      </c>
      <c r="AX85" s="109" t="s">
        <v>1259</v>
      </c>
      <c r="AY85" s="109" t="s">
        <v>1296</v>
      </c>
      <c r="AZ85" s="2"/>
      <c r="BA85" s="3"/>
      <c r="BB85" s="3"/>
      <c r="BC85" s="3"/>
      <c r="BD85" s="3"/>
    </row>
    <row r="86" spans="1:56" ht="15">
      <c r="A86" s="65" t="s">
        <v>409</v>
      </c>
      <c r="B86" s="66"/>
      <c r="C86" s="66"/>
      <c r="D86" s="67">
        <v>72.69092899452005</v>
      </c>
      <c r="E86" s="69"/>
      <c r="F86" s="66"/>
      <c r="G86" s="66"/>
      <c r="H86" s="70" t="s">
        <v>409</v>
      </c>
      <c r="I86" s="71"/>
      <c r="J86" s="71"/>
      <c r="K86" s="70" t="s">
        <v>409</v>
      </c>
      <c r="L86" s="74">
        <v>370.9254590338389</v>
      </c>
      <c r="M86" s="75">
        <v>4086.638916015625</v>
      </c>
      <c r="N86" s="75">
        <v>6924.67724609375</v>
      </c>
      <c r="O86" s="76"/>
      <c r="P86" s="77"/>
      <c r="Q86" s="77"/>
      <c r="R86" s="82"/>
      <c r="S86" s="49">
        <v>3</v>
      </c>
      <c r="T86" s="49">
        <v>2</v>
      </c>
      <c r="U86" s="50">
        <v>110.029278</v>
      </c>
      <c r="V86" s="50">
        <v>0.0033</v>
      </c>
      <c r="W86" s="50">
        <v>0.008423</v>
      </c>
      <c r="X86" s="50">
        <v>0.814308</v>
      </c>
      <c r="Y86" s="50">
        <v>0.16666666666666666</v>
      </c>
      <c r="Z86" s="50">
        <v>0.25</v>
      </c>
      <c r="AA86" s="72">
        <v>86</v>
      </c>
      <c r="AB86" s="72"/>
      <c r="AC86" s="73"/>
      <c r="AD86" s="80" t="s">
        <v>674</v>
      </c>
      <c r="AE86" s="80" t="s">
        <v>682</v>
      </c>
      <c r="AF86" s="80" t="s">
        <v>687</v>
      </c>
      <c r="AG86" s="80"/>
      <c r="AH86" s="80"/>
      <c r="AI86" s="80">
        <v>0.4707928</v>
      </c>
      <c r="AJ86" s="80">
        <v>500</v>
      </c>
      <c r="AK86" s="80"/>
      <c r="AL86" s="80" t="str">
        <f>REPLACE(INDEX(GroupVertices[Group],MATCH(Vertices[[#This Row],[Vertex]],GroupVertices[Vertex],0)),1,1,"")</f>
        <v>1</v>
      </c>
      <c r="AM86" s="49">
        <v>2</v>
      </c>
      <c r="AN86" s="50">
        <v>10.526315789473685</v>
      </c>
      <c r="AO86" s="49">
        <v>0</v>
      </c>
      <c r="AP86" s="50">
        <v>0</v>
      </c>
      <c r="AQ86" s="49">
        <v>0</v>
      </c>
      <c r="AR86" s="50">
        <v>0</v>
      </c>
      <c r="AS86" s="49">
        <v>17</v>
      </c>
      <c r="AT86" s="50">
        <v>89.47368421052632</v>
      </c>
      <c r="AU86" s="49">
        <v>19</v>
      </c>
      <c r="AV86" s="109" t="s">
        <v>1147</v>
      </c>
      <c r="AW86" s="109" t="s">
        <v>1147</v>
      </c>
      <c r="AX86" s="109" t="s">
        <v>1260</v>
      </c>
      <c r="AY86" s="109" t="s">
        <v>1260</v>
      </c>
      <c r="AZ86" s="2"/>
      <c r="BA86" s="3"/>
      <c r="BB86" s="3"/>
      <c r="BC86" s="3"/>
      <c r="BD86" s="3"/>
    </row>
    <row r="87" spans="1:56" ht="15">
      <c r="A87" s="65" t="s">
        <v>410</v>
      </c>
      <c r="B87" s="66"/>
      <c r="C87" s="66"/>
      <c r="D87" s="67">
        <v>61.814399141962284</v>
      </c>
      <c r="E87" s="69"/>
      <c r="F87" s="66"/>
      <c r="G87" s="66"/>
      <c r="H87" s="70" t="s">
        <v>410</v>
      </c>
      <c r="I87" s="71"/>
      <c r="J87" s="71"/>
      <c r="K87" s="70" t="s">
        <v>410</v>
      </c>
      <c r="L87" s="74">
        <v>193.60767273366667</v>
      </c>
      <c r="M87" s="75">
        <v>2565.98779296875</v>
      </c>
      <c r="N87" s="75">
        <v>5425.998046875</v>
      </c>
      <c r="O87" s="76"/>
      <c r="P87" s="77"/>
      <c r="Q87" s="77"/>
      <c r="R87" s="82"/>
      <c r="S87" s="49">
        <v>4</v>
      </c>
      <c r="T87" s="49">
        <v>4</v>
      </c>
      <c r="U87" s="50">
        <v>57.288523</v>
      </c>
      <c r="V87" s="50">
        <v>0.003145</v>
      </c>
      <c r="W87" s="50">
        <v>0.008161</v>
      </c>
      <c r="X87" s="50">
        <v>1.158031</v>
      </c>
      <c r="Y87" s="50">
        <v>0.3</v>
      </c>
      <c r="Z87" s="50">
        <v>0.2</v>
      </c>
      <c r="AA87" s="72">
        <v>87</v>
      </c>
      <c r="AB87" s="72"/>
      <c r="AC87" s="73"/>
      <c r="AD87" s="80" t="s">
        <v>674</v>
      </c>
      <c r="AE87" s="96" t="str">
        <f>HYPERLINK("http://en.wikipedia.org/wiki/User:Khajidha")</f>
        <v>http://en.wikipedia.org/wiki/User:Khajidha</v>
      </c>
      <c r="AF87" s="80" t="s">
        <v>687</v>
      </c>
      <c r="AG87" s="80"/>
      <c r="AH87" s="80"/>
      <c r="AI87" s="80">
        <v>0.4603393</v>
      </c>
      <c r="AJ87" s="80">
        <v>500</v>
      </c>
      <c r="AK87" s="80"/>
      <c r="AL87" s="80" t="str">
        <f>REPLACE(INDEX(GroupVertices[Group],MATCH(Vertices[[#This Row],[Vertex]],GroupVertices[Vertex],0)),1,1,"")</f>
        <v>1</v>
      </c>
      <c r="AM87" s="49">
        <v>2</v>
      </c>
      <c r="AN87" s="50">
        <v>7.407407407407407</v>
      </c>
      <c r="AO87" s="49">
        <v>5</v>
      </c>
      <c r="AP87" s="50">
        <v>18.51851851851852</v>
      </c>
      <c r="AQ87" s="49">
        <v>0</v>
      </c>
      <c r="AR87" s="50">
        <v>0</v>
      </c>
      <c r="AS87" s="49">
        <v>20</v>
      </c>
      <c r="AT87" s="50">
        <v>74.07407407407408</v>
      </c>
      <c r="AU87" s="49">
        <v>27</v>
      </c>
      <c r="AV87" s="109" t="s">
        <v>1148</v>
      </c>
      <c r="AW87" s="109" t="s">
        <v>1148</v>
      </c>
      <c r="AX87" s="109" t="s">
        <v>1261</v>
      </c>
      <c r="AY87" s="109" t="s">
        <v>1261</v>
      </c>
      <c r="AZ87" s="2"/>
      <c r="BA87" s="3"/>
      <c r="BB87" s="3"/>
      <c r="BC87" s="3"/>
      <c r="BD87" s="3"/>
    </row>
    <row r="88" spans="1:56" ht="15">
      <c r="A88" s="65" t="s">
        <v>411</v>
      </c>
      <c r="B88" s="66"/>
      <c r="C88" s="66"/>
      <c r="D88" s="67">
        <v>51.11362192679669</v>
      </c>
      <c r="E88" s="69"/>
      <c r="F88" s="66"/>
      <c r="G88" s="66"/>
      <c r="H88" s="70" t="s">
        <v>411</v>
      </c>
      <c r="I88" s="71"/>
      <c r="J88" s="71"/>
      <c r="K88" s="70" t="s">
        <v>411</v>
      </c>
      <c r="L88" s="74">
        <v>19.15514484047355</v>
      </c>
      <c r="M88" s="75">
        <v>2656.400634765625</v>
      </c>
      <c r="N88" s="75">
        <v>9824.4951171875</v>
      </c>
      <c r="O88" s="76"/>
      <c r="P88" s="77"/>
      <c r="Q88" s="77"/>
      <c r="R88" s="82"/>
      <c r="S88" s="49">
        <v>1</v>
      </c>
      <c r="T88" s="49">
        <v>1</v>
      </c>
      <c r="U88" s="50">
        <v>5.4</v>
      </c>
      <c r="V88" s="50">
        <v>0.002674</v>
      </c>
      <c r="W88" s="50">
        <v>0.002165</v>
      </c>
      <c r="X88" s="50">
        <v>0.495658</v>
      </c>
      <c r="Y88" s="50">
        <v>0</v>
      </c>
      <c r="Z88" s="50">
        <v>0</v>
      </c>
      <c r="AA88" s="72">
        <v>88</v>
      </c>
      <c r="AB88" s="72"/>
      <c r="AC88" s="73"/>
      <c r="AD88" s="80" t="s">
        <v>674</v>
      </c>
      <c r="AE88" s="96" t="str">
        <f>HYPERLINK("http://en.wikipedia.org/wiki/User:TTTTRZON")</f>
        <v>http://en.wikipedia.org/wiki/User:TTTTRZON</v>
      </c>
      <c r="AF88" s="80" t="s">
        <v>687</v>
      </c>
      <c r="AG88" s="80"/>
      <c r="AH88" s="80"/>
      <c r="AI88" s="80">
        <v>0.2603748</v>
      </c>
      <c r="AJ88" s="80">
        <v>83</v>
      </c>
      <c r="AK88" s="80"/>
      <c r="AL88" s="80" t="str">
        <f>REPLACE(INDEX(GroupVertices[Group],MATCH(Vertices[[#This Row],[Vertex]],GroupVertices[Vertex],0)),1,1,"")</f>
        <v>1</v>
      </c>
      <c r="AM88" s="49">
        <v>0</v>
      </c>
      <c r="AN88" s="50">
        <v>0</v>
      </c>
      <c r="AO88" s="49">
        <v>0</v>
      </c>
      <c r="AP88" s="50">
        <v>0</v>
      </c>
      <c r="AQ88" s="49">
        <v>0</v>
      </c>
      <c r="AR88" s="50">
        <v>0</v>
      </c>
      <c r="AS88" s="49">
        <v>7</v>
      </c>
      <c r="AT88" s="50">
        <v>100</v>
      </c>
      <c r="AU88" s="49">
        <v>7</v>
      </c>
      <c r="AV88" s="109" t="s">
        <v>1149</v>
      </c>
      <c r="AW88" s="109" t="s">
        <v>1149</v>
      </c>
      <c r="AX88" s="109" t="s">
        <v>1262</v>
      </c>
      <c r="AY88" s="109" t="s">
        <v>1262</v>
      </c>
      <c r="AZ88" s="2"/>
      <c r="BA88" s="3"/>
      <c r="BB88" s="3"/>
      <c r="BC88" s="3"/>
      <c r="BD88" s="3"/>
    </row>
    <row r="89" spans="1:56" ht="15">
      <c r="A89" s="65" t="s">
        <v>412</v>
      </c>
      <c r="B89" s="66"/>
      <c r="C89" s="66"/>
      <c r="D89" s="67">
        <v>200</v>
      </c>
      <c r="E89" s="69"/>
      <c r="F89" s="66"/>
      <c r="G89" s="66"/>
      <c r="H89" s="70" t="s">
        <v>412</v>
      </c>
      <c r="I89" s="71"/>
      <c r="J89" s="71"/>
      <c r="K89" s="70" t="s">
        <v>412</v>
      </c>
      <c r="L89" s="74">
        <v>3629.3147672169316</v>
      </c>
      <c r="M89" s="75">
        <v>5743.8857421875</v>
      </c>
      <c r="N89" s="75">
        <v>3628.712158203125</v>
      </c>
      <c r="O89" s="76"/>
      <c r="P89" s="77"/>
      <c r="Q89" s="77"/>
      <c r="R89" s="82"/>
      <c r="S89" s="49">
        <v>11</v>
      </c>
      <c r="T89" s="49">
        <v>11</v>
      </c>
      <c r="U89" s="50">
        <v>1079.192698</v>
      </c>
      <c r="V89" s="50">
        <v>0.004082</v>
      </c>
      <c r="W89" s="50">
        <v>0.03585</v>
      </c>
      <c r="X89" s="50">
        <v>2.823151</v>
      </c>
      <c r="Y89" s="50">
        <v>0.15416666666666667</v>
      </c>
      <c r="Z89" s="50">
        <v>0.25</v>
      </c>
      <c r="AA89" s="72">
        <v>89</v>
      </c>
      <c r="AB89" s="72"/>
      <c r="AC89" s="73"/>
      <c r="AD89" s="80" t="s">
        <v>674</v>
      </c>
      <c r="AE89" s="96" t="str">
        <f>HYPERLINK("http://en.wikipedia.org/wiki/User:Thedino778")</f>
        <v>http://en.wikipedia.org/wiki/User:Thedino778</v>
      </c>
      <c r="AF89" s="80" t="s">
        <v>687</v>
      </c>
      <c r="AG89" s="80"/>
      <c r="AH89" s="80"/>
      <c r="AI89" s="80">
        <v>0.4424242</v>
      </c>
      <c r="AJ89" s="80">
        <v>66</v>
      </c>
      <c r="AK89" s="80"/>
      <c r="AL89" s="80" t="str">
        <f>REPLACE(INDEX(GroupVertices[Group],MATCH(Vertices[[#This Row],[Vertex]],GroupVertices[Vertex],0)),1,1,"")</f>
        <v>5</v>
      </c>
      <c r="AM89" s="49">
        <v>0</v>
      </c>
      <c r="AN89" s="50">
        <v>0</v>
      </c>
      <c r="AO89" s="49">
        <v>7</v>
      </c>
      <c r="AP89" s="50">
        <v>22.580645161290324</v>
      </c>
      <c r="AQ89" s="49">
        <v>0</v>
      </c>
      <c r="AR89" s="50">
        <v>0</v>
      </c>
      <c r="AS89" s="49">
        <v>24</v>
      </c>
      <c r="AT89" s="50">
        <v>77.41935483870968</v>
      </c>
      <c r="AU89" s="49">
        <v>31</v>
      </c>
      <c r="AV89" s="109" t="s">
        <v>1150</v>
      </c>
      <c r="AW89" s="109" t="s">
        <v>1191</v>
      </c>
      <c r="AX89" s="109" t="s">
        <v>1009</v>
      </c>
      <c r="AY89" s="109" t="s">
        <v>1009</v>
      </c>
      <c r="AZ89" s="2"/>
      <c r="BA89" s="3"/>
      <c r="BB89" s="3"/>
      <c r="BC89" s="3"/>
      <c r="BD89" s="3"/>
    </row>
    <row r="90" spans="1:56" ht="15">
      <c r="A90" s="65" t="s">
        <v>433</v>
      </c>
      <c r="B90" s="66"/>
      <c r="C90" s="66"/>
      <c r="D90" s="67">
        <v>83.55259673755961</v>
      </c>
      <c r="E90" s="69"/>
      <c r="F90" s="66"/>
      <c r="G90" s="66"/>
      <c r="H90" s="70" t="s">
        <v>433</v>
      </c>
      <c r="I90" s="71"/>
      <c r="J90" s="71"/>
      <c r="K90" s="70" t="s">
        <v>433</v>
      </c>
      <c r="L90" s="74">
        <v>548.0009514778594</v>
      </c>
      <c r="M90" s="75">
        <v>3369.688720703125</v>
      </c>
      <c r="N90" s="75">
        <v>1873.686279296875</v>
      </c>
      <c r="O90" s="76"/>
      <c r="P90" s="77"/>
      <c r="Q90" s="77"/>
      <c r="R90" s="82"/>
      <c r="S90" s="49">
        <v>5</v>
      </c>
      <c r="T90" s="49">
        <v>5</v>
      </c>
      <c r="U90" s="50">
        <v>162.697966</v>
      </c>
      <c r="V90" s="50">
        <v>0.003636</v>
      </c>
      <c r="W90" s="50">
        <v>0.021485</v>
      </c>
      <c r="X90" s="50">
        <v>1.466092</v>
      </c>
      <c r="Y90" s="50">
        <v>0.23214285714285715</v>
      </c>
      <c r="Z90" s="50">
        <v>0</v>
      </c>
      <c r="AA90" s="72">
        <v>90</v>
      </c>
      <c r="AB90" s="72"/>
      <c r="AC90" s="73"/>
      <c r="AD90" s="80" t="s">
        <v>674</v>
      </c>
      <c r="AE90" s="96" t="str">
        <f>HYPERLINK("http://en.wikipedia.org/wiki/User:Spy-cicle")</f>
        <v>http://en.wikipedia.org/wiki/User:Spy-cicle</v>
      </c>
      <c r="AF90" s="80" t="s">
        <v>687</v>
      </c>
      <c r="AG90" s="80"/>
      <c r="AH90" s="80"/>
      <c r="AI90" s="80">
        <v>0.4825066</v>
      </c>
      <c r="AJ90" s="80">
        <v>500</v>
      </c>
      <c r="AK90" s="80"/>
      <c r="AL90" s="80" t="str">
        <f>REPLACE(INDEX(GroupVertices[Group],MATCH(Vertices[[#This Row],[Vertex]],GroupVertices[Vertex],0)),1,1,"")</f>
        <v>2</v>
      </c>
      <c r="AM90" s="49">
        <v>1</v>
      </c>
      <c r="AN90" s="50">
        <v>2.7027027027027026</v>
      </c>
      <c r="AO90" s="49">
        <v>3</v>
      </c>
      <c r="AP90" s="50">
        <v>8.108108108108109</v>
      </c>
      <c r="AQ90" s="49">
        <v>0</v>
      </c>
      <c r="AR90" s="50">
        <v>0</v>
      </c>
      <c r="AS90" s="49">
        <v>33</v>
      </c>
      <c r="AT90" s="50">
        <v>89.1891891891892</v>
      </c>
      <c r="AU90" s="49">
        <v>37</v>
      </c>
      <c r="AV90" s="109" t="s">
        <v>1151</v>
      </c>
      <c r="AW90" s="109" t="s">
        <v>1151</v>
      </c>
      <c r="AX90" s="109" t="s">
        <v>1263</v>
      </c>
      <c r="AY90" s="109" t="s">
        <v>1263</v>
      </c>
      <c r="AZ90" s="2"/>
      <c r="BA90" s="3"/>
      <c r="BB90" s="3"/>
      <c r="BC90" s="3"/>
      <c r="BD90" s="3"/>
    </row>
    <row r="91" spans="1:56" ht="15">
      <c r="A91" s="65" t="s">
        <v>414</v>
      </c>
      <c r="B91" s="66"/>
      <c r="C91" s="66"/>
      <c r="D91" s="67">
        <v>50</v>
      </c>
      <c r="E91" s="69"/>
      <c r="F91" s="66"/>
      <c r="G91" s="66"/>
      <c r="H91" s="70" t="s">
        <v>414</v>
      </c>
      <c r="I91" s="71"/>
      <c r="J91" s="71"/>
      <c r="K91" s="70" t="s">
        <v>414</v>
      </c>
      <c r="L91" s="74">
        <v>1</v>
      </c>
      <c r="M91" s="75">
        <v>9186.1015625</v>
      </c>
      <c r="N91" s="75">
        <v>8919.943359375</v>
      </c>
      <c r="O91" s="76"/>
      <c r="P91" s="77"/>
      <c r="Q91" s="77"/>
      <c r="R91" s="82"/>
      <c r="S91" s="49">
        <v>2</v>
      </c>
      <c r="T91" s="49">
        <v>2</v>
      </c>
      <c r="U91" s="50">
        <v>0</v>
      </c>
      <c r="V91" s="50">
        <v>0.002841</v>
      </c>
      <c r="W91" s="50">
        <v>0.004958</v>
      </c>
      <c r="X91" s="50">
        <v>0.612417</v>
      </c>
      <c r="Y91" s="50">
        <v>0.5</v>
      </c>
      <c r="Z91" s="50">
        <v>0</v>
      </c>
      <c r="AA91" s="72">
        <v>91</v>
      </c>
      <c r="AB91" s="72"/>
      <c r="AC91" s="73"/>
      <c r="AD91" s="80" t="s">
        <v>674</v>
      </c>
      <c r="AE91" s="96" t="str">
        <f>HYPERLINK("http://en.wikipedia.org/wiki/User:YeetitsSara")</f>
        <v>http://en.wikipedia.org/wiki/User:YeetitsSara</v>
      </c>
      <c r="AF91" s="80" t="s">
        <v>687</v>
      </c>
      <c r="AG91" s="80"/>
      <c r="AH91" s="80"/>
      <c r="AI91" s="80">
        <v>0.1666666</v>
      </c>
      <c r="AJ91" s="80">
        <v>3</v>
      </c>
      <c r="AK91" s="80"/>
      <c r="AL91" s="80" t="str">
        <f>REPLACE(INDEX(GroupVertices[Group],MATCH(Vertices[[#This Row],[Vertex]],GroupVertices[Vertex],0)),1,1,"")</f>
        <v>4</v>
      </c>
      <c r="AM91" s="49">
        <v>0</v>
      </c>
      <c r="AN91" s="50">
        <v>0</v>
      </c>
      <c r="AO91" s="49">
        <v>0</v>
      </c>
      <c r="AP91" s="50">
        <v>0</v>
      </c>
      <c r="AQ91" s="49">
        <v>0</v>
      </c>
      <c r="AR91" s="50">
        <v>0</v>
      </c>
      <c r="AS91" s="49">
        <v>11</v>
      </c>
      <c r="AT91" s="50">
        <v>100</v>
      </c>
      <c r="AU91" s="49">
        <v>11</v>
      </c>
      <c r="AV91" s="109" t="s">
        <v>1152</v>
      </c>
      <c r="AW91" s="109" t="s">
        <v>1152</v>
      </c>
      <c r="AX91" s="109" t="s">
        <v>1264</v>
      </c>
      <c r="AY91" s="109" t="s">
        <v>1264</v>
      </c>
      <c r="AZ91" s="2"/>
      <c r="BA91" s="3"/>
      <c r="BB91" s="3"/>
      <c r="BC91" s="3"/>
      <c r="BD91" s="3"/>
    </row>
    <row r="92" spans="1:56" ht="15">
      <c r="A92" s="65" t="s">
        <v>415</v>
      </c>
      <c r="B92" s="66"/>
      <c r="C92" s="66"/>
      <c r="D92" s="67">
        <v>50</v>
      </c>
      <c r="E92" s="69"/>
      <c r="F92" s="66"/>
      <c r="G92" s="66"/>
      <c r="H92" s="70" t="s">
        <v>415</v>
      </c>
      <c r="I92" s="71"/>
      <c r="J92" s="71"/>
      <c r="K92" s="70" t="s">
        <v>415</v>
      </c>
      <c r="L92" s="74">
        <v>1</v>
      </c>
      <c r="M92" s="75">
        <v>4214.01416015625</v>
      </c>
      <c r="N92" s="75">
        <v>4338.033203125</v>
      </c>
      <c r="O92" s="76"/>
      <c r="P92" s="77"/>
      <c r="Q92" s="77"/>
      <c r="R92" s="82"/>
      <c r="S92" s="49">
        <v>2</v>
      </c>
      <c r="T92" s="49">
        <v>2</v>
      </c>
      <c r="U92" s="50">
        <v>0</v>
      </c>
      <c r="V92" s="50">
        <v>0.002793</v>
      </c>
      <c r="W92" s="50">
        <v>0.003953</v>
      </c>
      <c r="X92" s="50">
        <v>0.695847</v>
      </c>
      <c r="Y92" s="50">
        <v>0.5</v>
      </c>
      <c r="Z92" s="50">
        <v>0</v>
      </c>
      <c r="AA92" s="72">
        <v>92</v>
      </c>
      <c r="AB92" s="72"/>
      <c r="AC92" s="73"/>
      <c r="AD92" s="80" t="s">
        <v>674</v>
      </c>
      <c r="AE92" s="96" t="str">
        <f>HYPERLINK("http://en.wikipedia.org/wiki/User:WhoAteMyButter")</f>
        <v>http://en.wikipedia.org/wiki/User:WhoAteMyButter</v>
      </c>
      <c r="AF92" s="80" t="s">
        <v>687</v>
      </c>
      <c r="AG92" s="80"/>
      <c r="AH92" s="80"/>
      <c r="AI92" s="80">
        <v>0.2853295</v>
      </c>
      <c r="AJ92" s="80">
        <v>500</v>
      </c>
      <c r="AK92" s="80"/>
      <c r="AL92" s="80" t="str">
        <f>REPLACE(INDEX(GroupVertices[Group],MATCH(Vertices[[#This Row],[Vertex]],GroupVertices[Vertex],0)),1,1,"")</f>
        <v>5</v>
      </c>
      <c r="AM92" s="49">
        <v>0</v>
      </c>
      <c r="AN92" s="50">
        <v>0</v>
      </c>
      <c r="AO92" s="49">
        <v>2</v>
      </c>
      <c r="AP92" s="50">
        <v>25</v>
      </c>
      <c r="AQ92" s="49">
        <v>0</v>
      </c>
      <c r="AR92" s="50">
        <v>0</v>
      </c>
      <c r="AS92" s="49">
        <v>6</v>
      </c>
      <c r="AT92" s="50">
        <v>75</v>
      </c>
      <c r="AU92" s="49">
        <v>8</v>
      </c>
      <c r="AV92" s="109" t="s">
        <v>732</v>
      </c>
      <c r="AW92" s="109" t="s">
        <v>732</v>
      </c>
      <c r="AX92" s="109" t="s">
        <v>1088</v>
      </c>
      <c r="AY92" s="109" t="s">
        <v>1088</v>
      </c>
      <c r="AZ92" s="2"/>
      <c r="BA92" s="3"/>
      <c r="BB92" s="3"/>
      <c r="BC92" s="3"/>
      <c r="BD92" s="3"/>
    </row>
    <row r="93" spans="1:56" ht="15">
      <c r="A93" s="65" t="s">
        <v>416</v>
      </c>
      <c r="B93" s="66"/>
      <c r="C93" s="66"/>
      <c r="D93" s="67">
        <v>50</v>
      </c>
      <c r="E93" s="69"/>
      <c r="F93" s="66"/>
      <c r="G93" s="66"/>
      <c r="H93" s="70" t="s">
        <v>416</v>
      </c>
      <c r="I93" s="71"/>
      <c r="J93" s="71"/>
      <c r="K93" s="70" t="s">
        <v>416</v>
      </c>
      <c r="L93" s="74">
        <v>1</v>
      </c>
      <c r="M93" s="75">
        <v>4279.27978515625</v>
      </c>
      <c r="N93" s="75">
        <v>3331.1318359375</v>
      </c>
      <c r="O93" s="76"/>
      <c r="P93" s="77"/>
      <c r="Q93" s="77"/>
      <c r="R93" s="82"/>
      <c r="S93" s="49">
        <v>1</v>
      </c>
      <c r="T93" s="49">
        <v>1</v>
      </c>
      <c r="U93" s="50">
        <v>0</v>
      </c>
      <c r="V93" s="50">
        <v>0.002793</v>
      </c>
      <c r="W93" s="50">
        <v>0.003623</v>
      </c>
      <c r="X93" s="50">
        <v>0.488314</v>
      </c>
      <c r="Y93" s="50">
        <v>0.5</v>
      </c>
      <c r="Z93" s="50">
        <v>0</v>
      </c>
      <c r="AA93" s="72">
        <v>93</v>
      </c>
      <c r="AB93" s="72"/>
      <c r="AC93" s="73"/>
      <c r="AD93" s="80" t="s">
        <v>674</v>
      </c>
      <c r="AE93" s="80" t="s">
        <v>683</v>
      </c>
      <c r="AF93" s="80" t="s">
        <v>687</v>
      </c>
      <c r="AG93" s="80"/>
      <c r="AH93" s="80"/>
      <c r="AI93" s="80">
        <v>0.3776917</v>
      </c>
      <c r="AJ93" s="80">
        <v>500</v>
      </c>
      <c r="AK93" s="80"/>
      <c r="AL93" s="80" t="str">
        <f>REPLACE(INDEX(GroupVertices[Group],MATCH(Vertices[[#This Row],[Vertex]],GroupVertices[Vertex],0)),1,1,"")</f>
        <v>5</v>
      </c>
      <c r="AM93" s="49">
        <v>0</v>
      </c>
      <c r="AN93" s="50">
        <v>0</v>
      </c>
      <c r="AO93" s="49">
        <v>1</v>
      </c>
      <c r="AP93" s="50">
        <v>16.666666666666668</v>
      </c>
      <c r="AQ93" s="49">
        <v>0</v>
      </c>
      <c r="AR93" s="50">
        <v>0</v>
      </c>
      <c r="AS93" s="49">
        <v>5</v>
      </c>
      <c r="AT93" s="50">
        <v>83.33333333333333</v>
      </c>
      <c r="AU93" s="49">
        <v>6</v>
      </c>
      <c r="AV93" s="109" t="s">
        <v>1153</v>
      </c>
      <c r="AW93" s="109" t="s">
        <v>1153</v>
      </c>
      <c r="AX93" s="109" t="s">
        <v>1265</v>
      </c>
      <c r="AY93" s="109" t="s">
        <v>1265</v>
      </c>
      <c r="AZ93" s="2"/>
      <c r="BA93" s="3"/>
      <c r="BB93" s="3"/>
      <c r="BC93" s="3"/>
      <c r="BD93" s="3"/>
    </row>
    <row r="94" spans="1:56" ht="15">
      <c r="A94" s="65" t="s">
        <v>417</v>
      </c>
      <c r="B94" s="66"/>
      <c r="C94" s="66"/>
      <c r="D94" s="67">
        <v>50</v>
      </c>
      <c r="E94" s="69"/>
      <c r="F94" s="66"/>
      <c r="G94" s="66"/>
      <c r="H94" s="70" t="s">
        <v>417</v>
      </c>
      <c r="I94" s="71"/>
      <c r="J94" s="71"/>
      <c r="K94" s="70" t="s">
        <v>417</v>
      </c>
      <c r="L94" s="74">
        <v>1</v>
      </c>
      <c r="M94" s="75">
        <v>6029.1416015625</v>
      </c>
      <c r="N94" s="75">
        <v>2679.47216796875</v>
      </c>
      <c r="O94" s="76"/>
      <c r="P94" s="77"/>
      <c r="Q94" s="77"/>
      <c r="R94" s="82"/>
      <c r="S94" s="49">
        <v>2</v>
      </c>
      <c r="T94" s="49">
        <v>2</v>
      </c>
      <c r="U94" s="50">
        <v>0</v>
      </c>
      <c r="V94" s="50">
        <v>0.002809</v>
      </c>
      <c r="W94" s="50">
        <v>0.006087</v>
      </c>
      <c r="X94" s="50">
        <v>0.601179</v>
      </c>
      <c r="Y94" s="50">
        <v>0.5</v>
      </c>
      <c r="Z94" s="50">
        <v>0</v>
      </c>
      <c r="AA94" s="72">
        <v>94</v>
      </c>
      <c r="AB94" s="72"/>
      <c r="AC94" s="73"/>
      <c r="AD94" s="80" t="s">
        <v>674</v>
      </c>
      <c r="AE94" s="96" t="str">
        <f>HYPERLINK("http://en.wikipedia.org/wiki/User:Valjean")</f>
        <v>http://en.wikipedia.org/wiki/User:Valjean</v>
      </c>
      <c r="AF94" s="80" t="s">
        <v>687</v>
      </c>
      <c r="AG94" s="80"/>
      <c r="AH94" s="80"/>
      <c r="AI94" s="80">
        <v>0.5604197</v>
      </c>
      <c r="AJ94" s="80">
        <v>500</v>
      </c>
      <c r="AK94" s="80"/>
      <c r="AL94" s="80" t="str">
        <f>REPLACE(INDEX(GroupVertices[Group],MATCH(Vertices[[#This Row],[Vertex]],GroupVertices[Vertex],0)),1,1,"")</f>
        <v>5</v>
      </c>
      <c r="AM94" s="49">
        <v>1</v>
      </c>
      <c r="AN94" s="50">
        <v>4.166666666666667</v>
      </c>
      <c r="AO94" s="49">
        <v>2</v>
      </c>
      <c r="AP94" s="50">
        <v>8.333333333333334</v>
      </c>
      <c r="AQ94" s="49">
        <v>0</v>
      </c>
      <c r="AR94" s="50">
        <v>0</v>
      </c>
      <c r="AS94" s="49">
        <v>21</v>
      </c>
      <c r="AT94" s="50">
        <v>87.5</v>
      </c>
      <c r="AU94" s="49">
        <v>24</v>
      </c>
      <c r="AV94" s="109" t="s">
        <v>1154</v>
      </c>
      <c r="AW94" s="109" t="s">
        <v>1154</v>
      </c>
      <c r="AX94" s="109" t="s">
        <v>1266</v>
      </c>
      <c r="AY94" s="109" t="s">
        <v>1266</v>
      </c>
      <c r="AZ94" s="2"/>
      <c r="BA94" s="3"/>
      <c r="BB94" s="3"/>
      <c r="BC94" s="3"/>
      <c r="BD94" s="3"/>
    </row>
    <row r="95" spans="1:56" ht="15">
      <c r="A95" s="65" t="s">
        <v>418</v>
      </c>
      <c r="B95" s="66"/>
      <c r="C95" s="66"/>
      <c r="D95" s="67">
        <v>50</v>
      </c>
      <c r="E95" s="69"/>
      <c r="F95" s="66"/>
      <c r="G95" s="66"/>
      <c r="H95" s="70" t="s">
        <v>418</v>
      </c>
      <c r="I95" s="71"/>
      <c r="J95" s="71"/>
      <c r="K95" s="70" t="s">
        <v>418</v>
      </c>
      <c r="L95" s="74">
        <v>1</v>
      </c>
      <c r="M95" s="75">
        <v>5447.49853515625</v>
      </c>
      <c r="N95" s="75">
        <v>4912.80517578125</v>
      </c>
      <c r="O95" s="76"/>
      <c r="P95" s="77"/>
      <c r="Q95" s="77"/>
      <c r="R95" s="82"/>
      <c r="S95" s="49">
        <v>1</v>
      </c>
      <c r="T95" s="49">
        <v>1</v>
      </c>
      <c r="U95" s="50">
        <v>0</v>
      </c>
      <c r="V95" s="50">
        <v>0.003145</v>
      </c>
      <c r="W95" s="50">
        <v>0.006923</v>
      </c>
      <c r="X95" s="50">
        <v>0.438721</v>
      </c>
      <c r="Y95" s="50">
        <v>0.5</v>
      </c>
      <c r="Z95" s="50">
        <v>0</v>
      </c>
      <c r="AA95" s="72">
        <v>95</v>
      </c>
      <c r="AB95" s="72"/>
      <c r="AC95" s="73"/>
      <c r="AD95" s="80" t="s">
        <v>674</v>
      </c>
      <c r="AE95" s="96" t="str">
        <f>HYPERLINK("http://en.wikipedia.org/wiki/User:JJMC89")</f>
        <v>http://en.wikipedia.org/wiki/User:JJMC89</v>
      </c>
      <c r="AF95" s="80" t="s">
        <v>687</v>
      </c>
      <c r="AG95" s="80"/>
      <c r="AH95" s="80"/>
      <c r="AI95" s="80">
        <v>0.348883</v>
      </c>
      <c r="AJ95" s="80">
        <v>500</v>
      </c>
      <c r="AK95" s="80"/>
      <c r="AL95" s="80" t="str">
        <f>REPLACE(INDEX(GroupVertices[Group],MATCH(Vertices[[#This Row],[Vertex]],GroupVertices[Vertex],0)),1,1,"")</f>
        <v>5</v>
      </c>
      <c r="AM95" s="49">
        <v>0</v>
      </c>
      <c r="AN95" s="50">
        <v>0</v>
      </c>
      <c r="AO95" s="49">
        <v>0</v>
      </c>
      <c r="AP95" s="50">
        <v>0</v>
      </c>
      <c r="AQ95" s="49">
        <v>0</v>
      </c>
      <c r="AR95" s="50">
        <v>0</v>
      </c>
      <c r="AS95" s="49">
        <v>16</v>
      </c>
      <c r="AT95" s="50">
        <v>100</v>
      </c>
      <c r="AU95" s="49">
        <v>16</v>
      </c>
      <c r="AV95" s="109" t="s">
        <v>1155</v>
      </c>
      <c r="AW95" s="109" t="s">
        <v>1155</v>
      </c>
      <c r="AX95" s="109" t="s">
        <v>1267</v>
      </c>
      <c r="AY95" s="109" t="s">
        <v>1267</v>
      </c>
      <c r="AZ95" s="2"/>
      <c r="BA95" s="3"/>
      <c r="BB95" s="3"/>
      <c r="BC95" s="3"/>
      <c r="BD95" s="3"/>
    </row>
    <row r="96" spans="1:56" ht="15">
      <c r="A96" s="65" t="s">
        <v>419</v>
      </c>
      <c r="B96" s="66"/>
      <c r="C96" s="66"/>
      <c r="D96" s="67">
        <v>50</v>
      </c>
      <c r="E96" s="69"/>
      <c r="F96" s="66"/>
      <c r="G96" s="66"/>
      <c r="H96" s="70" t="s">
        <v>419</v>
      </c>
      <c r="I96" s="71"/>
      <c r="J96" s="71"/>
      <c r="K96" s="70" t="s">
        <v>419</v>
      </c>
      <c r="L96" s="74">
        <v>1</v>
      </c>
      <c r="M96" s="75">
        <v>1344.474365234375</v>
      </c>
      <c r="N96" s="75">
        <v>173.5438690185547</v>
      </c>
      <c r="O96" s="76"/>
      <c r="P96" s="77"/>
      <c r="Q96" s="77"/>
      <c r="R96" s="82"/>
      <c r="S96" s="49">
        <v>1</v>
      </c>
      <c r="T96" s="49">
        <v>1</v>
      </c>
      <c r="U96" s="50">
        <v>0</v>
      </c>
      <c r="V96" s="50">
        <v>0.002762</v>
      </c>
      <c r="W96" s="50">
        <v>0.00376</v>
      </c>
      <c r="X96" s="50">
        <v>0.479714</v>
      </c>
      <c r="Y96" s="50">
        <v>0.5</v>
      </c>
      <c r="Z96" s="50">
        <v>0</v>
      </c>
      <c r="AA96" s="72">
        <v>96</v>
      </c>
      <c r="AB96" s="72"/>
      <c r="AC96" s="73"/>
      <c r="AD96" s="80" t="s">
        <v>674</v>
      </c>
      <c r="AE96" s="96" t="str">
        <f>HYPERLINK("http://en.wikipedia.org/wiki/User:2600:1702:2340:9470:9512:EF4F:1107:4D3D")</f>
        <v>http://en.wikipedia.org/wiki/User:2600:1702:2340:9470:9512:EF4F:1107:4D3D</v>
      </c>
      <c r="AF96" s="80" t="s">
        <v>687</v>
      </c>
      <c r="AG96" s="80"/>
      <c r="AH96" s="80"/>
      <c r="AI96" s="80">
        <v>0</v>
      </c>
      <c r="AJ96" s="80">
        <v>1</v>
      </c>
      <c r="AK96" s="80"/>
      <c r="AL96" s="80" t="str">
        <f>REPLACE(INDEX(GroupVertices[Group],MATCH(Vertices[[#This Row],[Vertex]],GroupVertices[Vertex],0)),1,1,"")</f>
        <v>2</v>
      </c>
      <c r="AM96" s="49">
        <v>0</v>
      </c>
      <c r="AN96" s="50">
        <v>0</v>
      </c>
      <c r="AO96" s="49">
        <v>0</v>
      </c>
      <c r="AP96" s="50">
        <v>0</v>
      </c>
      <c r="AQ96" s="49">
        <v>0</v>
      </c>
      <c r="AR96" s="50">
        <v>0</v>
      </c>
      <c r="AS96" s="49">
        <v>4</v>
      </c>
      <c r="AT96" s="50">
        <v>100</v>
      </c>
      <c r="AU96" s="49">
        <v>4</v>
      </c>
      <c r="AV96" s="109" t="s">
        <v>1156</v>
      </c>
      <c r="AW96" s="109" t="s">
        <v>1156</v>
      </c>
      <c r="AX96" s="109" t="s">
        <v>1268</v>
      </c>
      <c r="AY96" s="109" t="s">
        <v>1268</v>
      </c>
      <c r="AZ96" s="2"/>
      <c r="BA96" s="3"/>
      <c r="BB96" s="3"/>
      <c r="BC96" s="3"/>
      <c r="BD96" s="3"/>
    </row>
    <row r="97" spans="1:56" ht="15">
      <c r="A97" s="65" t="s">
        <v>420</v>
      </c>
      <c r="B97" s="66"/>
      <c r="C97" s="66"/>
      <c r="D97" s="67">
        <v>59.131893652438606</v>
      </c>
      <c r="E97" s="69"/>
      <c r="F97" s="66"/>
      <c r="G97" s="66"/>
      <c r="H97" s="70" t="s">
        <v>420</v>
      </c>
      <c r="I97" s="71"/>
      <c r="J97" s="71"/>
      <c r="K97" s="70" t="s">
        <v>420</v>
      </c>
      <c r="L97" s="74">
        <v>149.8753480319109</v>
      </c>
      <c r="M97" s="75">
        <v>133.06808471679688</v>
      </c>
      <c r="N97" s="75">
        <v>1740.343017578125</v>
      </c>
      <c r="O97" s="76"/>
      <c r="P97" s="77"/>
      <c r="Q97" s="77"/>
      <c r="R97" s="82"/>
      <c r="S97" s="49">
        <v>2</v>
      </c>
      <c r="T97" s="49">
        <v>2</v>
      </c>
      <c r="U97" s="50">
        <v>44.28094</v>
      </c>
      <c r="V97" s="50">
        <v>0.003279</v>
      </c>
      <c r="W97" s="50">
        <v>0.009362</v>
      </c>
      <c r="X97" s="50">
        <v>0.813832</v>
      </c>
      <c r="Y97" s="50">
        <v>0.3333333333333333</v>
      </c>
      <c r="Z97" s="50">
        <v>0</v>
      </c>
      <c r="AA97" s="72">
        <v>97</v>
      </c>
      <c r="AB97" s="72"/>
      <c r="AC97" s="73"/>
      <c r="AD97" s="80" t="s">
        <v>674</v>
      </c>
      <c r="AE97" s="96" t="str">
        <f>HYPERLINK("http://en.wikipedia.org/wiki/User:Legobot")</f>
        <v>http://en.wikipedia.org/wiki/User:Legobot</v>
      </c>
      <c r="AF97" s="80" t="s">
        <v>687</v>
      </c>
      <c r="AG97" s="80"/>
      <c r="AH97" s="80"/>
      <c r="AI97" s="80">
        <v>0.5861521</v>
      </c>
      <c r="AJ97" s="80">
        <v>500</v>
      </c>
      <c r="AK97" s="80"/>
      <c r="AL97" s="80" t="str">
        <f>REPLACE(INDEX(GroupVertices[Group],MATCH(Vertices[[#This Row],[Vertex]],GroupVertices[Vertex],0)),1,1,"")</f>
        <v>2</v>
      </c>
      <c r="AM97" s="49">
        <v>0</v>
      </c>
      <c r="AN97" s="50">
        <v>0</v>
      </c>
      <c r="AO97" s="49">
        <v>2</v>
      </c>
      <c r="AP97" s="50">
        <v>25</v>
      </c>
      <c r="AQ97" s="49">
        <v>0</v>
      </c>
      <c r="AR97" s="50">
        <v>0</v>
      </c>
      <c r="AS97" s="49">
        <v>6</v>
      </c>
      <c r="AT97" s="50">
        <v>75</v>
      </c>
      <c r="AU97" s="49">
        <v>8</v>
      </c>
      <c r="AV97" s="109" t="s">
        <v>1157</v>
      </c>
      <c r="AW97" s="109" t="s">
        <v>1157</v>
      </c>
      <c r="AX97" s="109" t="s">
        <v>1269</v>
      </c>
      <c r="AY97" s="109" t="s">
        <v>1269</v>
      </c>
      <c r="AZ97" s="2"/>
      <c r="BA97" s="3"/>
      <c r="BB97" s="3"/>
      <c r="BC97" s="3"/>
      <c r="BD97" s="3"/>
    </row>
    <row r="98" spans="1:56" ht="15">
      <c r="A98" s="65" t="s">
        <v>421</v>
      </c>
      <c r="B98" s="66"/>
      <c r="C98" s="66"/>
      <c r="D98" s="67">
        <v>50</v>
      </c>
      <c r="E98" s="69"/>
      <c r="F98" s="66"/>
      <c r="G98" s="66"/>
      <c r="H98" s="70" t="s">
        <v>421</v>
      </c>
      <c r="I98" s="71"/>
      <c r="J98" s="71"/>
      <c r="K98" s="70" t="s">
        <v>421</v>
      </c>
      <c r="L98" s="74">
        <v>1</v>
      </c>
      <c r="M98" s="75">
        <v>8839.5556640625</v>
      </c>
      <c r="N98" s="75">
        <v>173.5438690185547</v>
      </c>
      <c r="O98" s="76"/>
      <c r="P98" s="77"/>
      <c r="Q98" s="77"/>
      <c r="R98" s="82"/>
      <c r="S98" s="49">
        <v>1</v>
      </c>
      <c r="T98" s="49">
        <v>1</v>
      </c>
      <c r="U98" s="50">
        <v>0</v>
      </c>
      <c r="V98" s="50">
        <v>0.002123</v>
      </c>
      <c r="W98" s="50">
        <v>0.00027</v>
      </c>
      <c r="X98" s="50">
        <v>0.419907</v>
      </c>
      <c r="Y98" s="50">
        <v>0</v>
      </c>
      <c r="Z98" s="50">
        <v>1</v>
      </c>
      <c r="AA98" s="72">
        <v>98</v>
      </c>
      <c r="AB98" s="72"/>
      <c r="AC98" s="73"/>
      <c r="AD98" s="80" t="s">
        <v>674</v>
      </c>
      <c r="AE98" s="80" t="s">
        <v>684</v>
      </c>
      <c r="AF98" s="80" t="s">
        <v>687</v>
      </c>
      <c r="AG98" s="80"/>
      <c r="AH98" s="80"/>
      <c r="AI98" s="80">
        <v>0.259039</v>
      </c>
      <c r="AJ98" s="80">
        <v>500</v>
      </c>
      <c r="AK98" s="80"/>
      <c r="AL98" s="80" t="str">
        <f>REPLACE(INDEX(GroupVertices[Group],MATCH(Vertices[[#This Row],[Vertex]],GroupVertices[Vertex],0)),1,1,"")</f>
        <v>9</v>
      </c>
      <c r="AM98" s="49">
        <v>0</v>
      </c>
      <c r="AN98" s="50">
        <v>0</v>
      </c>
      <c r="AO98" s="49">
        <v>0</v>
      </c>
      <c r="AP98" s="50">
        <v>0</v>
      </c>
      <c r="AQ98" s="49">
        <v>0</v>
      </c>
      <c r="AR98" s="50">
        <v>0</v>
      </c>
      <c r="AS98" s="49">
        <v>25</v>
      </c>
      <c r="AT98" s="50">
        <v>100</v>
      </c>
      <c r="AU98" s="49">
        <v>25</v>
      </c>
      <c r="AV98" s="109" t="s">
        <v>1158</v>
      </c>
      <c r="AW98" s="109" t="s">
        <v>1158</v>
      </c>
      <c r="AX98" s="109" t="s">
        <v>1270</v>
      </c>
      <c r="AY98" s="109" t="s">
        <v>1270</v>
      </c>
      <c r="AZ98" s="2"/>
      <c r="BA98" s="3"/>
      <c r="BB98" s="3"/>
      <c r="BC98" s="3"/>
      <c r="BD98" s="3"/>
    </row>
    <row r="99" spans="1:56" ht="15">
      <c r="A99" s="65" t="s">
        <v>422</v>
      </c>
      <c r="B99" s="66"/>
      <c r="C99" s="66"/>
      <c r="D99" s="67">
        <v>125.35442667630566</v>
      </c>
      <c r="E99" s="69"/>
      <c r="F99" s="66"/>
      <c r="G99" s="66"/>
      <c r="H99" s="70" t="s">
        <v>422</v>
      </c>
      <c r="I99" s="71"/>
      <c r="J99" s="71"/>
      <c r="K99" s="70" t="s">
        <v>422</v>
      </c>
      <c r="L99" s="74">
        <v>1229.487422669921</v>
      </c>
      <c r="M99" s="75">
        <v>9834.294921875</v>
      </c>
      <c r="N99" s="75">
        <v>1835.791015625</v>
      </c>
      <c r="O99" s="76"/>
      <c r="P99" s="77"/>
      <c r="Q99" s="77"/>
      <c r="R99" s="82"/>
      <c r="S99" s="49">
        <v>2</v>
      </c>
      <c r="T99" s="49">
        <v>2</v>
      </c>
      <c r="U99" s="50">
        <v>365.396814</v>
      </c>
      <c r="V99" s="50">
        <v>0.002801</v>
      </c>
      <c r="W99" s="50">
        <v>0.002969</v>
      </c>
      <c r="X99" s="50">
        <v>0.952615</v>
      </c>
      <c r="Y99" s="50">
        <v>0</v>
      </c>
      <c r="Z99" s="50">
        <v>0.3333333333333333</v>
      </c>
      <c r="AA99" s="72">
        <v>99</v>
      </c>
      <c r="AB99" s="72"/>
      <c r="AC99" s="73"/>
      <c r="AD99" s="80" t="s">
        <v>674</v>
      </c>
      <c r="AE99" s="96" t="str">
        <f>HYPERLINK("http://en.wikipedia.org/wiki/User:173.212.61.150")</f>
        <v>http://en.wikipedia.org/wiki/User:173.212.61.150</v>
      </c>
      <c r="AF99" s="80" t="s">
        <v>687</v>
      </c>
      <c r="AG99" s="80"/>
      <c r="AH99" s="80"/>
      <c r="AI99" s="80">
        <v>0.2944444</v>
      </c>
      <c r="AJ99" s="80">
        <v>45</v>
      </c>
      <c r="AK99" s="80"/>
      <c r="AL99" s="80" t="str">
        <f>REPLACE(INDEX(GroupVertices[Group],MATCH(Vertices[[#This Row],[Vertex]],GroupVertices[Vertex],0)),1,1,"")</f>
        <v>9</v>
      </c>
      <c r="AM99" s="49"/>
      <c r="AN99" s="50"/>
      <c r="AO99" s="49"/>
      <c r="AP99" s="50"/>
      <c r="AQ99" s="49"/>
      <c r="AR99" s="50"/>
      <c r="AS99" s="49"/>
      <c r="AT99" s="50"/>
      <c r="AU99" s="49"/>
      <c r="AV99" s="109" t="s">
        <v>1088</v>
      </c>
      <c r="AW99" s="109" t="s">
        <v>1088</v>
      </c>
      <c r="AX99" s="109" t="s">
        <v>1088</v>
      </c>
      <c r="AY99" s="109" t="s">
        <v>1088</v>
      </c>
      <c r="AZ99" s="2"/>
      <c r="BA99" s="3"/>
      <c r="BB99" s="3"/>
      <c r="BC99" s="3"/>
      <c r="BD99" s="3"/>
    </row>
    <row r="100" spans="1:56" ht="15">
      <c r="A100" s="65" t="s">
        <v>423</v>
      </c>
      <c r="B100" s="66"/>
      <c r="C100" s="66"/>
      <c r="D100" s="67">
        <v>52.55442123248174</v>
      </c>
      <c r="E100" s="69"/>
      <c r="F100" s="66"/>
      <c r="G100" s="66"/>
      <c r="H100" s="70" t="s">
        <v>423</v>
      </c>
      <c r="I100" s="71"/>
      <c r="J100" s="71"/>
      <c r="K100" s="70" t="s">
        <v>423</v>
      </c>
      <c r="L100" s="74">
        <v>42.64419390760946</v>
      </c>
      <c r="M100" s="75">
        <v>9672.2646484375</v>
      </c>
      <c r="N100" s="75">
        <v>805.8525390625</v>
      </c>
      <c r="O100" s="76"/>
      <c r="P100" s="77"/>
      <c r="Q100" s="77"/>
      <c r="R100" s="82"/>
      <c r="S100" s="49">
        <v>1</v>
      </c>
      <c r="T100" s="49">
        <v>1</v>
      </c>
      <c r="U100" s="50">
        <v>12.386497</v>
      </c>
      <c r="V100" s="50">
        <v>0.002288</v>
      </c>
      <c r="W100" s="50">
        <v>0.000401</v>
      </c>
      <c r="X100" s="50">
        <v>0.67981</v>
      </c>
      <c r="Y100" s="50">
        <v>0</v>
      </c>
      <c r="Z100" s="50">
        <v>0</v>
      </c>
      <c r="AA100" s="72">
        <v>100</v>
      </c>
      <c r="AB100" s="72"/>
      <c r="AC100" s="73"/>
      <c r="AD100" s="80" t="s">
        <v>674</v>
      </c>
      <c r="AE100" s="96" t="str">
        <f>HYPERLINK("http://en.wikipedia.org/wiki/User:DanCherek")</f>
        <v>http://en.wikipedia.org/wiki/User:DanCherek</v>
      </c>
      <c r="AF100" s="80" t="s">
        <v>687</v>
      </c>
      <c r="AG100" s="80"/>
      <c r="AH100" s="80"/>
      <c r="AI100" s="80">
        <v>0.3545228</v>
      </c>
      <c r="AJ100" s="80">
        <v>500</v>
      </c>
      <c r="AK100" s="80"/>
      <c r="AL100" s="80" t="str">
        <f>REPLACE(INDEX(GroupVertices[Group],MATCH(Vertices[[#This Row],[Vertex]],GroupVertices[Vertex],0)),1,1,"")</f>
        <v>9</v>
      </c>
      <c r="AM100" s="49">
        <v>0</v>
      </c>
      <c r="AN100" s="50">
        <v>0</v>
      </c>
      <c r="AO100" s="49">
        <v>0</v>
      </c>
      <c r="AP100" s="50">
        <v>0</v>
      </c>
      <c r="AQ100" s="49">
        <v>0</v>
      </c>
      <c r="AR100" s="50">
        <v>0</v>
      </c>
      <c r="AS100" s="49">
        <v>26</v>
      </c>
      <c r="AT100" s="50">
        <v>100</v>
      </c>
      <c r="AU100" s="49">
        <v>26</v>
      </c>
      <c r="AV100" s="109" t="s">
        <v>1159</v>
      </c>
      <c r="AW100" s="109" t="s">
        <v>1159</v>
      </c>
      <c r="AX100" s="109" t="s">
        <v>1271</v>
      </c>
      <c r="AY100" s="109" t="s">
        <v>1271</v>
      </c>
      <c r="AZ100" s="2"/>
      <c r="BA100" s="3"/>
      <c r="BB100" s="3"/>
      <c r="BC100" s="3"/>
      <c r="BD100" s="3"/>
    </row>
    <row r="101" spans="1:56" ht="15">
      <c r="A101" s="65" t="s">
        <v>424</v>
      </c>
      <c r="B101" s="66"/>
      <c r="C101" s="66"/>
      <c r="D101" s="67">
        <v>69.58936922375305</v>
      </c>
      <c r="E101" s="69"/>
      <c r="F101" s="66"/>
      <c r="G101" s="66"/>
      <c r="H101" s="70" t="s">
        <v>424</v>
      </c>
      <c r="I101" s="71"/>
      <c r="J101" s="71"/>
      <c r="K101" s="70" t="s">
        <v>424</v>
      </c>
      <c r="L101" s="74">
        <v>320.3613802251237</v>
      </c>
      <c r="M101" s="75">
        <v>8714.6142578125</v>
      </c>
      <c r="N101" s="75">
        <v>2600.901123046875</v>
      </c>
      <c r="O101" s="76"/>
      <c r="P101" s="77"/>
      <c r="Q101" s="77"/>
      <c r="R101" s="82"/>
      <c r="S101" s="49">
        <v>1</v>
      </c>
      <c r="T101" s="49">
        <v>1</v>
      </c>
      <c r="U101" s="50">
        <v>94.989683</v>
      </c>
      <c r="V101" s="50">
        <v>0.002604</v>
      </c>
      <c r="W101" s="50">
        <v>0.001435</v>
      </c>
      <c r="X101" s="50">
        <v>0.611537</v>
      </c>
      <c r="Y101" s="50">
        <v>0</v>
      </c>
      <c r="Z101" s="50">
        <v>0</v>
      </c>
      <c r="AA101" s="72">
        <v>101</v>
      </c>
      <c r="AB101" s="72"/>
      <c r="AC101" s="73"/>
      <c r="AD101" s="80" t="s">
        <v>674</v>
      </c>
      <c r="AE101" s="96" t="str">
        <f>HYPERLINK("http://en.wikipedia.org/wiki/User:46.114.38.126")</f>
        <v>http://en.wikipedia.org/wiki/User:46.114.38.126</v>
      </c>
      <c r="AF101" s="80" t="s">
        <v>687</v>
      </c>
      <c r="AG101" s="80"/>
      <c r="AH101" s="80"/>
      <c r="AI101" s="80">
        <v>0</v>
      </c>
      <c r="AJ101" s="80">
        <v>1</v>
      </c>
      <c r="AK101" s="80"/>
      <c r="AL101" s="80" t="str">
        <f>REPLACE(INDEX(GroupVertices[Group],MATCH(Vertices[[#This Row],[Vertex]],GroupVertices[Vertex],0)),1,1,"")</f>
        <v>9</v>
      </c>
      <c r="AM101" s="49"/>
      <c r="AN101" s="50"/>
      <c r="AO101" s="49"/>
      <c r="AP101" s="50"/>
      <c r="AQ101" s="49"/>
      <c r="AR101" s="50"/>
      <c r="AS101" s="49"/>
      <c r="AT101" s="50"/>
      <c r="AU101" s="49"/>
      <c r="AV101" s="109" t="s">
        <v>1088</v>
      </c>
      <c r="AW101" s="109" t="s">
        <v>1088</v>
      </c>
      <c r="AX101" s="109" t="s">
        <v>1088</v>
      </c>
      <c r="AY101" s="109" t="s">
        <v>1088</v>
      </c>
      <c r="AZ101" s="2"/>
      <c r="BA101" s="3"/>
      <c r="BB101" s="3"/>
      <c r="BC101" s="3"/>
      <c r="BD101" s="3"/>
    </row>
    <row r="102" spans="1:56" ht="15">
      <c r="A102" s="65" t="s">
        <v>425</v>
      </c>
      <c r="B102" s="66"/>
      <c r="C102" s="66"/>
      <c r="D102" s="67">
        <v>50</v>
      </c>
      <c r="E102" s="69"/>
      <c r="F102" s="66"/>
      <c r="G102" s="66"/>
      <c r="H102" s="70" t="s">
        <v>425</v>
      </c>
      <c r="I102" s="71"/>
      <c r="J102" s="71"/>
      <c r="K102" s="70" t="s">
        <v>425</v>
      </c>
      <c r="L102" s="74">
        <v>1</v>
      </c>
      <c r="M102" s="75">
        <v>3355.922607421875</v>
      </c>
      <c r="N102" s="75">
        <v>5073.5712890625</v>
      </c>
      <c r="O102" s="76"/>
      <c r="P102" s="77"/>
      <c r="Q102" s="77"/>
      <c r="R102" s="82"/>
      <c r="S102" s="49">
        <v>1</v>
      </c>
      <c r="T102" s="49">
        <v>1</v>
      </c>
      <c r="U102" s="50">
        <v>0</v>
      </c>
      <c r="V102" s="50">
        <v>0.002899</v>
      </c>
      <c r="W102" s="50">
        <v>0.004359</v>
      </c>
      <c r="X102" s="50">
        <v>0.461662</v>
      </c>
      <c r="Y102" s="50">
        <v>1</v>
      </c>
      <c r="Z102" s="50">
        <v>0</v>
      </c>
      <c r="AA102" s="72">
        <v>102</v>
      </c>
      <c r="AB102" s="72"/>
      <c r="AC102" s="73"/>
      <c r="AD102" s="80" t="s">
        <v>674</v>
      </c>
      <c r="AE102" s="96" t="str">
        <f>HYPERLINK("http://en.wikipedia.org/wiki/User:2601:1C2:101:3480:6C4E:310B:BAB0:DE2A")</f>
        <v>http://en.wikipedia.org/wiki/User:2601:1C2:101:3480:6C4E:310B:BAB0:DE2A</v>
      </c>
      <c r="AF102" s="80" t="s">
        <v>687</v>
      </c>
      <c r="AG102" s="80"/>
      <c r="AH102" s="80"/>
      <c r="AI102" s="80">
        <v>0.1696969</v>
      </c>
      <c r="AJ102" s="80">
        <v>15</v>
      </c>
      <c r="AK102" s="80"/>
      <c r="AL102" s="80" t="str">
        <f>REPLACE(INDEX(GroupVertices[Group],MATCH(Vertices[[#This Row],[Vertex]],GroupVertices[Vertex],0)),1,1,"")</f>
        <v>1</v>
      </c>
      <c r="AM102" s="49">
        <v>0</v>
      </c>
      <c r="AN102" s="50">
        <v>0</v>
      </c>
      <c r="AO102" s="49">
        <v>0</v>
      </c>
      <c r="AP102" s="50">
        <v>0</v>
      </c>
      <c r="AQ102" s="49">
        <v>0</v>
      </c>
      <c r="AR102" s="50">
        <v>0</v>
      </c>
      <c r="AS102" s="49">
        <v>2</v>
      </c>
      <c r="AT102" s="50">
        <v>100</v>
      </c>
      <c r="AU102" s="49">
        <v>2</v>
      </c>
      <c r="AV102" s="109" t="s">
        <v>1156</v>
      </c>
      <c r="AW102" s="109" t="s">
        <v>1156</v>
      </c>
      <c r="AX102" s="109" t="s">
        <v>1268</v>
      </c>
      <c r="AY102" s="109" t="s">
        <v>1268</v>
      </c>
      <c r="AZ102" s="2"/>
      <c r="BA102" s="3"/>
      <c r="BB102" s="3"/>
      <c r="BC102" s="3"/>
      <c r="BD102" s="3"/>
    </row>
    <row r="103" spans="1:56" ht="15">
      <c r="A103" s="65" t="s">
        <v>426</v>
      </c>
      <c r="B103" s="66"/>
      <c r="C103" s="66"/>
      <c r="D103" s="67">
        <v>50</v>
      </c>
      <c r="E103" s="69"/>
      <c r="F103" s="66"/>
      <c r="G103" s="66"/>
      <c r="H103" s="70" t="s">
        <v>426</v>
      </c>
      <c r="I103" s="71"/>
      <c r="J103" s="71"/>
      <c r="K103" s="70" t="s">
        <v>426</v>
      </c>
      <c r="L103" s="74">
        <v>1</v>
      </c>
      <c r="M103" s="75">
        <v>3744.77783203125</v>
      </c>
      <c r="N103" s="75">
        <v>7481.2021484375</v>
      </c>
      <c r="O103" s="76"/>
      <c r="P103" s="77"/>
      <c r="Q103" s="77"/>
      <c r="R103" s="82"/>
      <c r="S103" s="49">
        <v>1</v>
      </c>
      <c r="T103" s="49">
        <v>1</v>
      </c>
      <c r="U103" s="50">
        <v>0</v>
      </c>
      <c r="V103" s="50">
        <v>0.002732</v>
      </c>
      <c r="W103" s="50">
        <v>0.003105</v>
      </c>
      <c r="X103" s="50">
        <v>0.293135</v>
      </c>
      <c r="Y103" s="50">
        <v>0</v>
      </c>
      <c r="Z103" s="50">
        <v>1</v>
      </c>
      <c r="AA103" s="72">
        <v>103</v>
      </c>
      <c r="AB103" s="72"/>
      <c r="AC103" s="73"/>
      <c r="AD103" s="80" t="s">
        <v>674</v>
      </c>
      <c r="AE103" s="96" t="str">
        <f>HYPERLINK("http://en.wikipedia.org/wiki/User:Liz")</f>
        <v>http://en.wikipedia.org/wiki/User:Liz</v>
      </c>
      <c r="AF103" s="80" t="s">
        <v>687</v>
      </c>
      <c r="AG103" s="80"/>
      <c r="AH103" s="80"/>
      <c r="AI103" s="80">
        <v>0.2166615</v>
      </c>
      <c r="AJ103" s="80">
        <v>500</v>
      </c>
      <c r="AK103" s="80"/>
      <c r="AL103" s="80" t="str">
        <f>REPLACE(INDEX(GroupVertices[Group],MATCH(Vertices[[#This Row],[Vertex]],GroupVertices[Vertex],0)),1,1,"")</f>
        <v>1</v>
      </c>
      <c r="AM103" s="49">
        <v>0</v>
      </c>
      <c r="AN103" s="50">
        <v>0</v>
      </c>
      <c r="AO103" s="49">
        <v>0</v>
      </c>
      <c r="AP103" s="50">
        <v>0</v>
      </c>
      <c r="AQ103" s="49">
        <v>0</v>
      </c>
      <c r="AR103" s="50">
        <v>0</v>
      </c>
      <c r="AS103" s="49">
        <v>2</v>
      </c>
      <c r="AT103" s="50">
        <v>100</v>
      </c>
      <c r="AU103" s="49">
        <v>2</v>
      </c>
      <c r="AV103" s="109" t="s">
        <v>1088</v>
      </c>
      <c r="AW103" s="109" t="s">
        <v>1088</v>
      </c>
      <c r="AX103" s="109" t="s">
        <v>1088</v>
      </c>
      <c r="AY103" s="109" t="s">
        <v>1088</v>
      </c>
      <c r="AZ103" s="2"/>
      <c r="BA103" s="3"/>
      <c r="BB103" s="3"/>
      <c r="BC103" s="3"/>
      <c r="BD103" s="3"/>
    </row>
    <row r="104" spans="1:56" ht="15">
      <c r="A104" s="65" t="s">
        <v>427</v>
      </c>
      <c r="B104" s="66"/>
      <c r="C104" s="66"/>
      <c r="D104" s="67">
        <v>50</v>
      </c>
      <c r="E104" s="69"/>
      <c r="F104" s="66"/>
      <c r="G104" s="66"/>
      <c r="H104" s="70" t="s">
        <v>427</v>
      </c>
      <c r="I104" s="71"/>
      <c r="J104" s="71"/>
      <c r="K104" s="70" t="s">
        <v>427</v>
      </c>
      <c r="L104" s="74">
        <v>1</v>
      </c>
      <c r="M104" s="75">
        <v>3558.738525390625</v>
      </c>
      <c r="N104" s="75">
        <v>8917.7119140625</v>
      </c>
      <c r="O104" s="76"/>
      <c r="P104" s="77"/>
      <c r="Q104" s="77"/>
      <c r="R104" s="82"/>
      <c r="S104" s="49">
        <v>1</v>
      </c>
      <c r="T104" s="49">
        <v>1</v>
      </c>
      <c r="U104" s="50">
        <v>0</v>
      </c>
      <c r="V104" s="50">
        <v>0.002874</v>
      </c>
      <c r="W104" s="50">
        <v>0.004752</v>
      </c>
      <c r="X104" s="50">
        <v>0.442525</v>
      </c>
      <c r="Y104" s="50">
        <v>0.5</v>
      </c>
      <c r="Z104" s="50">
        <v>0</v>
      </c>
      <c r="AA104" s="72">
        <v>104</v>
      </c>
      <c r="AB104" s="72"/>
      <c r="AC104" s="73"/>
      <c r="AD104" s="80" t="s">
        <v>674</v>
      </c>
      <c r="AE104" s="80" t="s">
        <v>685</v>
      </c>
      <c r="AF104" s="80" t="s">
        <v>687</v>
      </c>
      <c r="AG104" s="80"/>
      <c r="AH104" s="80"/>
      <c r="AI104" s="80">
        <v>0.5427037</v>
      </c>
      <c r="AJ104" s="80">
        <v>500</v>
      </c>
      <c r="AK104" s="80"/>
      <c r="AL104" s="80" t="str">
        <f>REPLACE(INDEX(GroupVertices[Group],MATCH(Vertices[[#This Row],[Vertex]],GroupVertices[Vertex],0)),1,1,"")</f>
        <v>1</v>
      </c>
      <c r="AM104" s="49">
        <v>0</v>
      </c>
      <c r="AN104" s="50">
        <v>0</v>
      </c>
      <c r="AO104" s="49">
        <v>0</v>
      </c>
      <c r="AP104" s="50">
        <v>0</v>
      </c>
      <c r="AQ104" s="49">
        <v>0</v>
      </c>
      <c r="AR104" s="50">
        <v>0</v>
      </c>
      <c r="AS104" s="49">
        <v>2</v>
      </c>
      <c r="AT104" s="50">
        <v>100</v>
      </c>
      <c r="AU104" s="49">
        <v>2</v>
      </c>
      <c r="AV104" s="109" t="s">
        <v>1088</v>
      </c>
      <c r="AW104" s="109" t="s">
        <v>1088</v>
      </c>
      <c r="AX104" s="109" t="s">
        <v>1088</v>
      </c>
      <c r="AY104" s="109" t="s">
        <v>1088</v>
      </c>
      <c r="AZ104" s="2"/>
      <c r="BA104" s="3"/>
      <c r="BB104" s="3"/>
      <c r="BC104" s="3"/>
      <c r="BD104" s="3"/>
    </row>
    <row r="105" spans="1:56" ht="15">
      <c r="A105" s="65" t="s">
        <v>429</v>
      </c>
      <c r="B105" s="66"/>
      <c r="C105" s="66"/>
      <c r="D105" s="67">
        <v>51.35192794517474</v>
      </c>
      <c r="E105" s="69"/>
      <c r="F105" s="66"/>
      <c r="G105" s="66"/>
      <c r="H105" s="70" t="s">
        <v>429</v>
      </c>
      <c r="I105" s="71"/>
      <c r="J105" s="71"/>
      <c r="K105" s="70" t="s">
        <v>429</v>
      </c>
      <c r="L105" s="74">
        <v>23.040197905525076</v>
      </c>
      <c r="M105" s="75">
        <v>5877.0439453125</v>
      </c>
      <c r="N105" s="75">
        <v>8273.625</v>
      </c>
      <c r="O105" s="76"/>
      <c r="P105" s="77"/>
      <c r="Q105" s="77"/>
      <c r="R105" s="82"/>
      <c r="S105" s="49">
        <v>1</v>
      </c>
      <c r="T105" s="49">
        <v>1</v>
      </c>
      <c r="U105" s="50">
        <v>6.555556</v>
      </c>
      <c r="V105" s="50">
        <v>0.002538</v>
      </c>
      <c r="W105" s="50">
        <v>0.001824</v>
      </c>
      <c r="X105" s="50">
        <v>0.468531</v>
      </c>
      <c r="Y105" s="50">
        <v>0</v>
      </c>
      <c r="Z105" s="50">
        <v>0</v>
      </c>
      <c r="AA105" s="72">
        <v>105</v>
      </c>
      <c r="AB105" s="72"/>
      <c r="AC105" s="73"/>
      <c r="AD105" s="80" t="s">
        <v>674</v>
      </c>
      <c r="AE105" s="96" t="str">
        <f>HYPERLINK("http://en.wikipedia.org/wiki/User:41.180.41.252")</f>
        <v>http://en.wikipedia.org/wiki/User:41.180.41.252</v>
      </c>
      <c r="AF105" s="80" t="s">
        <v>687</v>
      </c>
      <c r="AG105" s="80"/>
      <c r="AH105" s="80"/>
      <c r="AI105" s="80">
        <v>0</v>
      </c>
      <c r="AJ105" s="80">
        <v>2</v>
      </c>
      <c r="AK105" s="80"/>
      <c r="AL105" s="80" t="str">
        <f>REPLACE(INDEX(GroupVertices[Group],MATCH(Vertices[[#This Row],[Vertex]],GroupVertices[Vertex],0)),1,1,"")</f>
        <v>3</v>
      </c>
      <c r="AM105" s="49">
        <v>0</v>
      </c>
      <c r="AN105" s="50">
        <v>0</v>
      </c>
      <c r="AO105" s="49">
        <v>0</v>
      </c>
      <c r="AP105" s="50">
        <v>0</v>
      </c>
      <c r="AQ105" s="49">
        <v>0</v>
      </c>
      <c r="AR105" s="50">
        <v>0</v>
      </c>
      <c r="AS105" s="49">
        <v>11</v>
      </c>
      <c r="AT105" s="50">
        <v>100</v>
      </c>
      <c r="AU105" s="49">
        <v>11</v>
      </c>
      <c r="AV105" s="109" t="s">
        <v>1160</v>
      </c>
      <c r="AW105" s="109" t="s">
        <v>1160</v>
      </c>
      <c r="AX105" s="109" t="s">
        <v>1272</v>
      </c>
      <c r="AY105" s="109" t="s">
        <v>1272</v>
      </c>
      <c r="AZ105" s="2"/>
      <c r="BA105" s="3"/>
      <c r="BB105" s="3"/>
      <c r="BC105" s="3"/>
      <c r="BD105" s="3"/>
    </row>
    <row r="106" spans="1:56" ht="15">
      <c r="A106" s="65" t="s">
        <v>430</v>
      </c>
      <c r="B106" s="66"/>
      <c r="C106" s="66"/>
      <c r="D106" s="67">
        <v>52.19438891335863</v>
      </c>
      <c r="E106" s="69"/>
      <c r="F106" s="66"/>
      <c r="G106" s="66"/>
      <c r="H106" s="70" t="s">
        <v>430</v>
      </c>
      <c r="I106" s="71"/>
      <c r="J106" s="71"/>
      <c r="K106" s="70" t="s">
        <v>430</v>
      </c>
      <c r="L106" s="74">
        <v>36.774662477195236</v>
      </c>
      <c r="M106" s="75">
        <v>363.4203186035156</v>
      </c>
      <c r="N106" s="75">
        <v>7709.71533203125</v>
      </c>
      <c r="O106" s="76"/>
      <c r="P106" s="77"/>
      <c r="Q106" s="77"/>
      <c r="R106" s="82"/>
      <c r="S106" s="49">
        <v>1</v>
      </c>
      <c r="T106" s="49">
        <v>1</v>
      </c>
      <c r="U106" s="50">
        <v>10.640685</v>
      </c>
      <c r="V106" s="50">
        <v>0.003165</v>
      </c>
      <c r="W106" s="50">
        <v>0.005743</v>
      </c>
      <c r="X106" s="50">
        <v>0.443552</v>
      </c>
      <c r="Y106" s="50">
        <v>0</v>
      </c>
      <c r="Z106" s="50">
        <v>0</v>
      </c>
      <c r="AA106" s="72">
        <v>106</v>
      </c>
      <c r="AB106" s="72"/>
      <c r="AC106" s="73"/>
      <c r="AD106" s="80" t="s">
        <v>674</v>
      </c>
      <c r="AE106" s="96" t="str">
        <f>HYPERLINK("http://en.wikipedia.org/wiki/User:76.14.131.199")</f>
        <v>http://en.wikipedia.org/wiki/User:76.14.131.199</v>
      </c>
      <c r="AF106" s="80" t="s">
        <v>687</v>
      </c>
      <c r="AG106" s="80"/>
      <c r="AH106" s="80"/>
      <c r="AI106" s="80">
        <v>0.2222222</v>
      </c>
      <c r="AJ106" s="80">
        <v>6</v>
      </c>
      <c r="AK106" s="80"/>
      <c r="AL106" s="80" t="str">
        <f>REPLACE(INDEX(GroupVertices[Group],MATCH(Vertices[[#This Row],[Vertex]],GroupVertices[Vertex],0)),1,1,"")</f>
        <v>1</v>
      </c>
      <c r="AM106" s="49">
        <v>0</v>
      </c>
      <c r="AN106" s="50">
        <v>0</v>
      </c>
      <c r="AO106" s="49">
        <v>0</v>
      </c>
      <c r="AP106" s="50">
        <v>0</v>
      </c>
      <c r="AQ106" s="49">
        <v>0</v>
      </c>
      <c r="AR106" s="50">
        <v>0</v>
      </c>
      <c r="AS106" s="49">
        <v>11</v>
      </c>
      <c r="AT106" s="50">
        <v>100</v>
      </c>
      <c r="AU106" s="49">
        <v>11</v>
      </c>
      <c r="AV106" s="109" t="s">
        <v>1161</v>
      </c>
      <c r="AW106" s="109" t="s">
        <v>1161</v>
      </c>
      <c r="AX106" s="109" t="s">
        <v>1273</v>
      </c>
      <c r="AY106" s="109" t="s">
        <v>1273</v>
      </c>
      <c r="AZ106" s="2"/>
      <c r="BA106" s="3"/>
      <c r="BB106" s="3"/>
      <c r="BC106" s="3"/>
      <c r="BD106" s="3"/>
    </row>
    <row r="107" spans="1:56" ht="15">
      <c r="A107" s="65" t="s">
        <v>431</v>
      </c>
      <c r="B107" s="66"/>
      <c r="C107" s="66"/>
      <c r="D107" s="67">
        <v>51.36967557284107</v>
      </c>
      <c r="E107" s="69"/>
      <c r="F107" s="66"/>
      <c r="G107" s="66"/>
      <c r="H107" s="70" t="s">
        <v>431</v>
      </c>
      <c r="I107" s="71"/>
      <c r="J107" s="71"/>
      <c r="K107" s="70" t="s">
        <v>431</v>
      </c>
      <c r="L107" s="74">
        <v>23.329533759196615</v>
      </c>
      <c r="M107" s="75">
        <v>4864.17919921875</v>
      </c>
      <c r="N107" s="75">
        <v>6130.2138671875</v>
      </c>
      <c r="O107" s="76"/>
      <c r="P107" s="77"/>
      <c r="Q107" s="77"/>
      <c r="R107" s="82"/>
      <c r="S107" s="49">
        <v>2</v>
      </c>
      <c r="T107" s="49">
        <v>2</v>
      </c>
      <c r="U107" s="50">
        <v>6.641615</v>
      </c>
      <c r="V107" s="50">
        <v>0.003268</v>
      </c>
      <c r="W107" s="50">
        <v>0.008232</v>
      </c>
      <c r="X107" s="50">
        <v>0.613394</v>
      </c>
      <c r="Y107" s="50">
        <v>0</v>
      </c>
      <c r="Z107" s="50">
        <v>0</v>
      </c>
      <c r="AA107" s="72">
        <v>107</v>
      </c>
      <c r="AB107" s="72"/>
      <c r="AC107" s="73"/>
      <c r="AD107" s="80" t="s">
        <v>674</v>
      </c>
      <c r="AE107" s="96" t="str">
        <f>HYPERLINK("http://en.wikipedia.org/wiki/User:ScottishFinnishRadish")</f>
        <v>http://en.wikipedia.org/wiki/User:ScottishFinnishRadish</v>
      </c>
      <c r="AF107" s="80" t="s">
        <v>687</v>
      </c>
      <c r="AG107" s="80"/>
      <c r="AH107" s="80"/>
      <c r="AI107" s="80">
        <v>0.2674041</v>
      </c>
      <c r="AJ107" s="80">
        <v>500</v>
      </c>
      <c r="AK107" s="80"/>
      <c r="AL107" s="80" t="str">
        <f>REPLACE(INDEX(GroupVertices[Group],MATCH(Vertices[[#This Row],[Vertex]],GroupVertices[Vertex],0)),1,1,"")</f>
        <v>3</v>
      </c>
      <c r="AM107" s="49">
        <v>0</v>
      </c>
      <c r="AN107" s="50">
        <v>0</v>
      </c>
      <c r="AO107" s="49">
        <v>0</v>
      </c>
      <c r="AP107" s="50">
        <v>0</v>
      </c>
      <c r="AQ107" s="49">
        <v>0</v>
      </c>
      <c r="AR107" s="50">
        <v>0</v>
      </c>
      <c r="AS107" s="49">
        <v>18</v>
      </c>
      <c r="AT107" s="50">
        <v>100</v>
      </c>
      <c r="AU107" s="49">
        <v>18</v>
      </c>
      <c r="AV107" s="109" t="s">
        <v>1161</v>
      </c>
      <c r="AW107" s="109" t="s">
        <v>1161</v>
      </c>
      <c r="AX107" s="109" t="s">
        <v>1273</v>
      </c>
      <c r="AY107" s="109" t="s">
        <v>1273</v>
      </c>
      <c r="AZ107" s="2"/>
      <c r="BA107" s="3"/>
      <c r="BB107" s="3"/>
      <c r="BC107" s="3"/>
      <c r="BD107" s="3"/>
    </row>
    <row r="108" spans="1:56" ht="15">
      <c r="A108" s="65" t="s">
        <v>432</v>
      </c>
      <c r="B108" s="66"/>
      <c r="C108" s="66"/>
      <c r="D108" s="67">
        <v>54.65140163590346</v>
      </c>
      <c r="E108" s="69"/>
      <c r="F108" s="66"/>
      <c r="G108" s="66"/>
      <c r="H108" s="70" t="s">
        <v>432</v>
      </c>
      <c r="I108" s="71"/>
      <c r="J108" s="71"/>
      <c r="K108" s="70" t="s">
        <v>432</v>
      </c>
      <c r="L108" s="74">
        <v>76.83082586560847</v>
      </c>
      <c r="M108" s="75">
        <v>5430.8818359375</v>
      </c>
      <c r="N108" s="75">
        <v>2311.911865234375</v>
      </c>
      <c r="O108" s="76"/>
      <c r="P108" s="77"/>
      <c r="Q108" s="77"/>
      <c r="R108" s="82"/>
      <c r="S108" s="49">
        <v>3</v>
      </c>
      <c r="T108" s="49">
        <v>3</v>
      </c>
      <c r="U108" s="50">
        <v>22.554844</v>
      </c>
      <c r="V108" s="50">
        <v>0.003205</v>
      </c>
      <c r="W108" s="50">
        <v>0.009475</v>
      </c>
      <c r="X108" s="50">
        <v>0.884067</v>
      </c>
      <c r="Y108" s="50">
        <v>0.3333333333333333</v>
      </c>
      <c r="Z108" s="50">
        <v>0</v>
      </c>
      <c r="AA108" s="72">
        <v>108</v>
      </c>
      <c r="AB108" s="72"/>
      <c r="AC108" s="73"/>
      <c r="AD108" s="80" t="s">
        <v>674</v>
      </c>
      <c r="AE108" s="96" t="str">
        <f>HYPERLINK("http://en.wikipedia.org/wiki/User:Dimadick")</f>
        <v>http://en.wikipedia.org/wiki/User:Dimadick</v>
      </c>
      <c r="AF108" s="80" t="s">
        <v>687</v>
      </c>
      <c r="AG108" s="80"/>
      <c r="AH108" s="80"/>
      <c r="AI108" s="80">
        <v>0.478389</v>
      </c>
      <c r="AJ108" s="80">
        <v>500</v>
      </c>
      <c r="AK108" s="80"/>
      <c r="AL108" s="80" t="str">
        <f>REPLACE(INDEX(GroupVertices[Group],MATCH(Vertices[[#This Row],[Vertex]],GroupVertices[Vertex],0)),1,1,"")</f>
        <v>7</v>
      </c>
      <c r="AM108" s="49">
        <v>1</v>
      </c>
      <c r="AN108" s="50">
        <v>7.6923076923076925</v>
      </c>
      <c r="AO108" s="49">
        <v>1</v>
      </c>
      <c r="AP108" s="50">
        <v>7.6923076923076925</v>
      </c>
      <c r="AQ108" s="49">
        <v>0</v>
      </c>
      <c r="AR108" s="50">
        <v>0</v>
      </c>
      <c r="AS108" s="49">
        <v>11</v>
      </c>
      <c r="AT108" s="50">
        <v>84.61538461538461</v>
      </c>
      <c r="AU108" s="49">
        <v>13</v>
      </c>
      <c r="AV108" s="109" t="s">
        <v>1108</v>
      </c>
      <c r="AW108" s="109" t="s">
        <v>1108</v>
      </c>
      <c r="AX108" s="109" t="s">
        <v>1222</v>
      </c>
      <c r="AY108" s="109" t="s">
        <v>1222</v>
      </c>
      <c r="AZ108" s="2"/>
      <c r="BA108" s="3"/>
      <c r="BB108" s="3"/>
      <c r="BC108" s="3"/>
      <c r="BD108" s="3"/>
    </row>
    <row r="109" spans="1:56" ht="15">
      <c r="A109" s="65" t="s">
        <v>434</v>
      </c>
      <c r="B109" s="66"/>
      <c r="C109" s="66"/>
      <c r="D109" s="67">
        <v>53.008898796085056</v>
      </c>
      <c r="E109" s="69"/>
      <c r="F109" s="66"/>
      <c r="G109" s="66"/>
      <c r="H109" s="70" t="s">
        <v>434</v>
      </c>
      <c r="I109" s="71"/>
      <c r="J109" s="71"/>
      <c r="K109" s="70" t="s">
        <v>434</v>
      </c>
      <c r="L109" s="74">
        <v>50.05344636162495</v>
      </c>
      <c r="M109" s="75">
        <v>8971.779296875</v>
      </c>
      <c r="N109" s="75">
        <v>2798.688720703125</v>
      </c>
      <c r="O109" s="76"/>
      <c r="P109" s="77"/>
      <c r="Q109" s="77"/>
      <c r="R109" s="82"/>
      <c r="S109" s="49">
        <v>1</v>
      </c>
      <c r="T109" s="49">
        <v>1</v>
      </c>
      <c r="U109" s="50">
        <v>14.590278</v>
      </c>
      <c r="V109" s="50">
        <v>0.002994</v>
      </c>
      <c r="W109" s="50">
        <v>0.004285</v>
      </c>
      <c r="X109" s="50">
        <v>0.474254</v>
      </c>
      <c r="Y109" s="50">
        <v>0</v>
      </c>
      <c r="Z109" s="50">
        <v>0</v>
      </c>
      <c r="AA109" s="72">
        <v>109</v>
      </c>
      <c r="AB109" s="72"/>
      <c r="AC109" s="73"/>
      <c r="AD109" s="80" t="s">
        <v>674</v>
      </c>
      <c r="AE109" s="96" t="str">
        <f>HYPERLINK("http://en.wikipedia.org/wiki/User:Zaathras")</f>
        <v>http://en.wikipedia.org/wiki/User:Zaathras</v>
      </c>
      <c r="AF109" s="80" t="s">
        <v>687</v>
      </c>
      <c r="AG109" s="80"/>
      <c r="AH109" s="80"/>
      <c r="AI109" s="80">
        <v>0.4305234</v>
      </c>
      <c r="AJ109" s="80">
        <v>500</v>
      </c>
      <c r="AK109" s="80"/>
      <c r="AL109" s="80" t="str">
        <f>REPLACE(INDEX(GroupVertices[Group],MATCH(Vertices[[#This Row],[Vertex]],GroupVertices[Vertex],0)),1,1,"")</f>
        <v>6</v>
      </c>
      <c r="AM109" s="49">
        <v>0</v>
      </c>
      <c r="AN109" s="50">
        <v>0</v>
      </c>
      <c r="AO109" s="49">
        <v>1</v>
      </c>
      <c r="AP109" s="50">
        <v>100</v>
      </c>
      <c r="AQ109" s="49">
        <v>0</v>
      </c>
      <c r="AR109" s="50">
        <v>0</v>
      </c>
      <c r="AS109" s="49">
        <v>0</v>
      </c>
      <c r="AT109" s="50">
        <v>0</v>
      </c>
      <c r="AU109" s="49">
        <v>1</v>
      </c>
      <c r="AV109" s="109" t="s">
        <v>817</v>
      </c>
      <c r="AW109" s="109" t="s">
        <v>817</v>
      </c>
      <c r="AX109" s="109" t="s">
        <v>1088</v>
      </c>
      <c r="AY109" s="109" t="s">
        <v>1088</v>
      </c>
      <c r="AZ109" s="2"/>
      <c r="BA109" s="3"/>
      <c r="BB109" s="3"/>
      <c r="BC109" s="3"/>
      <c r="BD109" s="3"/>
    </row>
    <row r="110" spans="1:56" ht="15">
      <c r="A110" s="65" t="s">
        <v>435</v>
      </c>
      <c r="B110" s="66"/>
      <c r="C110" s="66"/>
      <c r="D110" s="67">
        <v>78.6129594317376</v>
      </c>
      <c r="E110" s="69"/>
      <c r="F110" s="66"/>
      <c r="G110" s="66"/>
      <c r="H110" s="70" t="s">
        <v>435</v>
      </c>
      <c r="I110" s="71"/>
      <c r="J110" s="71"/>
      <c r="K110" s="70" t="s">
        <v>435</v>
      </c>
      <c r="L110" s="74">
        <v>467.471079904149</v>
      </c>
      <c r="M110" s="75">
        <v>9740.044921875</v>
      </c>
      <c r="N110" s="75">
        <v>4912.806640625</v>
      </c>
      <c r="O110" s="76"/>
      <c r="P110" s="77"/>
      <c r="Q110" s="77"/>
      <c r="R110" s="82"/>
      <c r="S110" s="49">
        <v>3</v>
      </c>
      <c r="T110" s="49">
        <v>3</v>
      </c>
      <c r="U110" s="50">
        <v>138.745455</v>
      </c>
      <c r="V110" s="50">
        <v>0.003215</v>
      </c>
      <c r="W110" s="50">
        <v>0.007352</v>
      </c>
      <c r="X110" s="50">
        <v>1.039097</v>
      </c>
      <c r="Y110" s="50">
        <v>0.08333333333333333</v>
      </c>
      <c r="Z110" s="50">
        <v>0</v>
      </c>
      <c r="AA110" s="72">
        <v>110</v>
      </c>
      <c r="AB110" s="72"/>
      <c r="AC110" s="73"/>
      <c r="AD110" s="80" t="s">
        <v>674</v>
      </c>
      <c r="AE110" s="80" t="s">
        <v>686</v>
      </c>
      <c r="AF110" s="80" t="s">
        <v>687</v>
      </c>
      <c r="AG110" s="80"/>
      <c r="AH110" s="80"/>
      <c r="AI110" s="80">
        <v>0.4857653</v>
      </c>
      <c r="AJ110" s="80">
        <v>500</v>
      </c>
      <c r="AK110" s="80"/>
      <c r="AL110" s="80" t="str">
        <f>REPLACE(INDEX(GroupVertices[Group],MATCH(Vertices[[#This Row],[Vertex]],GroupVertices[Vertex],0)),1,1,"")</f>
        <v>6</v>
      </c>
      <c r="AM110" s="49">
        <v>3</v>
      </c>
      <c r="AN110" s="50">
        <v>17.647058823529413</v>
      </c>
      <c r="AO110" s="49">
        <v>0</v>
      </c>
      <c r="AP110" s="50">
        <v>0</v>
      </c>
      <c r="AQ110" s="49">
        <v>0</v>
      </c>
      <c r="AR110" s="50">
        <v>0</v>
      </c>
      <c r="AS110" s="49">
        <v>14</v>
      </c>
      <c r="AT110" s="50">
        <v>82.3529411764706</v>
      </c>
      <c r="AU110" s="49">
        <v>17</v>
      </c>
      <c r="AV110" s="109" t="s">
        <v>1162</v>
      </c>
      <c r="AW110" s="109" t="s">
        <v>1162</v>
      </c>
      <c r="AX110" s="109" t="s">
        <v>1274</v>
      </c>
      <c r="AY110" s="109" t="s">
        <v>1274</v>
      </c>
      <c r="AZ110" s="2"/>
      <c r="BA110" s="3"/>
      <c r="BB110" s="3"/>
      <c r="BC110" s="3"/>
      <c r="BD110" s="3"/>
    </row>
    <row r="111" spans="1:56" ht="15">
      <c r="A111" s="65" t="s">
        <v>436</v>
      </c>
      <c r="B111" s="66"/>
      <c r="C111" s="66"/>
      <c r="D111" s="67">
        <v>51.74310311393328</v>
      </c>
      <c r="E111" s="69"/>
      <c r="F111" s="66"/>
      <c r="G111" s="66"/>
      <c r="H111" s="70" t="s">
        <v>436</v>
      </c>
      <c r="I111" s="71"/>
      <c r="J111" s="71"/>
      <c r="K111" s="70" t="s">
        <v>436</v>
      </c>
      <c r="L111" s="74">
        <v>29.417444685530864</v>
      </c>
      <c r="M111" s="75">
        <v>9307.3984375</v>
      </c>
      <c r="N111" s="75">
        <v>4289.248046875</v>
      </c>
      <c r="O111" s="76"/>
      <c r="P111" s="77"/>
      <c r="Q111" s="77"/>
      <c r="R111" s="82"/>
      <c r="S111" s="49">
        <v>1</v>
      </c>
      <c r="T111" s="49">
        <v>1</v>
      </c>
      <c r="U111" s="50">
        <v>8.452381</v>
      </c>
      <c r="V111" s="50">
        <v>0.002674</v>
      </c>
      <c r="W111" s="50">
        <v>0.00191</v>
      </c>
      <c r="X111" s="50">
        <v>0.481152</v>
      </c>
      <c r="Y111" s="50">
        <v>0</v>
      </c>
      <c r="Z111" s="50">
        <v>0</v>
      </c>
      <c r="AA111" s="72">
        <v>111</v>
      </c>
      <c r="AB111" s="72"/>
      <c r="AC111" s="73"/>
      <c r="AD111" s="80" t="s">
        <v>674</v>
      </c>
      <c r="AE111" s="96" t="str">
        <f>HYPERLINK("http://en.wikipedia.org/wiki/User:2409:4042:E9E:D93C:0:0:6A48:B50E")</f>
        <v>http://en.wikipedia.org/wiki/User:2409:4042:E9E:D93C:0:0:6A48:B50E</v>
      </c>
      <c r="AF111" s="80" t="s">
        <v>687</v>
      </c>
      <c r="AG111" s="80"/>
      <c r="AH111" s="80"/>
      <c r="AI111" s="80">
        <v>0</v>
      </c>
      <c r="AJ111" s="80">
        <v>3</v>
      </c>
      <c r="AK111" s="80"/>
      <c r="AL111" s="80" t="str">
        <f>REPLACE(INDEX(GroupVertices[Group],MATCH(Vertices[[#This Row],[Vertex]],GroupVertices[Vertex],0)),1,1,"")</f>
        <v>6</v>
      </c>
      <c r="AM111" s="49"/>
      <c r="AN111" s="50"/>
      <c r="AO111" s="49"/>
      <c r="AP111" s="50"/>
      <c r="AQ111" s="49"/>
      <c r="AR111" s="50"/>
      <c r="AS111" s="49"/>
      <c r="AT111" s="50"/>
      <c r="AU111" s="49"/>
      <c r="AV111" s="109" t="s">
        <v>1088</v>
      </c>
      <c r="AW111" s="109" t="s">
        <v>1088</v>
      </c>
      <c r="AX111" s="109" t="s">
        <v>1088</v>
      </c>
      <c r="AY111" s="109" t="s">
        <v>1088</v>
      </c>
      <c r="AZ111" s="2"/>
      <c r="BA111" s="3"/>
      <c r="BB111" s="3"/>
      <c r="BC111" s="3"/>
      <c r="BD111" s="3"/>
    </row>
    <row r="112" spans="1:56" ht="15">
      <c r="A112" s="65" t="s">
        <v>437</v>
      </c>
      <c r="B112" s="66"/>
      <c r="C112" s="66"/>
      <c r="D112" s="67">
        <v>51.55809380361402</v>
      </c>
      <c r="E112" s="69"/>
      <c r="F112" s="66"/>
      <c r="G112" s="66"/>
      <c r="H112" s="70" t="s">
        <v>437</v>
      </c>
      <c r="I112" s="71"/>
      <c r="J112" s="71"/>
      <c r="K112" s="70" t="s">
        <v>437</v>
      </c>
      <c r="L112" s="74">
        <v>26.401276680161242</v>
      </c>
      <c r="M112" s="75">
        <v>3127.065673828125</v>
      </c>
      <c r="N112" s="75">
        <v>5543.66015625</v>
      </c>
      <c r="O112" s="76"/>
      <c r="P112" s="77"/>
      <c r="Q112" s="77"/>
      <c r="R112" s="82"/>
      <c r="S112" s="49">
        <v>1</v>
      </c>
      <c r="T112" s="49">
        <v>1</v>
      </c>
      <c r="U112" s="50">
        <v>7.555263</v>
      </c>
      <c r="V112" s="50">
        <v>0.00295</v>
      </c>
      <c r="W112" s="50">
        <v>0.004137</v>
      </c>
      <c r="X112" s="50">
        <v>0.455594</v>
      </c>
      <c r="Y112" s="50">
        <v>0</v>
      </c>
      <c r="Z112" s="50">
        <v>0</v>
      </c>
      <c r="AA112" s="72">
        <v>112</v>
      </c>
      <c r="AB112" s="72"/>
      <c r="AC112" s="73"/>
      <c r="AD112" s="80" t="s">
        <v>674</v>
      </c>
      <c r="AE112" s="96" t="str">
        <f>HYPERLINK("http://en.wikipedia.org/wiki/User:AllegedlyHuman")</f>
        <v>http://en.wikipedia.org/wiki/User:AllegedlyHuman</v>
      </c>
      <c r="AF112" s="80" t="s">
        <v>687</v>
      </c>
      <c r="AG112" s="80"/>
      <c r="AH112" s="80"/>
      <c r="AI112" s="80">
        <v>0.4152163</v>
      </c>
      <c r="AJ112" s="80">
        <v>500</v>
      </c>
      <c r="AK112" s="80"/>
      <c r="AL112" s="80" t="str">
        <f>REPLACE(INDEX(GroupVertices[Group],MATCH(Vertices[[#This Row],[Vertex]],GroupVertices[Vertex],0)),1,1,"")</f>
        <v>1</v>
      </c>
      <c r="AM112" s="49"/>
      <c r="AN112" s="50"/>
      <c r="AO112" s="49"/>
      <c r="AP112" s="50"/>
      <c r="AQ112" s="49"/>
      <c r="AR112" s="50"/>
      <c r="AS112" s="49"/>
      <c r="AT112" s="50"/>
      <c r="AU112" s="49"/>
      <c r="AV112" s="109" t="s">
        <v>1088</v>
      </c>
      <c r="AW112" s="109" t="s">
        <v>1088</v>
      </c>
      <c r="AX112" s="109" t="s">
        <v>1088</v>
      </c>
      <c r="AY112" s="109" t="s">
        <v>1088</v>
      </c>
      <c r="AZ112" s="2"/>
      <c r="BA112" s="3"/>
      <c r="BB112" s="3"/>
      <c r="BC112" s="3"/>
      <c r="BD112" s="3"/>
    </row>
    <row r="113" spans="1:56" ht="15">
      <c r="A113" s="65" t="s">
        <v>438</v>
      </c>
      <c r="B113" s="66"/>
      <c r="C113" s="66"/>
      <c r="D113" s="67">
        <v>80.0934884370188</v>
      </c>
      <c r="E113" s="69"/>
      <c r="F113" s="66"/>
      <c r="G113" s="66"/>
      <c r="H113" s="70" t="s">
        <v>438</v>
      </c>
      <c r="I113" s="71"/>
      <c r="J113" s="71"/>
      <c r="K113" s="70" t="s">
        <v>438</v>
      </c>
      <c r="L113" s="74">
        <v>491.607833935852</v>
      </c>
      <c r="M113" s="75">
        <v>3331.19091796875</v>
      </c>
      <c r="N113" s="75">
        <v>6064.46826171875</v>
      </c>
      <c r="O113" s="76"/>
      <c r="P113" s="77"/>
      <c r="Q113" s="77"/>
      <c r="R113" s="82"/>
      <c r="S113" s="49">
        <v>1</v>
      </c>
      <c r="T113" s="49">
        <v>1</v>
      </c>
      <c r="U113" s="50">
        <v>145.924603</v>
      </c>
      <c r="V113" s="50">
        <v>0.002778</v>
      </c>
      <c r="W113" s="50">
        <v>0.002492</v>
      </c>
      <c r="X113" s="50">
        <v>0.587207</v>
      </c>
      <c r="Y113" s="50">
        <v>0</v>
      </c>
      <c r="Z113" s="50">
        <v>0</v>
      </c>
      <c r="AA113" s="72">
        <v>113</v>
      </c>
      <c r="AB113" s="72"/>
      <c r="AC113" s="73"/>
      <c r="AD113" s="80" t="s">
        <v>674</v>
      </c>
      <c r="AE113" s="96" t="str">
        <f>HYPERLINK("http://en.wikipedia.org/wiki/User:61.230.185.19")</f>
        <v>http://en.wikipedia.org/wiki/User:61.230.185.19</v>
      </c>
      <c r="AF113" s="80" t="s">
        <v>687</v>
      </c>
      <c r="AG113" s="80"/>
      <c r="AH113" s="80"/>
      <c r="AI113" s="80">
        <v>0</v>
      </c>
      <c r="AJ113" s="80">
        <v>1</v>
      </c>
      <c r="AK113" s="80"/>
      <c r="AL113" s="80" t="str">
        <f>REPLACE(INDEX(GroupVertices[Group],MATCH(Vertices[[#This Row],[Vertex]],GroupVertices[Vertex],0)),1,1,"")</f>
        <v>1</v>
      </c>
      <c r="AM113" s="49"/>
      <c r="AN113" s="50"/>
      <c r="AO113" s="49"/>
      <c r="AP113" s="50"/>
      <c r="AQ113" s="49"/>
      <c r="AR113" s="50"/>
      <c r="AS113" s="49"/>
      <c r="AT113" s="50"/>
      <c r="AU113" s="49"/>
      <c r="AV113" s="109" t="s">
        <v>1088</v>
      </c>
      <c r="AW113" s="109" t="s">
        <v>1088</v>
      </c>
      <c r="AX113" s="109" t="s">
        <v>1088</v>
      </c>
      <c r="AY113" s="109" t="s">
        <v>1088</v>
      </c>
      <c r="AZ113" s="2"/>
      <c r="BA113" s="3"/>
      <c r="BB113" s="3"/>
      <c r="BC113" s="3"/>
      <c r="BD113" s="3"/>
    </row>
    <row r="114" spans="1:56" ht="15">
      <c r="A114" s="65" t="s">
        <v>439</v>
      </c>
      <c r="B114" s="66"/>
      <c r="C114" s="66"/>
      <c r="D114" s="67">
        <v>50.41245256548025</v>
      </c>
      <c r="E114" s="69"/>
      <c r="F114" s="66"/>
      <c r="G114" s="66"/>
      <c r="H114" s="70" t="s">
        <v>439</v>
      </c>
      <c r="I114" s="71"/>
      <c r="J114" s="71"/>
      <c r="K114" s="70" t="s">
        <v>439</v>
      </c>
      <c r="L114" s="74">
        <v>7.724127718693907</v>
      </c>
      <c r="M114" s="75">
        <v>1413.7266845703125</v>
      </c>
      <c r="N114" s="75">
        <v>4681.61328125</v>
      </c>
      <c r="O114" s="76"/>
      <c r="P114" s="77"/>
      <c r="Q114" s="77"/>
      <c r="R114" s="82"/>
      <c r="S114" s="49">
        <v>1</v>
      </c>
      <c r="T114" s="49">
        <v>1</v>
      </c>
      <c r="U114" s="50">
        <v>2</v>
      </c>
      <c r="V114" s="50">
        <v>0.002212</v>
      </c>
      <c r="W114" s="50">
        <v>0.000357</v>
      </c>
      <c r="X114" s="50">
        <v>0.654981</v>
      </c>
      <c r="Y114" s="50">
        <v>0</v>
      </c>
      <c r="Z114" s="50">
        <v>0</v>
      </c>
      <c r="AA114" s="72">
        <v>114</v>
      </c>
      <c r="AB114" s="72"/>
      <c r="AC114" s="73"/>
      <c r="AD114" s="80" t="s">
        <v>674</v>
      </c>
      <c r="AE114" s="96" t="str">
        <f>HYPERLINK("http://en.wikipedia.org/wiki/User:PrimeHunter")</f>
        <v>http://en.wikipedia.org/wiki/User:PrimeHunter</v>
      </c>
      <c r="AF114" s="80" t="s">
        <v>687</v>
      </c>
      <c r="AG114" s="80"/>
      <c r="AH114" s="80"/>
      <c r="AI114" s="80">
        <v>0.1571169</v>
      </c>
      <c r="AJ114" s="80">
        <v>500</v>
      </c>
      <c r="AK114" s="80"/>
      <c r="AL114" s="80" t="str">
        <f>REPLACE(INDEX(GroupVertices[Group],MATCH(Vertices[[#This Row],[Vertex]],GroupVertices[Vertex],0)),1,1,"")</f>
        <v>1</v>
      </c>
      <c r="AM114" s="49">
        <v>0</v>
      </c>
      <c r="AN114" s="50">
        <v>0</v>
      </c>
      <c r="AO114" s="49">
        <v>0</v>
      </c>
      <c r="AP114" s="50">
        <v>0</v>
      </c>
      <c r="AQ114" s="49">
        <v>0</v>
      </c>
      <c r="AR114" s="50">
        <v>0</v>
      </c>
      <c r="AS114" s="49">
        <v>26</v>
      </c>
      <c r="AT114" s="50">
        <v>100</v>
      </c>
      <c r="AU114" s="49">
        <v>26</v>
      </c>
      <c r="AV114" s="109" t="s">
        <v>1163</v>
      </c>
      <c r="AW114" s="109" t="s">
        <v>1163</v>
      </c>
      <c r="AX114" s="109" t="s">
        <v>1275</v>
      </c>
      <c r="AY114" s="109" t="s">
        <v>1275</v>
      </c>
      <c r="AZ114" s="2"/>
      <c r="BA114" s="3"/>
      <c r="BB114" s="3"/>
      <c r="BC114" s="3"/>
      <c r="BD114" s="3"/>
    </row>
    <row r="115" spans="1:56" ht="15">
      <c r="A115" s="65" t="s">
        <v>440</v>
      </c>
      <c r="B115" s="66"/>
      <c r="C115" s="66"/>
      <c r="D115" s="67">
        <v>66.51365146224992</v>
      </c>
      <c r="E115" s="69"/>
      <c r="F115" s="66"/>
      <c r="G115" s="66"/>
      <c r="H115" s="70" t="s">
        <v>440</v>
      </c>
      <c r="I115" s="71"/>
      <c r="J115" s="71"/>
      <c r="K115" s="70" t="s">
        <v>440</v>
      </c>
      <c r="L115" s="74">
        <v>270.2185982765595</v>
      </c>
      <c r="M115" s="75">
        <v>137.2713165283203</v>
      </c>
      <c r="N115" s="75">
        <v>8121.021484375</v>
      </c>
      <c r="O115" s="76"/>
      <c r="P115" s="77"/>
      <c r="Q115" s="77"/>
      <c r="R115" s="82"/>
      <c r="S115" s="49">
        <v>1</v>
      </c>
      <c r="T115" s="49">
        <v>1</v>
      </c>
      <c r="U115" s="50">
        <v>80.075397</v>
      </c>
      <c r="V115" s="50">
        <v>0.002584</v>
      </c>
      <c r="W115" s="50">
        <v>0.001431</v>
      </c>
      <c r="X115" s="50">
        <v>0.600984</v>
      </c>
      <c r="Y115" s="50">
        <v>0</v>
      </c>
      <c r="Z115" s="50">
        <v>0</v>
      </c>
      <c r="AA115" s="72">
        <v>115</v>
      </c>
      <c r="AB115" s="72"/>
      <c r="AC115" s="73"/>
      <c r="AD115" s="80" t="s">
        <v>674</v>
      </c>
      <c r="AE115" s="96" t="str">
        <f>HYPERLINK("http://en.wikipedia.org/wiki/User:81.242.122.111")</f>
        <v>http://en.wikipedia.org/wiki/User:81.242.122.111</v>
      </c>
      <c r="AF115" s="80" t="s">
        <v>687</v>
      </c>
      <c r="AG115" s="80"/>
      <c r="AH115" s="80"/>
      <c r="AI115" s="80">
        <v>0</v>
      </c>
      <c r="AJ115" s="80">
        <v>1</v>
      </c>
      <c r="AK115" s="80"/>
      <c r="AL115" s="80" t="str">
        <f>REPLACE(INDEX(GroupVertices[Group],MATCH(Vertices[[#This Row],[Vertex]],GroupVertices[Vertex],0)),1,1,"")</f>
        <v>1</v>
      </c>
      <c r="AM115" s="49">
        <v>0</v>
      </c>
      <c r="AN115" s="50">
        <v>0</v>
      </c>
      <c r="AO115" s="49">
        <v>0</v>
      </c>
      <c r="AP115" s="50">
        <v>0</v>
      </c>
      <c r="AQ115" s="49">
        <v>0</v>
      </c>
      <c r="AR115" s="50">
        <v>0</v>
      </c>
      <c r="AS115" s="49">
        <v>11</v>
      </c>
      <c r="AT115" s="50">
        <v>100</v>
      </c>
      <c r="AU115" s="49">
        <v>11</v>
      </c>
      <c r="AV115" s="109" t="s">
        <v>1164</v>
      </c>
      <c r="AW115" s="109" t="s">
        <v>1164</v>
      </c>
      <c r="AX115" s="109" t="s">
        <v>1276</v>
      </c>
      <c r="AY115" s="109" t="s">
        <v>1276</v>
      </c>
      <c r="AZ115" s="2"/>
      <c r="BA115" s="3"/>
      <c r="BB115" s="3"/>
      <c r="BC115" s="3"/>
      <c r="BD115" s="3"/>
    </row>
    <row r="116" spans="1:56" ht="15">
      <c r="A116" s="65" t="s">
        <v>441</v>
      </c>
      <c r="B116" s="66"/>
      <c r="C116" s="66"/>
      <c r="D116" s="67">
        <v>50</v>
      </c>
      <c r="E116" s="69"/>
      <c r="F116" s="66"/>
      <c r="G116" s="66"/>
      <c r="H116" s="70" t="s">
        <v>441</v>
      </c>
      <c r="I116" s="71"/>
      <c r="J116" s="71"/>
      <c r="K116" s="70" t="s">
        <v>441</v>
      </c>
      <c r="L116" s="74">
        <v>1</v>
      </c>
      <c r="M116" s="75">
        <v>276.1741027832031</v>
      </c>
      <c r="N116" s="75">
        <v>6451.21533203125</v>
      </c>
      <c r="O116" s="76"/>
      <c r="P116" s="77"/>
      <c r="Q116" s="77"/>
      <c r="R116" s="82"/>
      <c r="S116" s="49">
        <v>1</v>
      </c>
      <c r="T116" s="49">
        <v>1</v>
      </c>
      <c r="U116" s="50">
        <v>0</v>
      </c>
      <c r="V116" s="50">
        <v>0.002985</v>
      </c>
      <c r="W116" s="50">
        <v>0.005014</v>
      </c>
      <c r="X116" s="50">
        <v>0.470225</v>
      </c>
      <c r="Y116" s="50">
        <v>0.5</v>
      </c>
      <c r="Z116" s="50">
        <v>0</v>
      </c>
      <c r="AA116" s="72">
        <v>116</v>
      </c>
      <c r="AB116" s="72"/>
      <c r="AC116" s="73"/>
      <c r="AD116" s="80" t="s">
        <v>674</v>
      </c>
      <c r="AE116" s="96" t="str">
        <f>HYPERLINK("http://en.wikipedia.org/wiki/User:WaffleMan45")</f>
        <v>http://en.wikipedia.org/wiki/User:WaffleMan45</v>
      </c>
      <c r="AF116" s="80" t="s">
        <v>687</v>
      </c>
      <c r="AG116" s="80"/>
      <c r="AH116" s="80"/>
      <c r="AI116" s="80">
        <v>0.3491188</v>
      </c>
      <c r="AJ116" s="80">
        <v>438</v>
      </c>
      <c r="AK116" s="80"/>
      <c r="AL116" s="80" t="str">
        <f>REPLACE(INDEX(GroupVertices[Group],MATCH(Vertices[[#This Row],[Vertex]],GroupVertices[Vertex],0)),1,1,"")</f>
        <v>1</v>
      </c>
      <c r="AM116" s="49">
        <v>0</v>
      </c>
      <c r="AN116" s="50">
        <v>0</v>
      </c>
      <c r="AO116" s="49">
        <v>1</v>
      </c>
      <c r="AP116" s="50">
        <v>33.333333333333336</v>
      </c>
      <c r="AQ116" s="49">
        <v>0</v>
      </c>
      <c r="AR116" s="50">
        <v>0</v>
      </c>
      <c r="AS116" s="49">
        <v>2</v>
      </c>
      <c r="AT116" s="50">
        <v>66.66666666666667</v>
      </c>
      <c r="AU116" s="49">
        <v>3</v>
      </c>
      <c r="AV116" s="109" t="s">
        <v>732</v>
      </c>
      <c r="AW116" s="109" t="s">
        <v>732</v>
      </c>
      <c r="AX116" s="109" t="s">
        <v>1088</v>
      </c>
      <c r="AY116" s="109" t="s">
        <v>1088</v>
      </c>
      <c r="AZ116" s="2"/>
      <c r="BA116" s="3"/>
      <c r="BB116" s="3"/>
      <c r="BC116" s="3"/>
      <c r="BD116" s="3"/>
    </row>
    <row r="117" spans="1:56" ht="15">
      <c r="A117" s="65" t="s">
        <v>442</v>
      </c>
      <c r="B117" s="66"/>
      <c r="C117" s="66"/>
      <c r="D117" s="67">
        <v>51.75230596180056</v>
      </c>
      <c r="E117" s="69"/>
      <c r="F117" s="66"/>
      <c r="G117" s="66"/>
      <c r="H117" s="70" t="s">
        <v>442</v>
      </c>
      <c r="I117" s="71"/>
      <c r="J117" s="71"/>
      <c r="K117" s="70" t="s">
        <v>442</v>
      </c>
      <c r="L117" s="74">
        <v>29.56747678525422</v>
      </c>
      <c r="M117" s="75">
        <v>1986.9578857421875</v>
      </c>
      <c r="N117" s="75">
        <v>8516.607421875</v>
      </c>
      <c r="O117" s="76"/>
      <c r="P117" s="77"/>
      <c r="Q117" s="77"/>
      <c r="R117" s="82"/>
      <c r="S117" s="49">
        <v>1</v>
      </c>
      <c r="T117" s="49">
        <v>2</v>
      </c>
      <c r="U117" s="50">
        <v>8.497006</v>
      </c>
      <c r="V117" s="50">
        <v>0.002915</v>
      </c>
      <c r="W117" s="50">
        <v>0.004503</v>
      </c>
      <c r="X117" s="50">
        <v>0.465752</v>
      </c>
      <c r="Y117" s="50">
        <v>0</v>
      </c>
      <c r="Z117" s="50">
        <v>0.5</v>
      </c>
      <c r="AA117" s="72">
        <v>117</v>
      </c>
      <c r="AB117" s="72"/>
      <c r="AC117" s="73"/>
      <c r="AD117" s="80" t="s">
        <v>674</v>
      </c>
      <c r="AE117" s="96" t="str">
        <f>HYPERLINK("http://en.wikipedia.org/wiki/User:Jampolice")</f>
        <v>http://en.wikipedia.org/wiki/User:Jampolice</v>
      </c>
      <c r="AF117" s="80" t="s">
        <v>687</v>
      </c>
      <c r="AG117" s="80"/>
      <c r="AH117" s="80"/>
      <c r="AI117" s="80">
        <v>0.3111111</v>
      </c>
      <c r="AJ117" s="80">
        <v>9</v>
      </c>
      <c r="AK117" s="80"/>
      <c r="AL117" s="80" t="str">
        <f>REPLACE(INDEX(GroupVertices[Group],MATCH(Vertices[[#This Row],[Vertex]],GroupVertices[Vertex],0)),1,1,"")</f>
        <v>1</v>
      </c>
      <c r="AM117" s="49">
        <v>0</v>
      </c>
      <c r="AN117" s="50">
        <v>0</v>
      </c>
      <c r="AO117" s="49">
        <v>0</v>
      </c>
      <c r="AP117" s="50">
        <v>0</v>
      </c>
      <c r="AQ117" s="49">
        <v>0</v>
      </c>
      <c r="AR117" s="50">
        <v>0</v>
      </c>
      <c r="AS117" s="49">
        <v>3</v>
      </c>
      <c r="AT117" s="50">
        <v>100</v>
      </c>
      <c r="AU117" s="49">
        <v>3</v>
      </c>
      <c r="AV117" s="109" t="s">
        <v>827</v>
      </c>
      <c r="AW117" s="109" t="s">
        <v>827</v>
      </c>
      <c r="AX117" s="109" t="s">
        <v>1088</v>
      </c>
      <c r="AY117" s="109" t="s">
        <v>1088</v>
      </c>
      <c r="AZ117" s="2"/>
      <c r="BA117" s="3"/>
      <c r="BB117" s="3"/>
      <c r="BC117" s="3"/>
      <c r="BD117" s="3"/>
    </row>
    <row r="118" spans="1:56" ht="15">
      <c r="A118" s="83" t="s">
        <v>443</v>
      </c>
      <c r="B118" s="84"/>
      <c r="C118" s="84"/>
      <c r="D118" s="85">
        <v>50</v>
      </c>
      <c r="E118" s="86"/>
      <c r="F118" s="84"/>
      <c r="G118" s="84"/>
      <c r="H118" s="87" t="s">
        <v>443</v>
      </c>
      <c r="I118" s="88"/>
      <c r="J118" s="88"/>
      <c r="K118" s="87" t="s">
        <v>443</v>
      </c>
      <c r="L118" s="89">
        <v>1</v>
      </c>
      <c r="M118" s="90">
        <v>7966.71240234375</v>
      </c>
      <c r="N118" s="90">
        <v>6228.93505859375</v>
      </c>
      <c r="O118" s="91"/>
      <c r="P118" s="92"/>
      <c r="Q118" s="92"/>
      <c r="R118" s="93"/>
      <c r="S118" s="49">
        <v>1</v>
      </c>
      <c r="T118" s="49">
        <v>1</v>
      </c>
      <c r="U118" s="50">
        <v>0</v>
      </c>
      <c r="V118" s="50">
        <v>0.003125</v>
      </c>
      <c r="W118" s="50">
        <v>0.006383</v>
      </c>
      <c r="X118" s="50">
        <v>0.441398</v>
      </c>
      <c r="Y118" s="50">
        <v>1</v>
      </c>
      <c r="Z118" s="50">
        <v>0</v>
      </c>
      <c r="AA118" s="94">
        <v>118</v>
      </c>
      <c r="AB118" s="94"/>
      <c r="AC118" s="95"/>
      <c r="AD118" s="80" t="s">
        <v>674</v>
      </c>
      <c r="AE118" s="96" t="str">
        <f>HYPERLINK("http://en.wikipedia.org/wiki/User:Dswitz10734")</f>
        <v>http://en.wikipedia.org/wiki/User:Dswitz10734</v>
      </c>
      <c r="AF118" s="80" t="s">
        <v>687</v>
      </c>
      <c r="AG118" s="80"/>
      <c r="AH118" s="80"/>
      <c r="AI118" s="80">
        <v>0.477704</v>
      </c>
      <c r="AJ118" s="80">
        <v>500</v>
      </c>
      <c r="AK118" s="80"/>
      <c r="AL118" s="80" t="str">
        <f>REPLACE(INDEX(GroupVertices[Group],MATCH(Vertices[[#This Row],[Vertex]],GroupVertices[Vertex],0)),1,1,"")</f>
        <v>4</v>
      </c>
      <c r="AM118" s="49"/>
      <c r="AN118" s="50"/>
      <c r="AO118" s="49"/>
      <c r="AP118" s="50"/>
      <c r="AQ118" s="49"/>
      <c r="AR118" s="50"/>
      <c r="AS118" s="49"/>
      <c r="AT118" s="50"/>
      <c r="AU118" s="49"/>
      <c r="AV118" s="109" t="s">
        <v>1088</v>
      </c>
      <c r="AW118" s="109" t="s">
        <v>1088</v>
      </c>
      <c r="AX118" s="109" t="s">
        <v>1088</v>
      </c>
      <c r="AY118" s="109" t="s">
        <v>1088</v>
      </c>
      <c r="AZ118" s="2"/>
      <c r="BA118" s="3"/>
      <c r="BB118" s="3"/>
      <c r="BC118" s="3"/>
      <c r="BD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939</v>
      </c>
      <c r="Z2" s="54" t="s">
        <v>940</v>
      </c>
      <c r="AA2" s="54" t="s">
        <v>941</v>
      </c>
      <c r="AB2" s="54" t="s">
        <v>942</v>
      </c>
      <c r="AC2" s="54" t="s">
        <v>943</v>
      </c>
      <c r="AD2" s="54" t="s">
        <v>944</v>
      </c>
      <c r="AE2" s="54" t="s">
        <v>945</v>
      </c>
      <c r="AF2" s="54" t="s">
        <v>946</v>
      </c>
      <c r="AG2" s="54" t="s">
        <v>949</v>
      </c>
      <c r="AH2" s="13" t="s">
        <v>998</v>
      </c>
      <c r="AI2" s="13" t="s">
        <v>1067</v>
      </c>
    </row>
    <row r="3" spans="1:35" ht="15">
      <c r="A3" s="65" t="s">
        <v>688</v>
      </c>
      <c r="B3" s="66" t="s">
        <v>697</v>
      </c>
      <c r="C3" s="66" t="s">
        <v>56</v>
      </c>
      <c r="D3" s="98"/>
      <c r="E3" s="14"/>
      <c r="F3" s="15" t="s">
        <v>1299</v>
      </c>
      <c r="G3" s="64"/>
      <c r="H3" s="64"/>
      <c r="I3" s="99">
        <v>3</v>
      </c>
      <c r="J3" s="51"/>
      <c r="K3" s="49">
        <v>26</v>
      </c>
      <c r="L3" s="49">
        <v>51</v>
      </c>
      <c r="M3" s="49">
        <v>0</v>
      </c>
      <c r="N3" s="49">
        <v>51</v>
      </c>
      <c r="O3" s="49">
        <v>5</v>
      </c>
      <c r="P3" s="50">
        <v>0.15</v>
      </c>
      <c r="Q3" s="50">
        <v>0.2608695652173913</v>
      </c>
      <c r="R3" s="49">
        <v>1</v>
      </c>
      <c r="S3" s="49">
        <v>0</v>
      </c>
      <c r="T3" s="49">
        <v>26</v>
      </c>
      <c r="U3" s="49">
        <v>51</v>
      </c>
      <c r="V3" s="49">
        <v>4</v>
      </c>
      <c r="W3" s="50">
        <v>2.319527</v>
      </c>
      <c r="X3" s="50">
        <v>0.07076923076923076</v>
      </c>
      <c r="Y3" s="49">
        <v>19</v>
      </c>
      <c r="Z3" s="50">
        <v>2.5435073627844713</v>
      </c>
      <c r="AA3" s="49">
        <v>22</v>
      </c>
      <c r="AB3" s="50">
        <v>2.9451137884872827</v>
      </c>
      <c r="AC3" s="49">
        <v>0</v>
      </c>
      <c r="AD3" s="50">
        <v>0</v>
      </c>
      <c r="AE3" s="49">
        <v>706</v>
      </c>
      <c r="AF3" s="50">
        <v>94.51137884872824</v>
      </c>
      <c r="AG3" s="49">
        <v>747</v>
      </c>
      <c r="AH3" s="100" t="s">
        <v>999</v>
      </c>
      <c r="AI3" s="100" t="s">
        <v>1068</v>
      </c>
    </row>
    <row r="4" spans="1:35" ht="15">
      <c r="A4" s="65" t="s">
        <v>689</v>
      </c>
      <c r="B4" s="66" t="s">
        <v>698</v>
      </c>
      <c r="C4" s="66" t="s">
        <v>56</v>
      </c>
      <c r="D4" s="98"/>
      <c r="E4" s="14"/>
      <c r="F4" s="15" t="s">
        <v>1300</v>
      </c>
      <c r="G4" s="64"/>
      <c r="H4" s="64"/>
      <c r="I4" s="99">
        <v>4</v>
      </c>
      <c r="J4" s="78"/>
      <c r="K4" s="49">
        <v>22</v>
      </c>
      <c r="L4" s="49">
        <v>55</v>
      </c>
      <c r="M4" s="49">
        <v>0</v>
      </c>
      <c r="N4" s="49">
        <v>55</v>
      </c>
      <c r="O4" s="49">
        <v>10</v>
      </c>
      <c r="P4" s="50">
        <v>0.18421052631578946</v>
      </c>
      <c r="Q4" s="50">
        <v>0.3111111111111111</v>
      </c>
      <c r="R4" s="49">
        <v>1</v>
      </c>
      <c r="S4" s="49">
        <v>0</v>
      </c>
      <c r="T4" s="49">
        <v>22</v>
      </c>
      <c r="U4" s="49">
        <v>55</v>
      </c>
      <c r="V4" s="49">
        <v>4</v>
      </c>
      <c r="W4" s="50">
        <v>2.210744</v>
      </c>
      <c r="X4" s="50">
        <v>0.09740259740259741</v>
      </c>
      <c r="Y4" s="49">
        <v>25</v>
      </c>
      <c r="Z4" s="50">
        <v>3.5714285714285716</v>
      </c>
      <c r="AA4" s="49">
        <v>30</v>
      </c>
      <c r="AB4" s="50">
        <v>4.285714285714286</v>
      </c>
      <c r="AC4" s="49">
        <v>0</v>
      </c>
      <c r="AD4" s="50">
        <v>0</v>
      </c>
      <c r="AE4" s="49">
        <v>645</v>
      </c>
      <c r="AF4" s="50">
        <v>92.14285714285714</v>
      </c>
      <c r="AG4" s="49">
        <v>700</v>
      </c>
      <c r="AH4" s="100" t="s">
        <v>1000</v>
      </c>
      <c r="AI4" s="100" t="s">
        <v>1069</v>
      </c>
    </row>
    <row r="5" spans="1:35" ht="15">
      <c r="A5" s="65" t="s">
        <v>690</v>
      </c>
      <c r="B5" s="66" t="s">
        <v>699</v>
      </c>
      <c r="C5" s="66" t="s">
        <v>56</v>
      </c>
      <c r="D5" s="98"/>
      <c r="E5" s="14"/>
      <c r="F5" s="15" t="s">
        <v>1301</v>
      </c>
      <c r="G5" s="64"/>
      <c r="H5" s="64"/>
      <c r="I5" s="99">
        <v>5</v>
      </c>
      <c r="J5" s="78"/>
      <c r="K5" s="49">
        <v>18</v>
      </c>
      <c r="L5" s="49">
        <v>31</v>
      </c>
      <c r="M5" s="49">
        <v>0</v>
      </c>
      <c r="N5" s="49">
        <v>31</v>
      </c>
      <c r="O5" s="49">
        <v>11</v>
      </c>
      <c r="P5" s="50">
        <v>0</v>
      </c>
      <c r="Q5" s="50">
        <v>0</v>
      </c>
      <c r="R5" s="49">
        <v>1</v>
      </c>
      <c r="S5" s="49">
        <v>0</v>
      </c>
      <c r="T5" s="49">
        <v>18</v>
      </c>
      <c r="U5" s="49">
        <v>31</v>
      </c>
      <c r="V5" s="49">
        <v>6</v>
      </c>
      <c r="W5" s="50">
        <v>2.518519</v>
      </c>
      <c r="X5" s="50">
        <v>0.06535947712418301</v>
      </c>
      <c r="Y5" s="49">
        <v>13</v>
      </c>
      <c r="Z5" s="50">
        <v>3.4210526315789473</v>
      </c>
      <c r="AA5" s="49">
        <v>12</v>
      </c>
      <c r="AB5" s="50">
        <v>3.1578947368421053</v>
      </c>
      <c r="AC5" s="49">
        <v>0</v>
      </c>
      <c r="AD5" s="50">
        <v>0</v>
      </c>
      <c r="AE5" s="49">
        <v>355</v>
      </c>
      <c r="AF5" s="50">
        <v>93.42105263157895</v>
      </c>
      <c r="AG5" s="49">
        <v>380</v>
      </c>
      <c r="AH5" s="100" t="s">
        <v>1001</v>
      </c>
      <c r="AI5" s="100" t="s">
        <v>1070</v>
      </c>
    </row>
    <row r="6" spans="1:35" ht="15">
      <c r="A6" s="65" t="s">
        <v>691</v>
      </c>
      <c r="B6" s="66" t="s">
        <v>700</v>
      </c>
      <c r="C6" s="66" t="s">
        <v>56</v>
      </c>
      <c r="D6" s="98"/>
      <c r="E6" s="14"/>
      <c r="F6" s="15" t="s">
        <v>1302</v>
      </c>
      <c r="G6" s="64"/>
      <c r="H6" s="64"/>
      <c r="I6" s="99">
        <v>6</v>
      </c>
      <c r="J6" s="78"/>
      <c r="K6" s="49">
        <v>16</v>
      </c>
      <c r="L6" s="49">
        <v>27</v>
      </c>
      <c r="M6" s="49">
        <v>0</v>
      </c>
      <c r="N6" s="49">
        <v>27</v>
      </c>
      <c r="O6" s="49">
        <v>5</v>
      </c>
      <c r="P6" s="50">
        <v>0.15789473684210525</v>
      </c>
      <c r="Q6" s="50">
        <v>0.2727272727272727</v>
      </c>
      <c r="R6" s="49">
        <v>1</v>
      </c>
      <c r="S6" s="49">
        <v>0</v>
      </c>
      <c r="T6" s="49">
        <v>16</v>
      </c>
      <c r="U6" s="49">
        <v>27</v>
      </c>
      <c r="V6" s="49">
        <v>7</v>
      </c>
      <c r="W6" s="50">
        <v>2.703125</v>
      </c>
      <c r="X6" s="50">
        <v>0.09166666666666666</v>
      </c>
      <c r="Y6" s="49">
        <v>12</v>
      </c>
      <c r="Z6" s="50">
        <v>2.6315789473684212</v>
      </c>
      <c r="AA6" s="49">
        <v>19</v>
      </c>
      <c r="AB6" s="50">
        <v>4.166666666666667</v>
      </c>
      <c r="AC6" s="49">
        <v>0</v>
      </c>
      <c r="AD6" s="50">
        <v>0</v>
      </c>
      <c r="AE6" s="49">
        <v>425</v>
      </c>
      <c r="AF6" s="50">
        <v>93.20175438596492</v>
      </c>
      <c r="AG6" s="49">
        <v>456</v>
      </c>
      <c r="AH6" s="100" t="s">
        <v>1002</v>
      </c>
      <c r="AI6" s="100" t="s">
        <v>1071</v>
      </c>
    </row>
    <row r="7" spans="1:35" ht="15">
      <c r="A7" s="65" t="s">
        <v>692</v>
      </c>
      <c r="B7" s="66" t="s">
        <v>701</v>
      </c>
      <c r="C7" s="66" t="s">
        <v>56</v>
      </c>
      <c r="D7" s="98"/>
      <c r="E7" s="14"/>
      <c r="F7" s="15" t="s">
        <v>1303</v>
      </c>
      <c r="G7" s="64"/>
      <c r="H7" s="64"/>
      <c r="I7" s="99">
        <v>7</v>
      </c>
      <c r="J7" s="78"/>
      <c r="K7" s="49">
        <v>9</v>
      </c>
      <c r="L7" s="49">
        <v>19</v>
      </c>
      <c r="M7" s="49">
        <v>0</v>
      </c>
      <c r="N7" s="49">
        <v>19</v>
      </c>
      <c r="O7" s="49">
        <v>6</v>
      </c>
      <c r="P7" s="50">
        <v>0.08333333333333333</v>
      </c>
      <c r="Q7" s="50">
        <v>0.15384615384615385</v>
      </c>
      <c r="R7" s="49">
        <v>1</v>
      </c>
      <c r="S7" s="49">
        <v>0</v>
      </c>
      <c r="T7" s="49">
        <v>9</v>
      </c>
      <c r="U7" s="49">
        <v>19</v>
      </c>
      <c r="V7" s="49">
        <v>3</v>
      </c>
      <c r="W7" s="50">
        <v>1.555556</v>
      </c>
      <c r="X7" s="50">
        <v>0.18055555555555555</v>
      </c>
      <c r="Y7" s="49">
        <v>4</v>
      </c>
      <c r="Z7" s="50">
        <v>0.9950248756218906</v>
      </c>
      <c r="AA7" s="49">
        <v>18</v>
      </c>
      <c r="AB7" s="50">
        <v>4.477611940298507</v>
      </c>
      <c r="AC7" s="49">
        <v>0</v>
      </c>
      <c r="AD7" s="50">
        <v>0</v>
      </c>
      <c r="AE7" s="49">
        <v>380</v>
      </c>
      <c r="AF7" s="50">
        <v>94.5273631840796</v>
      </c>
      <c r="AG7" s="49">
        <v>402</v>
      </c>
      <c r="AH7" s="100" t="s">
        <v>1003</v>
      </c>
      <c r="AI7" s="100" t="s">
        <v>1072</v>
      </c>
    </row>
    <row r="8" spans="1:35" ht="15">
      <c r="A8" s="65" t="s">
        <v>693</v>
      </c>
      <c r="B8" s="66" t="s">
        <v>702</v>
      </c>
      <c r="C8" s="66" t="s">
        <v>56</v>
      </c>
      <c r="D8" s="98"/>
      <c r="E8" s="14"/>
      <c r="F8" s="15" t="s">
        <v>1304</v>
      </c>
      <c r="G8" s="64"/>
      <c r="H8" s="64"/>
      <c r="I8" s="99">
        <v>8</v>
      </c>
      <c r="J8" s="78"/>
      <c r="K8" s="49">
        <v>8</v>
      </c>
      <c r="L8" s="49">
        <v>15</v>
      </c>
      <c r="M8" s="49">
        <v>0</v>
      </c>
      <c r="N8" s="49">
        <v>15</v>
      </c>
      <c r="O8" s="49">
        <v>3</v>
      </c>
      <c r="P8" s="50">
        <v>0.2</v>
      </c>
      <c r="Q8" s="50">
        <v>0.3333333333333333</v>
      </c>
      <c r="R8" s="49">
        <v>1</v>
      </c>
      <c r="S8" s="49">
        <v>0</v>
      </c>
      <c r="T8" s="49">
        <v>8</v>
      </c>
      <c r="U8" s="49">
        <v>15</v>
      </c>
      <c r="V8" s="49">
        <v>4</v>
      </c>
      <c r="W8" s="50">
        <v>1.84375</v>
      </c>
      <c r="X8" s="50">
        <v>0.21428571428571427</v>
      </c>
      <c r="Y8" s="49">
        <v>5</v>
      </c>
      <c r="Z8" s="50">
        <v>1.6835016835016836</v>
      </c>
      <c r="AA8" s="49">
        <v>6</v>
      </c>
      <c r="AB8" s="50">
        <v>2.0202020202020203</v>
      </c>
      <c r="AC8" s="49">
        <v>0</v>
      </c>
      <c r="AD8" s="50">
        <v>0</v>
      </c>
      <c r="AE8" s="49">
        <v>286</v>
      </c>
      <c r="AF8" s="50">
        <v>96.29629629629629</v>
      </c>
      <c r="AG8" s="49">
        <v>297</v>
      </c>
      <c r="AH8" s="100" t="s">
        <v>1004</v>
      </c>
      <c r="AI8" s="100" t="s">
        <v>1073</v>
      </c>
    </row>
    <row r="9" spans="1:35" ht="15">
      <c r="A9" s="65" t="s">
        <v>694</v>
      </c>
      <c r="B9" s="66" t="s">
        <v>703</v>
      </c>
      <c r="C9" s="66" t="s">
        <v>56</v>
      </c>
      <c r="D9" s="98"/>
      <c r="E9" s="14"/>
      <c r="F9" s="15" t="s">
        <v>1305</v>
      </c>
      <c r="G9" s="64"/>
      <c r="H9" s="64"/>
      <c r="I9" s="99">
        <v>9</v>
      </c>
      <c r="J9" s="78"/>
      <c r="K9" s="49">
        <v>8</v>
      </c>
      <c r="L9" s="49">
        <v>12</v>
      </c>
      <c r="M9" s="49">
        <v>0</v>
      </c>
      <c r="N9" s="49">
        <v>12</v>
      </c>
      <c r="O9" s="49">
        <v>3</v>
      </c>
      <c r="P9" s="50">
        <v>0.125</v>
      </c>
      <c r="Q9" s="50">
        <v>0.2222222222222222</v>
      </c>
      <c r="R9" s="49">
        <v>1</v>
      </c>
      <c r="S9" s="49">
        <v>0</v>
      </c>
      <c r="T9" s="49">
        <v>8</v>
      </c>
      <c r="U9" s="49">
        <v>12</v>
      </c>
      <c r="V9" s="49">
        <v>5</v>
      </c>
      <c r="W9" s="50">
        <v>2</v>
      </c>
      <c r="X9" s="50">
        <v>0.16071428571428573</v>
      </c>
      <c r="Y9" s="49">
        <v>12</v>
      </c>
      <c r="Z9" s="50">
        <v>8.333333333333334</v>
      </c>
      <c r="AA9" s="49">
        <v>6</v>
      </c>
      <c r="AB9" s="50">
        <v>4.166666666666667</v>
      </c>
      <c r="AC9" s="49">
        <v>0</v>
      </c>
      <c r="AD9" s="50">
        <v>0</v>
      </c>
      <c r="AE9" s="49">
        <v>126</v>
      </c>
      <c r="AF9" s="50">
        <v>87.5</v>
      </c>
      <c r="AG9" s="49">
        <v>144</v>
      </c>
      <c r="AH9" s="100" t="s">
        <v>1005</v>
      </c>
      <c r="AI9" s="100" t="s">
        <v>1074</v>
      </c>
    </row>
    <row r="10" spans="1:35" ht="14.25" customHeight="1">
      <c r="A10" s="65" t="s">
        <v>695</v>
      </c>
      <c r="B10" s="66" t="s">
        <v>704</v>
      </c>
      <c r="C10" s="66" t="s">
        <v>56</v>
      </c>
      <c r="D10" s="98"/>
      <c r="E10" s="14"/>
      <c r="F10" s="15" t="s">
        <v>1306</v>
      </c>
      <c r="G10" s="64"/>
      <c r="H10" s="64"/>
      <c r="I10" s="99">
        <v>10</v>
      </c>
      <c r="J10" s="78"/>
      <c r="K10" s="49">
        <v>5</v>
      </c>
      <c r="L10" s="49">
        <v>5</v>
      </c>
      <c r="M10" s="49">
        <v>0</v>
      </c>
      <c r="N10" s="49">
        <v>5</v>
      </c>
      <c r="O10" s="49">
        <v>1</v>
      </c>
      <c r="P10" s="50">
        <v>0</v>
      </c>
      <c r="Q10" s="50">
        <v>0</v>
      </c>
      <c r="R10" s="49">
        <v>1</v>
      </c>
      <c r="S10" s="49">
        <v>0</v>
      </c>
      <c r="T10" s="49">
        <v>5</v>
      </c>
      <c r="U10" s="49">
        <v>5</v>
      </c>
      <c r="V10" s="49">
        <v>4</v>
      </c>
      <c r="W10" s="50">
        <v>1.6</v>
      </c>
      <c r="X10" s="50">
        <v>0.2</v>
      </c>
      <c r="Y10" s="49">
        <v>3</v>
      </c>
      <c r="Z10" s="50">
        <v>3.4482758620689653</v>
      </c>
      <c r="AA10" s="49">
        <v>1</v>
      </c>
      <c r="AB10" s="50">
        <v>1.1494252873563218</v>
      </c>
      <c r="AC10" s="49">
        <v>0</v>
      </c>
      <c r="AD10" s="50">
        <v>0</v>
      </c>
      <c r="AE10" s="49">
        <v>83</v>
      </c>
      <c r="AF10" s="50">
        <v>95.40229885057471</v>
      </c>
      <c r="AG10" s="49">
        <v>87</v>
      </c>
      <c r="AH10" s="100" t="s">
        <v>1006</v>
      </c>
      <c r="AI10" s="100" t="s">
        <v>1075</v>
      </c>
    </row>
    <row r="11" spans="1:35" ht="15">
      <c r="A11" s="65" t="s">
        <v>696</v>
      </c>
      <c r="B11" s="66" t="s">
        <v>705</v>
      </c>
      <c r="C11" s="66" t="s">
        <v>56</v>
      </c>
      <c r="D11" s="98"/>
      <c r="E11" s="14"/>
      <c r="F11" s="15" t="s">
        <v>1307</v>
      </c>
      <c r="G11" s="64"/>
      <c r="H11" s="64"/>
      <c r="I11" s="99">
        <v>11</v>
      </c>
      <c r="J11" s="78"/>
      <c r="K11" s="49">
        <v>4</v>
      </c>
      <c r="L11" s="49">
        <v>4</v>
      </c>
      <c r="M11" s="49">
        <v>0</v>
      </c>
      <c r="N11" s="49">
        <v>4</v>
      </c>
      <c r="O11" s="49">
        <v>0</v>
      </c>
      <c r="P11" s="50">
        <v>0.3333333333333333</v>
      </c>
      <c r="Q11" s="50">
        <v>0.5</v>
      </c>
      <c r="R11" s="49">
        <v>1</v>
      </c>
      <c r="S11" s="49">
        <v>0</v>
      </c>
      <c r="T11" s="49">
        <v>4</v>
      </c>
      <c r="U11" s="49">
        <v>4</v>
      </c>
      <c r="V11" s="49">
        <v>3</v>
      </c>
      <c r="W11" s="50">
        <v>1.25</v>
      </c>
      <c r="X11" s="50">
        <v>0.3333333333333333</v>
      </c>
      <c r="Y11" s="49">
        <v>0</v>
      </c>
      <c r="Z11" s="50">
        <v>0</v>
      </c>
      <c r="AA11" s="49">
        <v>0</v>
      </c>
      <c r="AB11" s="50">
        <v>0</v>
      </c>
      <c r="AC11" s="49">
        <v>0</v>
      </c>
      <c r="AD11" s="50">
        <v>0</v>
      </c>
      <c r="AE11" s="49">
        <v>51</v>
      </c>
      <c r="AF11" s="50">
        <v>100</v>
      </c>
      <c r="AG11" s="49">
        <v>51</v>
      </c>
      <c r="AH11" s="100" t="s">
        <v>1007</v>
      </c>
      <c r="AI11" s="100" t="s">
        <v>1076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688</v>
      </c>
      <c r="B2" s="100" t="s">
        <v>335</v>
      </c>
      <c r="C2" s="80">
        <f>VLOOKUP(GroupVertices[[#This Row],[Vertex]],Vertices[],MATCH("ID",Vertices[[#Headers],[Vertex]:[Top Word Pairs in Edit Comment by Salience]],0),FALSE)</f>
        <v>10</v>
      </c>
    </row>
    <row r="3" spans="1:3" ht="15">
      <c r="A3" s="81" t="s">
        <v>688</v>
      </c>
      <c r="B3" s="100" t="s">
        <v>331</v>
      </c>
      <c r="C3" s="80">
        <f>VLOOKUP(GroupVertices[[#This Row],[Vertex]],Vertices[],MATCH("ID",Vertices[[#Headers],[Vertex]:[Top Word Pairs in Edit Comment by Salience]],0),FALSE)</f>
        <v>8</v>
      </c>
    </row>
    <row r="4" spans="1:3" ht="15">
      <c r="A4" s="81" t="s">
        <v>688</v>
      </c>
      <c r="B4" s="100" t="s">
        <v>442</v>
      </c>
      <c r="C4" s="80">
        <f>VLOOKUP(GroupVertices[[#This Row],[Vertex]],Vertices[],MATCH("ID",Vertices[[#Headers],[Vertex]:[Top Word Pairs in Edit Comment by Salience]],0),FALSE)</f>
        <v>117</v>
      </c>
    </row>
    <row r="5" spans="1:3" ht="15">
      <c r="A5" s="81" t="s">
        <v>688</v>
      </c>
      <c r="B5" s="100" t="s">
        <v>379</v>
      </c>
      <c r="C5" s="80">
        <f>VLOOKUP(GroupVertices[[#This Row],[Vertex]],Vertices[],MATCH("ID",Vertices[[#Headers],[Vertex]:[Top Word Pairs in Edit Comment by Salience]],0),FALSE)</f>
        <v>56</v>
      </c>
    </row>
    <row r="6" spans="1:3" ht="15">
      <c r="A6" s="81" t="s">
        <v>688</v>
      </c>
      <c r="B6" s="100" t="s">
        <v>441</v>
      </c>
      <c r="C6" s="80">
        <f>VLOOKUP(GroupVertices[[#This Row],[Vertex]],Vertices[],MATCH("ID",Vertices[[#Headers],[Vertex]:[Top Word Pairs in Edit Comment by Salience]],0),FALSE)</f>
        <v>116</v>
      </c>
    </row>
    <row r="7" spans="1:3" ht="15">
      <c r="A7" s="81" t="s">
        <v>688</v>
      </c>
      <c r="B7" s="100" t="s">
        <v>440</v>
      </c>
      <c r="C7" s="80">
        <f>VLOOKUP(GroupVertices[[#This Row],[Vertex]],Vertices[],MATCH("ID",Vertices[[#Headers],[Vertex]:[Top Word Pairs in Edit Comment by Salience]],0),FALSE)</f>
        <v>115</v>
      </c>
    </row>
    <row r="8" spans="1:3" ht="15">
      <c r="A8" s="81" t="s">
        <v>688</v>
      </c>
      <c r="B8" s="100" t="s">
        <v>439</v>
      </c>
      <c r="C8" s="80">
        <f>VLOOKUP(GroupVertices[[#This Row],[Vertex]],Vertices[],MATCH("ID",Vertices[[#Headers],[Vertex]:[Top Word Pairs in Edit Comment by Salience]],0),FALSE)</f>
        <v>114</v>
      </c>
    </row>
    <row r="9" spans="1:3" ht="15">
      <c r="A9" s="81" t="s">
        <v>688</v>
      </c>
      <c r="B9" s="100" t="s">
        <v>438</v>
      </c>
      <c r="C9" s="80">
        <f>VLOOKUP(GroupVertices[[#This Row],[Vertex]],Vertices[],MATCH("ID",Vertices[[#Headers],[Vertex]:[Top Word Pairs in Edit Comment by Salience]],0),FALSE)</f>
        <v>113</v>
      </c>
    </row>
    <row r="10" spans="1:3" ht="15">
      <c r="A10" s="81" t="s">
        <v>688</v>
      </c>
      <c r="B10" s="100" t="s">
        <v>366</v>
      </c>
      <c r="C10" s="80">
        <f>VLOOKUP(GroupVertices[[#This Row],[Vertex]],Vertices[],MATCH("ID",Vertices[[#Headers],[Vertex]:[Top Word Pairs in Edit Comment by Salience]],0),FALSE)</f>
        <v>25</v>
      </c>
    </row>
    <row r="11" spans="1:3" ht="15">
      <c r="A11" s="81" t="s">
        <v>688</v>
      </c>
      <c r="B11" s="100" t="s">
        <v>437</v>
      </c>
      <c r="C11" s="80">
        <f>VLOOKUP(GroupVertices[[#This Row],[Vertex]],Vertices[],MATCH("ID",Vertices[[#Headers],[Vertex]:[Top Word Pairs in Edit Comment by Salience]],0),FALSE)</f>
        <v>112</v>
      </c>
    </row>
    <row r="12" spans="1:3" ht="15">
      <c r="A12" s="81" t="s">
        <v>688</v>
      </c>
      <c r="B12" s="100" t="s">
        <v>381</v>
      </c>
      <c r="C12" s="80">
        <f>VLOOKUP(GroupVertices[[#This Row],[Vertex]],Vertices[],MATCH("ID",Vertices[[#Headers],[Vertex]:[Top Word Pairs in Edit Comment by Salience]],0),FALSE)</f>
        <v>58</v>
      </c>
    </row>
    <row r="13" spans="1:3" ht="15">
      <c r="A13" s="81" t="s">
        <v>688</v>
      </c>
      <c r="B13" s="100" t="s">
        <v>430</v>
      </c>
      <c r="C13" s="80">
        <f>VLOOKUP(GroupVertices[[#This Row],[Vertex]],Vertices[],MATCH("ID",Vertices[[#Headers],[Vertex]:[Top Word Pairs in Edit Comment by Salience]],0),FALSE)</f>
        <v>106</v>
      </c>
    </row>
    <row r="14" spans="1:3" ht="15">
      <c r="A14" s="81" t="s">
        <v>688</v>
      </c>
      <c r="B14" s="100" t="s">
        <v>427</v>
      </c>
      <c r="C14" s="80">
        <f>VLOOKUP(GroupVertices[[#This Row],[Vertex]],Vertices[],MATCH("ID",Vertices[[#Headers],[Vertex]:[Top Word Pairs in Edit Comment by Salience]],0),FALSE)</f>
        <v>104</v>
      </c>
    </row>
    <row r="15" spans="1:3" ht="15">
      <c r="A15" s="81" t="s">
        <v>688</v>
      </c>
      <c r="B15" s="100" t="s">
        <v>426</v>
      </c>
      <c r="C15" s="80">
        <f>VLOOKUP(GroupVertices[[#This Row],[Vertex]],Vertices[],MATCH("ID",Vertices[[#Headers],[Vertex]:[Top Word Pairs in Edit Comment by Salience]],0),FALSE)</f>
        <v>103</v>
      </c>
    </row>
    <row r="16" spans="1:3" ht="15">
      <c r="A16" s="81" t="s">
        <v>688</v>
      </c>
      <c r="B16" s="100" t="s">
        <v>425</v>
      </c>
      <c r="C16" s="80">
        <f>VLOOKUP(GroupVertices[[#This Row],[Vertex]],Vertices[],MATCH("ID",Vertices[[#Headers],[Vertex]:[Top Word Pairs in Edit Comment by Salience]],0),FALSE)</f>
        <v>102</v>
      </c>
    </row>
    <row r="17" spans="1:3" ht="15">
      <c r="A17" s="81" t="s">
        <v>688</v>
      </c>
      <c r="B17" s="100" t="s">
        <v>410</v>
      </c>
      <c r="C17" s="80">
        <f>VLOOKUP(GroupVertices[[#This Row],[Vertex]],Vertices[],MATCH("ID",Vertices[[#Headers],[Vertex]:[Top Word Pairs in Edit Comment by Salience]],0),FALSE)</f>
        <v>87</v>
      </c>
    </row>
    <row r="18" spans="1:3" ht="15">
      <c r="A18" s="81" t="s">
        <v>688</v>
      </c>
      <c r="B18" s="100" t="s">
        <v>411</v>
      </c>
      <c r="C18" s="80">
        <f>VLOOKUP(GroupVertices[[#This Row],[Vertex]],Vertices[],MATCH("ID",Vertices[[#Headers],[Vertex]:[Top Word Pairs in Edit Comment by Salience]],0),FALSE)</f>
        <v>88</v>
      </c>
    </row>
    <row r="19" spans="1:3" ht="15">
      <c r="A19" s="81" t="s">
        <v>688</v>
      </c>
      <c r="B19" s="100" t="s">
        <v>409</v>
      </c>
      <c r="C19" s="80">
        <f>VLOOKUP(GroupVertices[[#This Row],[Vertex]],Vertices[],MATCH("ID",Vertices[[#Headers],[Vertex]:[Top Word Pairs in Edit Comment by Salience]],0),FALSE)</f>
        <v>86</v>
      </c>
    </row>
    <row r="20" spans="1:3" ht="15">
      <c r="A20" s="81" t="s">
        <v>688</v>
      </c>
      <c r="B20" s="100" t="s">
        <v>403</v>
      </c>
      <c r="C20" s="80">
        <f>VLOOKUP(GroupVertices[[#This Row],[Vertex]],Vertices[],MATCH("ID",Vertices[[#Headers],[Vertex]:[Top Word Pairs in Edit Comment by Salience]],0),FALSE)</f>
        <v>80</v>
      </c>
    </row>
    <row r="21" spans="1:3" ht="15">
      <c r="A21" s="81" t="s">
        <v>688</v>
      </c>
      <c r="B21" s="100" t="s">
        <v>383</v>
      </c>
      <c r="C21" s="80">
        <f>VLOOKUP(GroupVertices[[#This Row],[Vertex]],Vertices[],MATCH("ID",Vertices[[#Headers],[Vertex]:[Top Word Pairs in Edit Comment by Salience]],0),FALSE)</f>
        <v>60</v>
      </c>
    </row>
    <row r="22" spans="1:3" ht="15">
      <c r="A22" s="81" t="s">
        <v>688</v>
      </c>
      <c r="B22" s="100" t="s">
        <v>382</v>
      </c>
      <c r="C22" s="80">
        <f>VLOOKUP(GroupVertices[[#This Row],[Vertex]],Vertices[],MATCH("ID",Vertices[[#Headers],[Vertex]:[Top Word Pairs in Edit Comment by Salience]],0),FALSE)</f>
        <v>59</v>
      </c>
    </row>
    <row r="23" spans="1:3" ht="15">
      <c r="A23" s="81" t="s">
        <v>688</v>
      </c>
      <c r="B23" s="100" t="s">
        <v>368</v>
      </c>
      <c r="C23" s="80">
        <f>VLOOKUP(GroupVertices[[#This Row],[Vertex]],Vertices[],MATCH("ID",Vertices[[#Headers],[Vertex]:[Top Word Pairs in Edit Comment by Salience]],0),FALSE)</f>
        <v>46</v>
      </c>
    </row>
    <row r="24" spans="1:3" ht="15">
      <c r="A24" s="81" t="s">
        <v>688</v>
      </c>
      <c r="B24" s="100" t="s">
        <v>367</v>
      </c>
      <c r="C24" s="80">
        <f>VLOOKUP(GroupVertices[[#This Row],[Vertex]],Vertices[],MATCH("ID",Vertices[[#Headers],[Vertex]:[Top Word Pairs in Edit Comment by Salience]],0),FALSE)</f>
        <v>45</v>
      </c>
    </row>
    <row r="25" spans="1:3" ht="15">
      <c r="A25" s="81" t="s">
        <v>688</v>
      </c>
      <c r="B25" s="100" t="s">
        <v>345</v>
      </c>
      <c r="C25" s="80">
        <f>VLOOKUP(GroupVertices[[#This Row],[Vertex]],Vertices[],MATCH("ID",Vertices[[#Headers],[Vertex]:[Top Word Pairs in Edit Comment by Salience]],0),FALSE)</f>
        <v>22</v>
      </c>
    </row>
    <row r="26" spans="1:3" ht="15">
      <c r="A26" s="81" t="s">
        <v>688</v>
      </c>
      <c r="B26" s="100" t="s">
        <v>344</v>
      </c>
      <c r="C26" s="80">
        <f>VLOOKUP(GroupVertices[[#This Row],[Vertex]],Vertices[],MATCH("ID",Vertices[[#Headers],[Vertex]:[Top Word Pairs in Edit Comment by Salience]],0),FALSE)</f>
        <v>21</v>
      </c>
    </row>
    <row r="27" spans="1:3" ht="15">
      <c r="A27" s="81" t="s">
        <v>688</v>
      </c>
      <c r="B27" s="100" t="s">
        <v>330</v>
      </c>
      <c r="C27" s="80">
        <f>VLOOKUP(GroupVertices[[#This Row],[Vertex]],Vertices[],MATCH("ID",Vertices[[#Headers],[Vertex]:[Top Word Pairs in Edit Comment by Salience]],0),FALSE)</f>
        <v>6</v>
      </c>
    </row>
    <row r="28" spans="1:3" ht="15">
      <c r="A28" s="81" t="s">
        <v>689</v>
      </c>
      <c r="B28" s="100" t="s">
        <v>356</v>
      </c>
      <c r="C28" s="80">
        <f>VLOOKUP(GroupVertices[[#This Row],[Vertex]],Vertices[],MATCH("ID",Vertices[[#Headers],[Vertex]:[Top Word Pairs in Edit Comment by Salience]],0),FALSE)</f>
        <v>32</v>
      </c>
    </row>
    <row r="29" spans="1:3" ht="15">
      <c r="A29" s="81" t="s">
        <v>689</v>
      </c>
      <c r="B29" s="100" t="s">
        <v>355</v>
      </c>
      <c r="C29" s="80">
        <f>VLOOKUP(GroupVertices[[#This Row],[Vertex]],Vertices[],MATCH("ID",Vertices[[#Headers],[Vertex]:[Top Word Pairs in Edit Comment by Salience]],0),FALSE)</f>
        <v>34</v>
      </c>
    </row>
    <row r="30" spans="1:3" ht="15">
      <c r="A30" s="81" t="s">
        <v>689</v>
      </c>
      <c r="B30" s="100" t="s">
        <v>358</v>
      </c>
      <c r="C30" s="80">
        <f>VLOOKUP(GroupVertices[[#This Row],[Vertex]],Vertices[],MATCH("ID",Vertices[[#Headers],[Vertex]:[Top Word Pairs in Edit Comment by Salience]],0),FALSE)</f>
        <v>13</v>
      </c>
    </row>
    <row r="31" spans="1:3" ht="15">
      <c r="A31" s="81" t="s">
        <v>689</v>
      </c>
      <c r="B31" s="100" t="s">
        <v>341</v>
      </c>
      <c r="C31" s="80">
        <f>VLOOKUP(GroupVertices[[#This Row],[Vertex]],Vertices[],MATCH("ID",Vertices[[#Headers],[Vertex]:[Top Word Pairs in Edit Comment by Salience]],0),FALSE)</f>
        <v>7</v>
      </c>
    </row>
    <row r="32" spans="1:3" ht="15">
      <c r="A32" s="81" t="s">
        <v>689</v>
      </c>
      <c r="B32" s="100" t="s">
        <v>420</v>
      </c>
      <c r="C32" s="80">
        <f>VLOOKUP(GroupVertices[[#This Row],[Vertex]],Vertices[],MATCH("ID",Vertices[[#Headers],[Vertex]:[Top Word Pairs in Edit Comment by Salience]],0),FALSE)</f>
        <v>97</v>
      </c>
    </row>
    <row r="33" spans="1:3" ht="15">
      <c r="A33" s="81" t="s">
        <v>689</v>
      </c>
      <c r="B33" s="100" t="s">
        <v>354</v>
      </c>
      <c r="C33" s="80">
        <f>VLOOKUP(GroupVertices[[#This Row],[Vertex]],Vertices[],MATCH("ID",Vertices[[#Headers],[Vertex]:[Top Word Pairs in Edit Comment by Salience]],0),FALSE)</f>
        <v>33</v>
      </c>
    </row>
    <row r="34" spans="1:3" ht="15">
      <c r="A34" s="81" t="s">
        <v>689</v>
      </c>
      <c r="B34" s="100" t="s">
        <v>419</v>
      </c>
      <c r="C34" s="80">
        <f>VLOOKUP(GroupVertices[[#This Row],[Vertex]],Vertices[],MATCH("ID",Vertices[[#Headers],[Vertex]:[Top Word Pairs in Edit Comment by Salience]],0),FALSE)</f>
        <v>96</v>
      </c>
    </row>
    <row r="35" spans="1:3" ht="15">
      <c r="A35" s="81" t="s">
        <v>689</v>
      </c>
      <c r="B35" s="100" t="s">
        <v>433</v>
      </c>
      <c r="C35" s="80">
        <f>VLOOKUP(GroupVertices[[#This Row],[Vertex]],Vertices[],MATCH("ID",Vertices[[#Headers],[Vertex]:[Top Word Pairs in Edit Comment by Salience]],0),FALSE)</f>
        <v>90</v>
      </c>
    </row>
    <row r="36" spans="1:3" ht="15">
      <c r="A36" s="81" t="s">
        <v>689</v>
      </c>
      <c r="B36" s="100" t="s">
        <v>386</v>
      </c>
      <c r="C36" s="80">
        <f>VLOOKUP(GroupVertices[[#This Row],[Vertex]],Vertices[],MATCH("ID",Vertices[[#Headers],[Vertex]:[Top Word Pairs in Edit Comment by Salience]],0),FALSE)</f>
        <v>63</v>
      </c>
    </row>
    <row r="37" spans="1:3" ht="15">
      <c r="A37" s="81" t="s">
        <v>689</v>
      </c>
      <c r="B37" s="100" t="s">
        <v>385</v>
      </c>
      <c r="C37" s="80">
        <f>VLOOKUP(GroupVertices[[#This Row],[Vertex]],Vertices[],MATCH("ID",Vertices[[#Headers],[Vertex]:[Top Word Pairs in Edit Comment by Salience]],0),FALSE)</f>
        <v>62</v>
      </c>
    </row>
    <row r="38" spans="1:3" ht="15">
      <c r="A38" s="81" t="s">
        <v>689</v>
      </c>
      <c r="B38" s="100" t="s">
        <v>384</v>
      </c>
      <c r="C38" s="80">
        <f>VLOOKUP(GroupVertices[[#This Row],[Vertex]],Vertices[],MATCH("ID",Vertices[[#Headers],[Vertex]:[Top Word Pairs in Edit Comment by Salience]],0),FALSE)</f>
        <v>61</v>
      </c>
    </row>
    <row r="39" spans="1:3" ht="15">
      <c r="A39" s="81" t="s">
        <v>689</v>
      </c>
      <c r="B39" s="100" t="s">
        <v>380</v>
      </c>
      <c r="C39" s="80">
        <f>VLOOKUP(GroupVertices[[#This Row],[Vertex]],Vertices[],MATCH("ID",Vertices[[#Headers],[Vertex]:[Top Word Pairs in Edit Comment by Salience]],0),FALSE)</f>
        <v>57</v>
      </c>
    </row>
    <row r="40" spans="1:3" ht="15">
      <c r="A40" s="81" t="s">
        <v>689</v>
      </c>
      <c r="B40" s="100" t="s">
        <v>362</v>
      </c>
      <c r="C40" s="80">
        <f>VLOOKUP(GroupVertices[[#This Row],[Vertex]],Vertices[],MATCH("ID",Vertices[[#Headers],[Vertex]:[Top Word Pairs in Edit Comment by Salience]],0),FALSE)</f>
        <v>41</v>
      </c>
    </row>
    <row r="41" spans="1:3" ht="15">
      <c r="A41" s="81" t="s">
        <v>689</v>
      </c>
      <c r="B41" s="100" t="s">
        <v>373</v>
      </c>
      <c r="C41" s="80">
        <f>VLOOKUP(GroupVertices[[#This Row],[Vertex]],Vertices[],MATCH("ID",Vertices[[#Headers],[Vertex]:[Top Word Pairs in Edit Comment by Salience]],0),FALSE)</f>
        <v>51</v>
      </c>
    </row>
    <row r="42" spans="1:3" ht="15">
      <c r="A42" s="81" t="s">
        <v>689</v>
      </c>
      <c r="B42" s="100" t="s">
        <v>372</v>
      </c>
      <c r="C42" s="80">
        <f>VLOOKUP(GroupVertices[[#This Row],[Vertex]],Vertices[],MATCH("ID",Vertices[[#Headers],[Vertex]:[Top Word Pairs in Edit Comment by Salience]],0),FALSE)</f>
        <v>50</v>
      </c>
    </row>
    <row r="43" spans="1:3" ht="15">
      <c r="A43" s="81" t="s">
        <v>689</v>
      </c>
      <c r="B43" s="100" t="s">
        <v>346</v>
      </c>
      <c r="C43" s="80">
        <f>VLOOKUP(GroupVertices[[#This Row],[Vertex]],Vertices[],MATCH("ID",Vertices[[#Headers],[Vertex]:[Top Word Pairs in Edit Comment by Salience]],0),FALSE)</f>
        <v>23</v>
      </c>
    </row>
    <row r="44" spans="1:3" ht="15">
      <c r="A44" s="81" t="s">
        <v>689</v>
      </c>
      <c r="B44" s="100" t="s">
        <v>361</v>
      </c>
      <c r="C44" s="80">
        <f>VLOOKUP(GroupVertices[[#This Row],[Vertex]],Vertices[],MATCH("ID",Vertices[[#Headers],[Vertex]:[Top Word Pairs in Edit Comment by Salience]],0),FALSE)</f>
        <v>40</v>
      </c>
    </row>
    <row r="45" spans="1:3" ht="15">
      <c r="A45" s="81" t="s">
        <v>689</v>
      </c>
      <c r="B45" s="100" t="s">
        <v>357</v>
      </c>
      <c r="C45" s="80">
        <f>VLOOKUP(GroupVertices[[#This Row],[Vertex]],Vertices[],MATCH("ID",Vertices[[#Headers],[Vertex]:[Top Word Pairs in Edit Comment by Salience]],0),FALSE)</f>
        <v>35</v>
      </c>
    </row>
    <row r="46" spans="1:3" ht="15">
      <c r="A46" s="81" t="s">
        <v>689</v>
      </c>
      <c r="B46" s="100" t="s">
        <v>353</v>
      </c>
      <c r="C46" s="80">
        <f>VLOOKUP(GroupVertices[[#This Row],[Vertex]],Vertices[],MATCH("ID",Vertices[[#Headers],[Vertex]:[Top Word Pairs in Edit Comment by Salience]],0),FALSE)</f>
        <v>31</v>
      </c>
    </row>
    <row r="47" spans="1:3" ht="15">
      <c r="A47" s="81" t="s">
        <v>689</v>
      </c>
      <c r="B47" s="100" t="s">
        <v>343</v>
      </c>
      <c r="C47" s="80">
        <f>VLOOKUP(GroupVertices[[#This Row],[Vertex]],Vertices[],MATCH("ID",Vertices[[#Headers],[Vertex]:[Top Word Pairs in Edit Comment by Salience]],0),FALSE)</f>
        <v>20</v>
      </c>
    </row>
    <row r="48" spans="1:3" ht="15">
      <c r="A48" s="81" t="s">
        <v>689</v>
      </c>
      <c r="B48" s="100" t="s">
        <v>342</v>
      </c>
      <c r="C48" s="80">
        <f>VLOOKUP(GroupVertices[[#This Row],[Vertex]],Vertices[],MATCH("ID",Vertices[[#Headers],[Vertex]:[Top Word Pairs in Edit Comment by Salience]],0),FALSE)</f>
        <v>19</v>
      </c>
    </row>
    <row r="49" spans="1:3" ht="15">
      <c r="A49" s="81" t="s">
        <v>689</v>
      </c>
      <c r="B49" s="100" t="s">
        <v>334</v>
      </c>
      <c r="C49" s="80">
        <f>VLOOKUP(GroupVertices[[#This Row],[Vertex]],Vertices[],MATCH("ID",Vertices[[#Headers],[Vertex]:[Top Word Pairs in Edit Comment by Salience]],0),FALSE)</f>
        <v>12</v>
      </c>
    </row>
    <row r="50" spans="1:3" ht="15">
      <c r="A50" s="81" t="s">
        <v>690</v>
      </c>
      <c r="B50" s="100" t="s">
        <v>348</v>
      </c>
      <c r="C50" s="80">
        <f>VLOOKUP(GroupVertices[[#This Row],[Vertex]],Vertices[],MATCH("ID",Vertices[[#Headers],[Vertex]:[Top Word Pairs in Edit Comment by Salience]],0),FALSE)</f>
        <v>26</v>
      </c>
    </row>
    <row r="51" spans="1:3" ht="15">
      <c r="A51" s="81" t="s">
        <v>690</v>
      </c>
      <c r="B51" s="100" t="s">
        <v>431</v>
      </c>
      <c r="C51" s="80">
        <f>VLOOKUP(GroupVertices[[#This Row],[Vertex]],Vertices[],MATCH("ID",Vertices[[#Headers],[Vertex]:[Top Word Pairs in Edit Comment by Salience]],0),FALSE)</f>
        <v>107</v>
      </c>
    </row>
    <row r="52" spans="1:3" ht="15">
      <c r="A52" s="81" t="s">
        <v>690</v>
      </c>
      <c r="B52" s="100" t="s">
        <v>429</v>
      </c>
      <c r="C52" s="80">
        <f>VLOOKUP(GroupVertices[[#This Row],[Vertex]],Vertices[],MATCH("ID",Vertices[[#Headers],[Vertex]:[Top Word Pairs in Edit Comment by Salience]],0),FALSE)</f>
        <v>105</v>
      </c>
    </row>
    <row r="53" spans="1:3" ht="15">
      <c r="A53" s="81" t="s">
        <v>690</v>
      </c>
      <c r="B53" s="100" t="s">
        <v>428</v>
      </c>
      <c r="C53" s="80">
        <f>VLOOKUP(GroupVertices[[#This Row],[Vertex]],Vertices[],MATCH("ID",Vertices[[#Headers],[Vertex]:[Top Word Pairs in Edit Comment by Salience]],0),FALSE)</f>
        <v>37</v>
      </c>
    </row>
    <row r="54" spans="1:3" ht="15">
      <c r="A54" s="81" t="s">
        <v>690</v>
      </c>
      <c r="B54" s="100" t="s">
        <v>399</v>
      </c>
      <c r="C54" s="80">
        <f>VLOOKUP(GroupVertices[[#This Row],[Vertex]],Vertices[],MATCH("ID",Vertices[[#Headers],[Vertex]:[Top Word Pairs in Edit Comment by Salience]],0),FALSE)</f>
        <v>71</v>
      </c>
    </row>
    <row r="55" spans="1:3" ht="15">
      <c r="A55" s="81" t="s">
        <v>690</v>
      </c>
      <c r="B55" s="100" t="s">
        <v>400</v>
      </c>
      <c r="C55" s="80">
        <f>VLOOKUP(GroupVertices[[#This Row],[Vertex]],Vertices[],MATCH("ID",Vertices[[#Headers],[Vertex]:[Top Word Pairs in Edit Comment by Salience]],0),FALSE)</f>
        <v>77</v>
      </c>
    </row>
    <row r="56" spans="1:3" ht="15">
      <c r="A56" s="81" t="s">
        <v>690</v>
      </c>
      <c r="B56" s="100" t="s">
        <v>394</v>
      </c>
      <c r="C56" s="80">
        <f>VLOOKUP(GroupVertices[[#This Row],[Vertex]],Vertices[],MATCH("ID",Vertices[[#Headers],[Vertex]:[Top Word Pairs in Edit Comment by Salience]],0),FALSE)</f>
        <v>72</v>
      </c>
    </row>
    <row r="57" spans="1:3" ht="15">
      <c r="A57" s="81" t="s">
        <v>690</v>
      </c>
      <c r="B57" s="100" t="s">
        <v>393</v>
      </c>
      <c r="C57" s="80">
        <f>VLOOKUP(GroupVertices[[#This Row],[Vertex]],Vertices[],MATCH("ID",Vertices[[#Headers],[Vertex]:[Top Word Pairs in Edit Comment by Salience]],0),FALSE)</f>
        <v>70</v>
      </c>
    </row>
    <row r="58" spans="1:3" ht="15">
      <c r="A58" s="81" t="s">
        <v>690</v>
      </c>
      <c r="B58" s="100" t="s">
        <v>378</v>
      </c>
      <c r="C58" s="80">
        <f>VLOOKUP(GroupVertices[[#This Row],[Vertex]],Vertices[],MATCH("ID",Vertices[[#Headers],[Vertex]:[Top Word Pairs in Edit Comment by Salience]],0),FALSE)</f>
        <v>55</v>
      </c>
    </row>
    <row r="59" spans="1:3" ht="15">
      <c r="A59" s="81" t="s">
        <v>690</v>
      </c>
      <c r="B59" s="100" t="s">
        <v>375</v>
      </c>
      <c r="C59" s="80">
        <f>VLOOKUP(GroupVertices[[#This Row],[Vertex]],Vertices[],MATCH("ID",Vertices[[#Headers],[Vertex]:[Top Word Pairs in Edit Comment by Salience]],0),FALSE)</f>
        <v>53</v>
      </c>
    </row>
    <row r="60" spans="1:3" ht="15">
      <c r="A60" s="81" t="s">
        <v>690</v>
      </c>
      <c r="B60" s="100" t="s">
        <v>374</v>
      </c>
      <c r="C60" s="80">
        <f>VLOOKUP(GroupVertices[[#This Row],[Vertex]],Vertices[],MATCH("ID",Vertices[[#Headers],[Vertex]:[Top Word Pairs in Edit Comment by Salience]],0),FALSE)</f>
        <v>52</v>
      </c>
    </row>
    <row r="61" spans="1:3" ht="15">
      <c r="A61" s="81" t="s">
        <v>690</v>
      </c>
      <c r="B61" s="100" t="s">
        <v>371</v>
      </c>
      <c r="C61" s="80">
        <f>VLOOKUP(GroupVertices[[#This Row],[Vertex]],Vertices[],MATCH("ID",Vertices[[#Headers],[Vertex]:[Top Word Pairs in Edit Comment by Salience]],0),FALSE)</f>
        <v>49</v>
      </c>
    </row>
    <row r="62" spans="1:3" ht="15">
      <c r="A62" s="81" t="s">
        <v>690</v>
      </c>
      <c r="B62" s="100" t="s">
        <v>370</v>
      </c>
      <c r="C62" s="80">
        <f>VLOOKUP(GroupVertices[[#This Row],[Vertex]],Vertices[],MATCH("ID",Vertices[[#Headers],[Vertex]:[Top Word Pairs in Edit Comment by Salience]],0),FALSE)</f>
        <v>48</v>
      </c>
    </row>
    <row r="63" spans="1:3" ht="15">
      <c r="A63" s="81" t="s">
        <v>690</v>
      </c>
      <c r="B63" s="100" t="s">
        <v>369</v>
      </c>
      <c r="C63" s="80">
        <f>VLOOKUP(GroupVertices[[#This Row],[Vertex]],Vertices[],MATCH("ID",Vertices[[#Headers],[Vertex]:[Top Word Pairs in Edit Comment by Salience]],0),FALSE)</f>
        <v>47</v>
      </c>
    </row>
    <row r="64" spans="1:3" ht="15">
      <c r="A64" s="81" t="s">
        <v>690</v>
      </c>
      <c r="B64" s="100" t="s">
        <v>350</v>
      </c>
      <c r="C64" s="80">
        <f>VLOOKUP(GroupVertices[[#This Row],[Vertex]],Vertices[],MATCH("ID",Vertices[[#Headers],[Vertex]:[Top Word Pairs in Edit Comment by Salience]],0),FALSE)</f>
        <v>28</v>
      </c>
    </row>
    <row r="65" spans="1:3" ht="15">
      <c r="A65" s="81" t="s">
        <v>690</v>
      </c>
      <c r="B65" s="100" t="s">
        <v>351</v>
      </c>
      <c r="C65" s="80">
        <f>VLOOKUP(GroupVertices[[#This Row],[Vertex]],Vertices[],MATCH("ID",Vertices[[#Headers],[Vertex]:[Top Word Pairs in Edit Comment by Salience]],0),FALSE)</f>
        <v>29</v>
      </c>
    </row>
    <row r="66" spans="1:3" ht="15">
      <c r="A66" s="81" t="s">
        <v>690</v>
      </c>
      <c r="B66" s="100" t="s">
        <v>349</v>
      </c>
      <c r="C66" s="80">
        <f>VLOOKUP(GroupVertices[[#This Row],[Vertex]],Vertices[],MATCH("ID",Vertices[[#Headers],[Vertex]:[Top Word Pairs in Edit Comment by Salience]],0),FALSE)</f>
        <v>27</v>
      </c>
    </row>
    <row r="67" spans="1:3" ht="15">
      <c r="A67" s="81" t="s">
        <v>690</v>
      </c>
      <c r="B67" s="100" t="s">
        <v>347</v>
      </c>
      <c r="C67" s="80">
        <f>VLOOKUP(GroupVertices[[#This Row],[Vertex]],Vertices[],MATCH("ID",Vertices[[#Headers],[Vertex]:[Top Word Pairs in Edit Comment by Salience]],0),FALSE)</f>
        <v>24</v>
      </c>
    </row>
    <row r="68" spans="1:3" ht="15">
      <c r="A68" s="81" t="s">
        <v>691</v>
      </c>
      <c r="B68" s="100" t="s">
        <v>329</v>
      </c>
      <c r="C68" s="80">
        <f>VLOOKUP(GroupVertices[[#This Row],[Vertex]],Vertices[],MATCH("ID",Vertices[[#Headers],[Vertex]:[Top Word Pairs in Edit Comment by Salience]],0),FALSE)</f>
        <v>5</v>
      </c>
    </row>
    <row r="69" spans="1:3" ht="15">
      <c r="A69" s="81" t="s">
        <v>691</v>
      </c>
      <c r="B69" s="100" t="s">
        <v>443</v>
      </c>
      <c r="C69" s="80">
        <f>VLOOKUP(GroupVertices[[#This Row],[Vertex]],Vertices[],MATCH("ID",Vertices[[#Headers],[Vertex]:[Top Word Pairs in Edit Comment by Salience]],0),FALSE)</f>
        <v>118</v>
      </c>
    </row>
    <row r="70" spans="1:3" ht="15">
      <c r="A70" s="81" t="s">
        <v>691</v>
      </c>
      <c r="B70" s="100" t="s">
        <v>414</v>
      </c>
      <c r="C70" s="80">
        <f>VLOOKUP(GroupVertices[[#This Row],[Vertex]],Vertices[],MATCH("ID",Vertices[[#Headers],[Vertex]:[Top Word Pairs in Edit Comment by Salience]],0),FALSE)</f>
        <v>91</v>
      </c>
    </row>
    <row r="71" spans="1:3" ht="15">
      <c r="A71" s="81" t="s">
        <v>691</v>
      </c>
      <c r="B71" s="100" t="s">
        <v>377</v>
      </c>
      <c r="C71" s="80">
        <f>VLOOKUP(GroupVertices[[#This Row],[Vertex]],Vertices[],MATCH("ID",Vertices[[#Headers],[Vertex]:[Top Word Pairs in Edit Comment by Salience]],0),FALSE)</f>
        <v>54</v>
      </c>
    </row>
    <row r="72" spans="1:3" ht="15">
      <c r="A72" s="81" t="s">
        <v>691</v>
      </c>
      <c r="B72" s="100" t="s">
        <v>402</v>
      </c>
      <c r="C72" s="80">
        <f>VLOOKUP(GroupVertices[[#This Row],[Vertex]],Vertices[],MATCH("ID",Vertices[[#Headers],[Vertex]:[Top Word Pairs in Edit Comment by Salience]],0),FALSE)</f>
        <v>79</v>
      </c>
    </row>
    <row r="73" spans="1:3" ht="15">
      <c r="A73" s="81" t="s">
        <v>691</v>
      </c>
      <c r="B73" s="100" t="s">
        <v>401</v>
      </c>
      <c r="C73" s="80">
        <f>VLOOKUP(GroupVertices[[#This Row],[Vertex]],Vertices[],MATCH("ID",Vertices[[#Headers],[Vertex]:[Top Word Pairs in Edit Comment by Salience]],0),FALSE)</f>
        <v>78</v>
      </c>
    </row>
    <row r="74" spans="1:3" ht="15">
      <c r="A74" s="81" t="s">
        <v>691</v>
      </c>
      <c r="B74" s="100" t="s">
        <v>396</v>
      </c>
      <c r="C74" s="80">
        <f>VLOOKUP(GroupVertices[[#This Row],[Vertex]],Vertices[],MATCH("ID",Vertices[[#Headers],[Vertex]:[Top Word Pairs in Edit Comment by Salience]],0),FALSE)</f>
        <v>74</v>
      </c>
    </row>
    <row r="75" spans="1:3" ht="15">
      <c r="A75" s="81" t="s">
        <v>691</v>
      </c>
      <c r="B75" s="100" t="s">
        <v>395</v>
      </c>
      <c r="C75" s="80">
        <f>VLOOKUP(GroupVertices[[#This Row],[Vertex]],Vertices[],MATCH("ID",Vertices[[#Headers],[Vertex]:[Top Word Pairs in Edit Comment by Salience]],0),FALSE)</f>
        <v>73</v>
      </c>
    </row>
    <row r="76" spans="1:3" ht="15">
      <c r="A76" s="81" t="s">
        <v>691</v>
      </c>
      <c r="B76" s="100" t="s">
        <v>376</v>
      </c>
      <c r="C76" s="80">
        <f>VLOOKUP(GroupVertices[[#This Row],[Vertex]],Vertices[],MATCH("ID",Vertices[[#Headers],[Vertex]:[Top Word Pairs in Edit Comment by Salience]],0),FALSE)</f>
        <v>4</v>
      </c>
    </row>
    <row r="77" spans="1:3" ht="15">
      <c r="A77" s="81" t="s">
        <v>691</v>
      </c>
      <c r="B77" s="100" t="s">
        <v>359</v>
      </c>
      <c r="C77" s="80">
        <f>VLOOKUP(GroupVertices[[#This Row],[Vertex]],Vertices[],MATCH("ID",Vertices[[#Headers],[Vertex]:[Top Word Pairs in Edit Comment by Salience]],0),FALSE)</f>
        <v>36</v>
      </c>
    </row>
    <row r="78" spans="1:3" ht="15">
      <c r="A78" s="81" t="s">
        <v>691</v>
      </c>
      <c r="B78" s="100" t="s">
        <v>340</v>
      </c>
      <c r="C78" s="80">
        <f>VLOOKUP(GroupVertices[[#This Row],[Vertex]],Vertices[],MATCH("ID",Vertices[[#Headers],[Vertex]:[Top Word Pairs in Edit Comment by Salience]],0),FALSE)</f>
        <v>18</v>
      </c>
    </row>
    <row r="79" spans="1:3" ht="15">
      <c r="A79" s="81" t="s">
        <v>691</v>
      </c>
      <c r="B79" s="100" t="s">
        <v>339</v>
      </c>
      <c r="C79" s="80">
        <f>VLOOKUP(GroupVertices[[#This Row],[Vertex]],Vertices[],MATCH("ID",Vertices[[#Headers],[Vertex]:[Top Word Pairs in Edit Comment by Salience]],0),FALSE)</f>
        <v>17</v>
      </c>
    </row>
    <row r="80" spans="1:3" ht="15">
      <c r="A80" s="81" t="s">
        <v>691</v>
      </c>
      <c r="B80" s="100" t="s">
        <v>338</v>
      </c>
      <c r="C80" s="80">
        <f>VLOOKUP(GroupVertices[[#This Row],[Vertex]],Vertices[],MATCH("ID",Vertices[[#Headers],[Vertex]:[Top Word Pairs in Edit Comment by Salience]],0),FALSE)</f>
        <v>16</v>
      </c>
    </row>
    <row r="81" spans="1:3" ht="15">
      <c r="A81" s="81" t="s">
        <v>691</v>
      </c>
      <c r="B81" s="100" t="s">
        <v>337</v>
      </c>
      <c r="C81" s="80">
        <f>VLOOKUP(GroupVertices[[#This Row],[Vertex]],Vertices[],MATCH("ID",Vertices[[#Headers],[Vertex]:[Top Word Pairs in Edit Comment by Salience]],0),FALSE)</f>
        <v>15</v>
      </c>
    </row>
    <row r="82" spans="1:3" ht="15">
      <c r="A82" s="81" t="s">
        <v>691</v>
      </c>
      <c r="B82" s="100" t="s">
        <v>336</v>
      </c>
      <c r="C82" s="80">
        <f>VLOOKUP(GroupVertices[[#This Row],[Vertex]],Vertices[],MATCH("ID",Vertices[[#Headers],[Vertex]:[Top Word Pairs in Edit Comment by Salience]],0),FALSE)</f>
        <v>14</v>
      </c>
    </row>
    <row r="83" spans="1:3" ht="15">
      <c r="A83" s="81" t="s">
        <v>691</v>
      </c>
      <c r="B83" s="100" t="s">
        <v>328</v>
      </c>
      <c r="C83" s="80">
        <f>VLOOKUP(GroupVertices[[#This Row],[Vertex]],Vertices[],MATCH("ID",Vertices[[#Headers],[Vertex]:[Top Word Pairs in Edit Comment by Salience]],0),FALSE)</f>
        <v>3</v>
      </c>
    </row>
    <row r="84" spans="1:3" ht="15">
      <c r="A84" s="81" t="s">
        <v>692</v>
      </c>
      <c r="B84" s="100" t="s">
        <v>418</v>
      </c>
      <c r="C84" s="80">
        <f>VLOOKUP(GroupVertices[[#This Row],[Vertex]],Vertices[],MATCH("ID",Vertices[[#Headers],[Vertex]:[Top Word Pairs in Edit Comment by Salience]],0),FALSE)</f>
        <v>95</v>
      </c>
    </row>
    <row r="85" spans="1:3" ht="15">
      <c r="A85" s="81" t="s">
        <v>692</v>
      </c>
      <c r="B85" s="100" t="s">
        <v>412</v>
      </c>
      <c r="C85" s="80">
        <f>VLOOKUP(GroupVertices[[#This Row],[Vertex]],Vertices[],MATCH("ID",Vertices[[#Headers],[Vertex]:[Top Word Pairs in Edit Comment by Salience]],0),FALSE)</f>
        <v>89</v>
      </c>
    </row>
    <row r="86" spans="1:3" ht="15">
      <c r="A86" s="81" t="s">
        <v>692</v>
      </c>
      <c r="B86" s="100" t="s">
        <v>398</v>
      </c>
      <c r="C86" s="80">
        <f>VLOOKUP(GroupVertices[[#This Row],[Vertex]],Vertices[],MATCH("ID",Vertices[[#Headers],[Vertex]:[Top Word Pairs in Edit Comment by Salience]],0),FALSE)</f>
        <v>76</v>
      </c>
    </row>
    <row r="87" spans="1:3" ht="15">
      <c r="A87" s="81" t="s">
        <v>692</v>
      </c>
      <c r="B87" s="100" t="s">
        <v>417</v>
      </c>
      <c r="C87" s="80">
        <f>VLOOKUP(GroupVertices[[#This Row],[Vertex]],Vertices[],MATCH("ID",Vertices[[#Headers],[Vertex]:[Top Word Pairs in Edit Comment by Salience]],0),FALSE)</f>
        <v>94</v>
      </c>
    </row>
    <row r="88" spans="1:3" ht="15">
      <c r="A88" s="81" t="s">
        <v>692</v>
      </c>
      <c r="B88" s="100" t="s">
        <v>416</v>
      </c>
      <c r="C88" s="80">
        <f>VLOOKUP(GroupVertices[[#This Row],[Vertex]],Vertices[],MATCH("ID",Vertices[[#Headers],[Vertex]:[Top Word Pairs in Edit Comment by Salience]],0),FALSE)</f>
        <v>93</v>
      </c>
    </row>
    <row r="89" spans="1:3" ht="15">
      <c r="A89" s="81" t="s">
        <v>692</v>
      </c>
      <c r="B89" s="100" t="s">
        <v>415</v>
      </c>
      <c r="C89" s="80">
        <f>VLOOKUP(GroupVertices[[#This Row],[Vertex]],Vertices[],MATCH("ID",Vertices[[#Headers],[Vertex]:[Top Word Pairs in Edit Comment by Salience]],0),FALSE)</f>
        <v>92</v>
      </c>
    </row>
    <row r="90" spans="1:3" ht="15">
      <c r="A90" s="81" t="s">
        <v>692</v>
      </c>
      <c r="B90" s="100" t="s">
        <v>363</v>
      </c>
      <c r="C90" s="80">
        <f>VLOOKUP(GroupVertices[[#This Row],[Vertex]],Vertices[],MATCH("ID",Vertices[[#Headers],[Vertex]:[Top Word Pairs in Edit Comment by Salience]],0),FALSE)</f>
        <v>42</v>
      </c>
    </row>
    <row r="91" spans="1:3" ht="15">
      <c r="A91" s="81" t="s">
        <v>692</v>
      </c>
      <c r="B91" s="100" t="s">
        <v>392</v>
      </c>
      <c r="C91" s="80">
        <f>VLOOKUP(GroupVertices[[#This Row],[Vertex]],Vertices[],MATCH("ID",Vertices[[#Headers],[Vertex]:[Top Word Pairs in Edit Comment by Salience]],0),FALSE)</f>
        <v>69</v>
      </c>
    </row>
    <row r="92" spans="1:3" ht="15">
      <c r="A92" s="81" t="s">
        <v>692</v>
      </c>
      <c r="B92" s="100" t="s">
        <v>397</v>
      </c>
      <c r="C92" s="80">
        <f>VLOOKUP(GroupVertices[[#This Row],[Vertex]],Vertices[],MATCH("ID",Vertices[[#Headers],[Vertex]:[Top Word Pairs in Edit Comment by Salience]],0),FALSE)</f>
        <v>75</v>
      </c>
    </row>
    <row r="93" spans="1:3" ht="15">
      <c r="A93" s="81" t="s">
        <v>693</v>
      </c>
      <c r="B93" s="100" t="s">
        <v>405</v>
      </c>
      <c r="C93" s="80">
        <f>VLOOKUP(GroupVertices[[#This Row],[Vertex]],Vertices[],MATCH("ID",Vertices[[#Headers],[Vertex]:[Top Word Pairs in Edit Comment by Salience]],0),FALSE)</f>
        <v>83</v>
      </c>
    </row>
    <row r="94" spans="1:3" ht="15">
      <c r="A94" s="81" t="s">
        <v>693</v>
      </c>
      <c r="B94" s="100" t="s">
        <v>436</v>
      </c>
      <c r="C94" s="80">
        <f>VLOOKUP(GroupVertices[[#This Row],[Vertex]],Vertices[],MATCH("ID",Vertices[[#Headers],[Vertex]:[Top Word Pairs in Edit Comment by Salience]],0),FALSE)</f>
        <v>111</v>
      </c>
    </row>
    <row r="95" spans="1:3" ht="15">
      <c r="A95" s="81" t="s">
        <v>693</v>
      </c>
      <c r="B95" s="100" t="s">
        <v>435</v>
      </c>
      <c r="C95" s="80">
        <f>VLOOKUP(GroupVertices[[#This Row],[Vertex]],Vertices[],MATCH("ID",Vertices[[#Headers],[Vertex]:[Top Word Pairs in Edit Comment by Salience]],0),FALSE)</f>
        <v>110</v>
      </c>
    </row>
    <row r="96" spans="1:3" ht="15">
      <c r="A96" s="81" t="s">
        <v>693</v>
      </c>
      <c r="B96" s="100" t="s">
        <v>434</v>
      </c>
      <c r="C96" s="80">
        <f>VLOOKUP(GroupVertices[[#This Row],[Vertex]],Vertices[],MATCH("ID",Vertices[[#Headers],[Vertex]:[Top Word Pairs in Edit Comment by Salience]],0),FALSE)</f>
        <v>109</v>
      </c>
    </row>
    <row r="97" spans="1:3" ht="15">
      <c r="A97" s="81" t="s">
        <v>693</v>
      </c>
      <c r="B97" s="100" t="s">
        <v>407</v>
      </c>
      <c r="C97" s="80">
        <f>VLOOKUP(GroupVertices[[#This Row],[Vertex]],Vertices[],MATCH("ID",Vertices[[#Headers],[Vertex]:[Top Word Pairs in Edit Comment by Salience]],0),FALSE)</f>
        <v>82</v>
      </c>
    </row>
    <row r="98" spans="1:3" ht="15">
      <c r="A98" s="81" t="s">
        <v>693</v>
      </c>
      <c r="B98" s="100" t="s">
        <v>408</v>
      </c>
      <c r="C98" s="80">
        <f>VLOOKUP(GroupVertices[[#This Row],[Vertex]],Vertices[],MATCH("ID",Vertices[[#Headers],[Vertex]:[Top Word Pairs in Edit Comment by Salience]],0),FALSE)</f>
        <v>85</v>
      </c>
    </row>
    <row r="99" spans="1:3" ht="15">
      <c r="A99" s="81" t="s">
        <v>693</v>
      </c>
      <c r="B99" s="100" t="s">
        <v>406</v>
      </c>
      <c r="C99" s="80">
        <f>VLOOKUP(GroupVertices[[#This Row],[Vertex]],Vertices[],MATCH("ID",Vertices[[#Headers],[Vertex]:[Top Word Pairs in Edit Comment by Salience]],0),FALSE)</f>
        <v>84</v>
      </c>
    </row>
    <row r="100" spans="1:3" ht="15">
      <c r="A100" s="81" t="s">
        <v>693</v>
      </c>
      <c r="B100" s="100" t="s">
        <v>404</v>
      </c>
      <c r="C100" s="80">
        <f>VLOOKUP(GroupVertices[[#This Row],[Vertex]],Vertices[],MATCH("ID",Vertices[[#Headers],[Vertex]:[Top Word Pairs in Edit Comment by Salience]],0),FALSE)</f>
        <v>81</v>
      </c>
    </row>
    <row r="101" spans="1:3" ht="15">
      <c r="A101" s="81" t="s">
        <v>694</v>
      </c>
      <c r="B101" s="100" t="s">
        <v>432</v>
      </c>
      <c r="C101" s="80">
        <f>VLOOKUP(GroupVertices[[#This Row],[Vertex]],Vertices[],MATCH("ID",Vertices[[#Headers],[Vertex]:[Top Word Pairs in Edit Comment by Salience]],0),FALSE)</f>
        <v>108</v>
      </c>
    </row>
    <row r="102" spans="1:3" ht="15">
      <c r="A102" s="81" t="s">
        <v>694</v>
      </c>
      <c r="B102" s="100" t="s">
        <v>413</v>
      </c>
      <c r="C102" s="80">
        <f>VLOOKUP(GroupVertices[[#This Row],[Vertex]],Vertices[],MATCH("ID",Vertices[[#Headers],[Vertex]:[Top Word Pairs in Edit Comment by Salience]],0),FALSE)</f>
        <v>39</v>
      </c>
    </row>
    <row r="103" spans="1:3" ht="15">
      <c r="A103" s="81" t="s">
        <v>694</v>
      </c>
      <c r="B103" s="100" t="s">
        <v>352</v>
      </c>
      <c r="C103" s="80">
        <f>VLOOKUP(GroupVertices[[#This Row],[Vertex]],Vertices[],MATCH("ID",Vertices[[#Headers],[Vertex]:[Top Word Pairs in Edit Comment by Salience]],0),FALSE)</f>
        <v>30</v>
      </c>
    </row>
    <row r="104" spans="1:3" ht="15">
      <c r="A104" s="81" t="s">
        <v>694</v>
      </c>
      <c r="B104" s="100" t="s">
        <v>365</v>
      </c>
      <c r="C104" s="80">
        <f>VLOOKUP(GroupVertices[[#This Row],[Vertex]],Vertices[],MATCH("ID",Vertices[[#Headers],[Vertex]:[Top Word Pairs in Edit Comment by Salience]],0),FALSE)</f>
        <v>44</v>
      </c>
    </row>
    <row r="105" spans="1:3" ht="15">
      <c r="A105" s="81" t="s">
        <v>694</v>
      </c>
      <c r="B105" s="100" t="s">
        <v>364</v>
      </c>
      <c r="C105" s="80">
        <f>VLOOKUP(GroupVertices[[#This Row],[Vertex]],Vertices[],MATCH("ID",Vertices[[#Headers],[Vertex]:[Top Word Pairs in Edit Comment by Salience]],0),FALSE)</f>
        <v>43</v>
      </c>
    </row>
    <row r="106" spans="1:3" ht="15">
      <c r="A106" s="81" t="s">
        <v>694</v>
      </c>
      <c r="B106" s="100" t="s">
        <v>360</v>
      </c>
      <c r="C106" s="80">
        <f>VLOOKUP(GroupVertices[[#This Row],[Vertex]],Vertices[],MATCH("ID",Vertices[[#Headers],[Vertex]:[Top Word Pairs in Edit Comment by Salience]],0),FALSE)</f>
        <v>38</v>
      </c>
    </row>
    <row r="107" spans="1:3" ht="15">
      <c r="A107" s="81" t="s">
        <v>694</v>
      </c>
      <c r="B107" s="100" t="s">
        <v>333</v>
      </c>
      <c r="C107" s="80">
        <f>VLOOKUP(GroupVertices[[#This Row],[Vertex]],Vertices[],MATCH("ID",Vertices[[#Headers],[Vertex]:[Top Word Pairs in Edit Comment by Salience]],0),FALSE)</f>
        <v>11</v>
      </c>
    </row>
    <row r="108" spans="1:3" ht="15">
      <c r="A108" s="81" t="s">
        <v>694</v>
      </c>
      <c r="B108" s="100" t="s">
        <v>332</v>
      </c>
      <c r="C108" s="80">
        <f>VLOOKUP(GroupVertices[[#This Row],[Vertex]],Vertices[],MATCH("ID",Vertices[[#Headers],[Vertex]:[Top Word Pairs in Edit Comment by Salience]],0),FALSE)</f>
        <v>9</v>
      </c>
    </row>
    <row r="109" spans="1:3" ht="15">
      <c r="A109" s="81" t="s">
        <v>695</v>
      </c>
      <c r="B109" s="100" t="s">
        <v>391</v>
      </c>
      <c r="C109" s="80">
        <f>VLOOKUP(GroupVertices[[#This Row],[Vertex]],Vertices[],MATCH("ID",Vertices[[#Headers],[Vertex]:[Top Word Pairs in Edit Comment by Salience]],0),FALSE)</f>
        <v>68</v>
      </c>
    </row>
    <row r="110" spans="1:3" ht="15">
      <c r="A110" s="81" t="s">
        <v>695</v>
      </c>
      <c r="B110" s="100" t="s">
        <v>390</v>
      </c>
      <c r="C110" s="80">
        <f>VLOOKUP(GroupVertices[[#This Row],[Vertex]],Vertices[],MATCH("ID",Vertices[[#Headers],[Vertex]:[Top Word Pairs in Edit Comment by Salience]],0),FALSE)</f>
        <v>67</v>
      </c>
    </row>
    <row r="111" spans="1:3" ht="15">
      <c r="A111" s="81" t="s">
        <v>695</v>
      </c>
      <c r="B111" s="100" t="s">
        <v>389</v>
      </c>
      <c r="C111" s="80">
        <f>VLOOKUP(GroupVertices[[#This Row],[Vertex]],Vertices[],MATCH("ID",Vertices[[#Headers],[Vertex]:[Top Word Pairs in Edit Comment by Salience]],0),FALSE)</f>
        <v>66</v>
      </c>
    </row>
    <row r="112" spans="1:3" ht="15">
      <c r="A112" s="81" t="s">
        <v>695</v>
      </c>
      <c r="B112" s="100" t="s">
        <v>388</v>
      </c>
      <c r="C112" s="80">
        <f>VLOOKUP(GroupVertices[[#This Row],[Vertex]],Vertices[],MATCH("ID",Vertices[[#Headers],[Vertex]:[Top Word Pairs in Edit Comment by Salience]],0),FALSE)</f>
        <v>65</v>
      </c>
    </row>
    <row r="113" spans="1:3" ht="15">
      <c r="A113" s="81" t="s">
        <v>695</v>
      </c>
      <c r="B113" s="100" t="s">
        <v>387</v>
      </c>
      <c r="C113" s="80">
        <f>VLOOKUP(GroupVertices[[#This Row],[Vertex]],Vertices[],MATCH("ID",Vertices[[#Headers],[Vertex]:[Top Word Pairs in Edit Comment by Salience]],0),FALSE)</f>
        <v>64</v>
      </c>
    </row>
    <row r="114" spans="1:3" ht="15">
      <c r="A114" s="81" t="s">
        <v>696</v>
      </c>
      <c r="B114" s="100" t="s">
        <v>424</v>
      </c>
      <c r="C114" s="80">
        <f>VLOOKUP(GroupVertices[[#This Row],[Vertex]],Vertices[],MATCH("ID",Vertices[[#Headers],[Vertex]:[Top Word Pairs in Edit Comment by Salience]],0),FALSE)</f>
        <v>101</v>
      </c>
    </row>
    <row r="115" spans="1:3" ht="15">
      <c r="A115" s="81" t="s">
        <v>696</v>
      </c>
      <c r="B115" s="100" t="s">
        <v>423</v>
      </c>
      <c r="C115" s="80">
        <f>VLOOKUP(GroupVertices[[#This Row],[Vertex]],Vertices[],MATCH("ID",Vertices[[#Headers],[Vertex]:[Top Word Pairs in Edit Comment by Salience]],0),FALSE)</f>
        <v>100</v>
      </c>
    </row>
    <row r="116" spans="1:3" ht="15">
      <c r="A116" s="81" t="s">
        <v>696</v>
      </c>
      <c r="B116" s="100" t="s">
        <v>422</v>
      </c>
      <c r="C116" s="80">
        <f>VLOOKUP(GroupVertices[[#This Row],[Vertex]],Vertices[],MATCH("ID",Vertices[[#Headers],[Vertex]:[Top Word Pairs in Edit Comment by Salience]],0),FALSE)</f>
        <v>99</v>
      </c>
    </row>
    <row r="117" spans="1:3" ht="15">
      <c r="A117" s="81" t="s">
        <v>696</v>
      </c>
      <c r="B117" s="100" t="s">
        <v>421</v>
      </c>
      <c r="C117" s="80">
        <f>VLOOKUP(GroupVertices[[#This Row],[Vertex]],Vertices[],MATCH("ID",Vertices[[#Headers],[Vertex]:[Top Word Pairs in Edit Comment by Salience]],0),FALSE)</f>
        <v>98</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953</v>
      </c>
      <c r="B2" s="35" t="s">
        <v>305</v>
      </c>
      <c r="D2" s="32">
        <f>MIN(Vertices[Degree])</f>
        <v>0</v>
      </c>
      <c r="E2" s="3">
        <f>COUNTIF(Vertices[Degree],"&gt;= "&amp;D2)-COUNTIF(Vertices[Degree],"&gt;="&amp;D3)</f>
        <v>0</v>
      </c>
      <c r="F2" s="38">
        <f>MIN(Vertices[In-Degree])</f>
        <v>1</v>
      </c>
      <c r="G2" s="39">
        <f>COUNTIF(Vertices[In-Degree],"&gt;= "&amp;F2)-COUNTIF(Vertices[In-Degree],"&gt;="&amp;F3)</f>
        <v>58</v>
      </c>
      <c r="H2" s="38">
        <f>MIN(Vertices[Out-Degree])</f>
        <v>1</v>
      </c>
      <c r="I2" s="39">
        <f>COUNTIF(Vertices[Out-Degree],"&gt;= "&amp;H2)-COUNTIF(Vertices[Out-Degree],"&gt;="&amp;H3)</f>
        <v>58</v>
      </c>
      <c r="J2" s="38">
        <f>MIN(Vertices[Betweenness Centrality])</f>
        <v>0</v>
      </c>
      <c r="K2" s="39">
        <f>COUNTIF(Vertices[Betweenness Centrality],"&gt;= "&amp;J2)-COUNTIF(Vertices[Betweenness Centrality],"&gt;="&amp;J3)</f>
        <v>75</v>
      </c>
      <c r="L2" s="38">
        <f>MIN(Vertices[Closeness Centrality])</f>
        <v>0.001953</v>
      </c>
      <c r="M2" s="39">
        <f>COUNTIF(Vertices[Closeness Centrality],"&gt;= "&amp;L2)-COUNTIF(Vertices[Closeness Centrality],"&gt;="&amp;L3)</f>
        <v>1</v>
      </c>
      <c r="N2" s="38">
        <f>MIN(Vertices[Eigenvector Centrality])</f>
        <v>8.2E-05</v>
      </c>
      <c r="O2" s="39">
        <f>COUNTIF(Vertices[Eigenvector Centrality],"&gt;= "&amp;N2)-COUNTIF(Vertices[Eigenvector Centrality],"&gt;="&amp;N3)</f>
        <v>11</v>
      </c>
      <c r="P2" s="38">
        <f>MIN(Vertices[PageRank])</f>
        <v>0.293135</v>
      </c>
      <c r="Q2" s="39">
        <f>COUNTIF(Vertices[PageRank],"&gt;= "&amp;P2)-COUNTIF(Vertices[PageRank],"&gt;="&amp;P3)</f>
        <v>8</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8"/>
      <c r="B3" s="108"/>
      <c r="D3" s="33">
        <f aca="true" t="shared" si="1" ref="D3:D35">D2+($D$36-$D$2)/BinDivisor</f>
        <v>0</v>
      </c>
      <c r="E3" s="3">
        <f>COUNTIF(Vertices[Degree],"&gt;= "&amp;D3)-COUNTIF(Vertices[Degree],"&gt;="&amp;D4)</f>
        <v>0</v>
      </c>
      <c r="F3" s="40">
        <f aca="true" t="shared" si="2" ref="F3:F35">F2+($F$36-$F$2)/BinDivisor</f>
        <v>1.5882352941176472</v>
      </c>
      <c r="G3" s="41">
        <f>COUNTIF(Vertices[In-Degree],"&gt;= "&amp;F3)-COUNTIF(Vertices[In-Degree],"&gt;="&amp;F4)</f>
        <v>21</v>
      </c>
      <c r="H3" s="40">
        <f aca="true" t="shared" si="3" ref="H3:H35">H2+($H$36-$H$2)/BinDivisor</f>
        <v>1.5</v>
      </c>
      <c r="I3" s="41">
        <f>COUNTIF(Vertices[Out-Degree],"&gt;= "&amp;H3)-COUNTIF(Vertices[Out-Degree],"&gt;="&amp;H4)</f>
        <v>0</v>
      </c>
      <c r="J3" s="40">
        <f aca="true" t="shared" si="4" ref="J3:J35">J2+($J$36-$J$2)/BinDivisor</f>
        <v>87.46378291176471</v>
      </c>
      <c r="K3" s="41">
        <f>COUNTIF(Vertices[Betweenness Centrality],"&gt;= "&amp;J3)-COUNTIF(Vertices[Betweenness Centrality],"&gt;="&amp;J4)</f>
        <v>11</v>
      </c>
      <c r="L3" s="40">
        <f aca="true" t="shared" si="5" ref="L3:L35">L2+($L$36-$L$2)/BinDivisor</f>
        <v>0.0020228823529411764</v>
      </c>
      <c r="M3" s="41">
        <f>COUNTIF(Vertices[Closeness Centrality],"&gt;= "&amp;L3)-COUNTIF(Vertices[Closeness Centrality],"&gt;="&amp;L4)</f>
        <v>0</v>
      </c>
      <c r="N3" s="40">
        <f aca="true" t="shared" si="6" ref="N3:N35">N2+($N$36-$N$2)/BinDivisor</f>
        <v>0.0013291764705882355</v>
      </c>
      <c r="O3" s="41">
        <f>COUNTIF(Vertices[Eigenvector Centrality],"&gt;= "&amp;N3)-COUNTIF(Vertices[Eigenvector Centrality],"&gt;="&amp;N4)</f>
        <v>15</v>
      </c>
      <c r="P3" s="40">
        <f aca="true" t="shared" si="7" ref="P3:P35">P2+($P$36-$P$2)/BinDivisor</f>
        <v>0.4377392352941176</v>
      </c>
      <c r="Q3" s="41">
        <f>COUNTIF(Vertices[PageRank],"&gt;= "&amp;P3)-COUNTIF(Vertices[PageRank],"&gt;="&amp;P4)</f>
        <v>40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2.1764705882352944</v>
      </c>
      <c r="G4" s="39">
        <f>COUNTIF(Vertices[In-Degree],"&gt;= "&amp;F4)-COUNTIF(Vertices[In-Degree],"&gt;="&amp;F5)</f>
        <v>0</v>
      </c>
      <c r="H4" s="38">
        <f t="shared" si="3"/>
        <v>2</v>
      </c>
      <c r="I4" s="39">
        <f>COUNTIF(Vertices[Out-Degree],"&gt;= "&amp;H4)-COUNTIF(Vertices[Out-Degree],"&gt;="&amp;H5)</f>
        <v>23</v>
      </c>
      <c r="J4" s="38">
        <f t="shared" si="4"/>
        <v>174.92756582352942</v>
      </c>
      <c r="K4" s="39">
        <f>COUNTIF(Vertices[Betweenness Centrality],"&gt;= "&amp;J4)-COUNTIF(Vertices[Betweenness Centrality],"&gt;="&amp;J5)</f>
        <v>6</v>
      </c>
      <c r="L4" s="38">
        <f t="shared" si="5"/>
        <v>0.002092764705882353</v>
      </c>
      <c r="M4" s="39">
        <f>COUNTIF(Vertices[Closeness Centrality],"&gt;= "&amp;L4)-COUNTIF(Vertices[Closeness Centrality],"&gt;="&amp;L5)</f>
        <v>1</v>
      </c>
      <c r="N4" s="38">
        <f t="shared" si="6"/>
        <v>0.002576352941176471</v>
      </c>
      <c r="O4" s="39">
        <f>COUNTIF(Vertices[Eigenvector Centrality],"&gt;= "&amp;N4)-COUNTIF(Vertices[Eigenvector Centrality],"&gt;="&amp;N5)</f>
        <v>15</v>
      </c>
      <c r="P4" s="38">
        <f t="shared" si="7"/>
        <v>0.5823434705882353</v>
      </c>
      <c r="Q4" s="39">
        <f>COUNTIF(Vertices[PageRank],"&gt;= "&amp;P4)-COUNTIF(Vertices[PageRank],"&gt;="&amp;P5)</f>
        <v>23</v>
      </c>
      <c r="R4" s="38">
        <f t="shared" si="8"/>
        <v>0.058823529411764705</v>
      </c>
      <c r="S4" s="44">
        <f>COUNTIF(Vertices[Clustering Coefficient],"&gt;= "&amp;R4)-COUNTIF(Vertices[Clustering Coefficient],"&gt;="&amp;R5)</f>
        <v>8</v>
      </c>
      <c r="T4" s="38" t="e">
        <f ca="1" t="shared" si="9"/>
        <v>#REF!</v>
      </c>
      <c r="U4" s="39" t="e">
        <f ca="1" t="shared" si="0"/>
        <v>#REF!</v>
      </c>
      <c r="W4" s="12" t="s">
        <v>126</v>
      </c>
      <c r="X4" s="12" t="s">
        <v>128</v>
      </c>
    </row>
    <row r="5" spans="1:21" ht="15">
      <c r="A5" s="108"/>
      <c r="B5" s="108"/>
      <c r="D5" s="33">
        <f t="shared" si="1"/>
        <v>0</v>
      </c>
      <c r="E5" s="3">
        <f>COUNTIF(Vertices[Degree],"&gt;= "&amp;D5)-COUNTIF(Vertices[Degree],"&gt;="&amp;D6)</f>
        <v>0</v>
      </c>
      <c r="F5" s="40">
        <f t="shared" si="2"/>
        <v>2.7647058823529416</v>
      </c>
      <c r="G5" s="41">
        <f>COUNTIF(Vertices[In-Degree],"&gt;= "&amp;F5)-COUNTIF(Vertices[In-Degree],"&gt;="&amp;F6)</f>
        <v>7</v>
      </c>
      <c r="H5" s="40">
        <f t="shared" si="3"/>
        <v>2.5</v>
      </c>
      <c r="I5" s="41">
        <f>COUNTIF(Vertices[Out-Degree],"&gt;= "&amp;H5)-COUNTIF(Vertices[Out-Degree],"&gt;="&amp;H6)</f>
        <v>0</v>
      </c>
      <c r="J5" s="40">
        <f t="shared" si="4"/>
        <v>262.3913487352941</v>
      </c>
      <c r="K5" s="41">
        <f>COUNTIF(Vertices[Betweenness Centrality],"&gt;= "&amp;J5)-COUNTIF(Vertices[Betweenness Centrality],"&gt;="&amp;J6)</f>
        <v>7</v>
      </c>
      <c r="L5" s="40">
        <f t="shared" si="5"/>
        <v>0.0021626470588235296</v>
      </c>
      <c r="M5" s="41">
        <f>COUNTIF(Vertices[Closeness Centrality],"&gt;= "&amp;L5)-COUNTIF(Vertices[Closeness Centrality],"&gt;="&amp;L6)</f>
        <v>2</v>
      </c>
      <c r="N5" s="40">
        <f t="shared" si="6"/>
        <v>0.0038235294117647065</v>
      </c>
      <c r="O5" s="41">
        <f>COUNTIF(Vertices[Eigenvector Centrality],"&gt;= "&amp;N5)-COUNTIF(Vertices[Eigenvector Centrality],"&gt;="&amp;N6)</f>
        <v>21</v>
      </c>
      <c r="P5" s="40">
        <f t="shared" si="7"/>
        <v>0.726947705882353</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360</v>
      </c>
      <c r="D6" s="33">
        <f t="shared" si="1"/>
        <v>0</v>
      </c>
      <c r="E6" s="3">
        <f>COUNTIF(Vertices[Degree],"&gt;= "&amp;D6)-COUNTIF(Vertices[Degree],"&gt;="&amp;D7)</f>
        <v>0</v>
      </c>
      <c r="F6" s="38">
        <f t="shared" si="2"/>
        <v>3.3529411764705888</v>
      </c>
      <c r="G6" s="39">
        <f>COUNTIF(Vertices[In-Degree],"&gt;= "&amp;F6)-COUNTIF(Vertices[In-Degree],"&gt;="&amp;F7)</f>
        <v>0</v>
      </c>
      <c r="H6" s="38">
        <f t="shared" si="3"/>
        <v>3</v>
      </c>
      <c r="I6" s="39">
        <f>COUNTIF(Vertices[Out-Degree],"&gt;= "&amp;H6)-COUNTIF(Vertices[Out-Degree],"&gt;="&amp;H7)</f>
        <v>6</v>
      </c>
      <c r="J6" s="38">
        <f t="shared" si="4"/>
        <v>349.85513164705884</v>
      </c>
      <c r="K6" s="39">
        <f>COUNTIF(Vertices[Betweenness Centrality],"&gt;= "&amp;J6)-COUNTIF(Vertices[Betweenness Centrality],"&gt;="&amp;J7)</f>
        <v>4</v>
      </c>
      <c r="L6" s="38">
        <f t="shared" si="5"/>
        <v>0.002232529411764706</v>
      </c>
      <c r="M6" s="39">
        <f>COUNTIF(Vertices[Closeness Centrality],"&gt;= "&amp;L6)-COUNTIF(Vertices[Closeness Centrality],"&gt;="&amp;L7)</f>
        <v>3</v>
      </c>
      <c r="N6" s="38">
        <f t="shared" si="6"/>
        <v>0.0050707058823529425</v>
      </c>
      <c r="O6" s="39">
        <f>COUNTIF(Vertices[Eigenvector Centrality],"&gt;= "&amp;N6)-COUNTIF(Vertices[Eigenvector Centrality],"&gt;="&amp;N7)</f>
        <v>9</v>
      </c>
      <c r="P6" s="38">
        <f t="shared" si="7"/>
        <v>0.8715519411764707</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0</v>
      </c>
      <c r="D7" s="33">
        <f t="shared" si="1"/>
        <v>0</v>
      </c>
      <c r="E7" s="3">
        <f>COUNTIF(Vertices[Degree],"&gt;= "&amp;D7)-COUNTIF(Vertices[Degree],"&gt;="&amp;D8)</f>
        <v>0</v>
      </c>
      <c r="F7" s="40">
        <f t="shared" si="2"/>
        <v>3.941176470588236</v>
      </c>
      <c r="G7" s="41">
        <f>COUNTIF(Vertices[In-Degree],"&gt;= "&amp;F7)-COUNTIF(Vertices[In-Degree],"&gt;="&amp;F8)</f>
        <v>7</v>
      </c>
      <c r="H7" s="40">
        <f t="shared" si="3"/>
        <v>3.5</v>
      </c>
      <c r="I7" s="41">
        <f>COUNTIF(Vertices[Out-Degree],"&gt;= "&amp;H7)-COUNTIF(Vertices[Out-Degree],"&gt;="&amp;H8)</f>
        <v>0</v>
      </c>
      <c r="J7" s="40">
        <f t="shared" si="4"/>
        <v>437.31891455882356</v>
      </c>
      <c r="K7" s="41">
        <f>COUNTIF(Vertices[Betweenness Centrality],"&gt;= "&amp;J7)-COUNTIF(Vertices[Betweenness Centrality],"&gt;="&amp;J8)</f>
        <v>1</v>
      </c>
      <c r="L7" s="40">
        <f t="shared" si="5"/>
        <v>0.0023024117647058827</v>
      </c>
      <c r="M7" s="41">
        <f>COUNTIF(Vertices[Closeness Centrality],"&gt;= "&amp;L7)-COUNTIF(Vertices[Closeness Centrality],"&gt;="&amp;L8)</f>
        <v>3</v>
      </c>
      <c r="N7" s="40">
        <f t="shared" si="6"/>
        <v>0.006317882352941178</v>
      </c>
      <c r="O7" s="41">
        <f>COUNTIF(Vertices[Eigenvector Centrality],"&gt;= "&amp;N7)-COUNTIF(Vertices[Eigenvector Centrality],"&gt;="&amp;N8)</f>
        <v>9</v>
      </c>
      <c r="P7" s="40">
        <f t="shared" si="7"/>
        <v>1.0161561764705884</v>
      </c>
      <c r="Q7" s="41">
        <f>COUNTIF(Vertices[PageRank],"&gt;= "&amp;P7)-COUNTIF(Vertices[PageRank],"&gt;="&amp;P8)</f>
        <v>5</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360</v>
      </c>
      <c r="D8" s="33">
        <f t="shared" si="1"/>
        <v>0</v>
      </c>
      <c r="E8" s="3">
        <f>COUNTIF(Vertices[Degree],"&gt;= "&amp;D8)-COUNTIF(Vertices[Degree],"&gt;="&amp;D9)</f>
        <v>0</v>
      </c>
      <c r="F8" s="38">
        <f t="shared" si="2"/>
        <v>4.529411764705883</v>
      </c>
      <c r="G8" s="39">
        <f>COUNTIF(Vertices[In-Degree],"&gt;= "&amp;F8)-COUNTIF(Vertices[In-Degree],"&gt;="&amp;F9)</f>
        <v>3</v>
      </c>
      <c r="H8" s="38">
        <f t="shared" si="3"/>
        <v>4</v>
      </c>
      <c r="I8" s="39">
        <f>COUNTIF(Vertices[Out-Degree],"&gt;= "&amp;H8)-COUNTIF(Vertices[Out-Degree],"&gt;="&amp;H9)</f>
        <v>5</v>
      </c>
      <c r="J8" s="38">
        <f t="shared" si="4"/>
        <v>524.7826974705882</v>
      </c>
      <c r="K8" s="39">
        <f>COUNTIF(Vertices[Betweenness Centrality],"&gt;= "&amp;J8)-COUNTIF(Vertices[Betweenness Centrality],"&gt;="&amp;J9)</f>
        <v>0</v>
      </c>
      <c r="L8" s="38">
        <f t="shared" si="5"/>
        <v>0.0023722941176470592</v>
      </c>
      <c r="M8" s="39">
        <f>COUNTIF(Vertices[Closeness Centrality],"&gt;= "&amp;L8)-COUNTIF(Vertices[Closeness Centrality],"&gt;="&amp;L9)</f>
        <v>1</v>
      </c>
      <c r="N8" s="38">
        <f t="shared" si="6"/>
        <v>0.007565058823529414</v>
      </c>
      <c r="O8" s="39">
        <f>COUNTIF(Vertices[Eigenvector Centrality],"&gt;= "&amp;N8)-COUNTIF(Vertices[Eigenvector Centrality],"&gt;="&amp;N9)</f>
        <v>6</v>
      </c>
      <c r="P8" s="38">
        <f t="shared" si="7"/>
        <v>1.1607604117647061</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08"/>
      <c r="B9" s="108"/>
      <c r="D9" s="33">
        <f t="shared" si="1"/>
        <v>0</v>
      </c>
      <c r="E9" s="3">
        <f>COUNTIF(Vertices[Degree],"&gt;= "&amp;D9)-COUNTIF(Vertices[Degree],"&gt;="&amp;D10)</f>
        <v>0</v>
      </c>
      <c r="F9" s="40">
        <f t="shared" si="2"/>
        <v>5.11764705882353</v>
      </c>
      <c r="G9" s="41">
        <f>COUNTIF(Vertices[In-Degree],"&gt;= "&amp;F9)-COUNTIF(Vertices[In-Degree],"&gt;="&amp;F10)</f>
        <v>0</v>
      </c>
      <c r="H9" s="40">
        <f t="shared" si="3"/>
        <v>4.5</v>
      </c>
      <c r="I9" s="41">
        <f>COUNTIF(Vertices[Out-Degree],"&gt;= "&amp;H9)-COUNTIF(Vertices[Out-Degree],"&gt;="&amp;H10)</f>
        <v>0</v>
      </c>
      <c r="J9" s="40">
        <f t="shared" si="4"/>
        <v>612.246480382353</v>
      </c>
      <c r="K9" s="41">
        <f>COUNTIF(Vertices[Betweenness Centrality],"&gt;= "&amp;J9)-COUNTIF(Vertices[Betweenness Centrality],"&gt;="&amp;J10)</f>
        <v>1</v>
      </c>
      <c r="L9" s="40">
        <f t="shared" si="5"/>
        <v>0.002442176470588236</v>
      </c>
      <c r="M9" s="41">
        <f>COUNTIF(Vertices[Closeness Centrality],"&gt;= "&amp;L9)-COUNTIF(Vertices[Closeness Centrality],"&gt;="&amp;L10)</f>
        <v>1</v>
      </c>
      <c r="N9" s="40">
        <f t="shared" si="6"/>
        <v>0.00881223529411765</v>
      </c>
      <c r="O9" s="41">
        <f>COUNTIF(Vertices[Eigenvector Centrality],"&gt;= "&amp;N9)-COUNTIF(Vertices[Eigenvector Centrality],"&gt;="&amp;N10)</f>
        <v>3</v>
      </c>
      <c r="P9" s="40">
        <f t="shared" si="7"/>
        <v>1.3053646470588238</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151</v>
      </c>
      <c r="B10" s="35">
        <v>44</v>
      </c>
      <c r="D10" s="33">
        <f t="shared" si="1"/>
        <v>0</v>
      </c>
      <c r="E10" s="3">
        <f>COUNTIF(Vertices[Degree],"&gt;= "&amp;D10)-COUNTIF(Vertices[Degree],"&gt;="&amp;D11)</f>
        <v>0</v>
      </c>
      <c r="F10" s="38">
        <f t="shared" si="2"/>
        <v>5.705882352941177</v>
      </c>
      <c r="G10" s="39">
        <f>COUNTIF(Vertices[In-Degree],"&gt;= "&amp;F10)-COUNTIF(Vertices[In-Degree],"&gt;="&amp;F11)</f>
        <v>3</v>
      </c>
      <c r="H10" s="38">
        <f t="shared" si="3"/>
        <v>5</v>
      </c>
      <c r="I10" s="39">
        <f>COUNTIF(Vertices[Out-Degree],"&gt;= "&amp;H10)-COUNTIF(Vertices[Out-Degree],"&gt;="&amp;H11)</f>
        <v>4</v>
      </c>
      <c r="J10" s="38">
        <f t="shared" si="4"/>
        <v>699.7102632941177</v>
      </c>
      <c r="K10" s="39">
        <f>COUNTIF(Vertices[Betweenness Centrality],"&gt;= "&amp;J10)-COUNTIF(Vertices[Betweenness Centrality],"&gt;="&amp;J11)</f>
        <v>1</v>
      </c>
      <c r="L10" s="38">
        <f t="shared" si="5"/>
        <v>0.0025120588235294124</v>
      </c>
      <c r="M10" s="39">
        <f>COUNTIF(Vertices[Closeness Centrality],"&gt;= "&amp;L10)-COUNTIF(Vertices[Closeness Centrality],"&gt;="&amp;L11)</f>
        <v>5</v>
      </c>
      <c r="N10" s="38">
        <f t="shared" si="6"/>
        <v>0.010059411764705886</v>
      </c>
      <c r="O10" s="39">
        <f>COUNTIF(Vertices[Eigenvector Centrality],"&gt;= "&amp;N10)-COUNTIF(Vertices[Eigenvector Centrality],"&gt;="&amp;N11)</f>
        <v>1</v>
      </c>
      <c r="P10" s="38">
        <f t="shared" si="7"/>
        <v>1.4499688823529415</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08"/>
      <c r="B11" s="108"/>
      <c r="D11" s="33">
        <f t="shared" si="1"/>
        <v>0</v>
      </c>
      <c r="E11" s="3">
        <f>COUNTIF(Vertices[Degree],"&gt;= "&amp;D11)-COUNTIF(Vertices[Degree],"&gt;="&amp;D12)</f>
        <v>0</v>
      </c>
      <c r="F11" s="40">
        <f t="shared" si="2"/>
        <v>6.294117647058823</v>
      </c>
      <c r="G11" s="41">
        <f>COUNTIF(Vertices[In-Degree],"&gt;= "&amp;F11)-COUNTIF(Vertices[In-Degree],"&gt;="&amp;F12)</f>
        <v>0</v>
      </c>
      <c r="H11" s="40">
        <f t="shared" si="3"/>
        <v>5.5</v>
      </c>
      <c r="I11" s="41">
        <f>COUNTIF(Vertices[Out-Degree],"&gt;= "&amp;H11)-COUNTIF(Vertices[Out-Degree],"&gt;="&amp;H12)</f>
        <v>0</v>
      </c>
      <c r="J11" s="40">
        <f t="shared" si="4"/>
        <v>787.1740462058824</v>
      </c>
      <c r="K11" s="41">
        <f>COUNTIF(Vertices[Betweenness Centrality],"&gt;= "&amp;J11)-COUNTIF(Vertices[Betweenness Centrality],"&gt;="&amp;J12)</f>
        <v>0</v>
      </c>
      <c r="L11" s="40">
        <f t="shared" si="5"/>
        <v>0.002581941176470589</v>
      </c>
      <c r="M11" s="41">
        <f>COUNTIF(Vertices[Closeness Centrality],"&gt;= "&amp;L11)-COUNTIF(Vertices[Closeness Centrality],"&gt;="&amp;L12)</f>
        <v>4</v>
      </c>
      <c r="N11" s="40">
        <f t="shared" si="6"/>
        <v>0.011306588235294122</v>
      </c>
      <c r="O11" s="41">
        <f>COUNTIF(Vertices[Eigenvector Centrality],"&gt;= "&amp;N11)-COUNTIF(Vertices[Eigenvector Centrality],"&gt;="&amp;N12)</f>
        <v>2</v>
      </c>
      <c r="P11" s="40">
        <f t="shared" si="7"/>
        <v>1.5945731176470592</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0.16605166051660517</v>
      </c>
      <c r="D12" s="33">
        <f t="shared" si="1"/>
        <v>0</v>
      </c>
      <c r="E12" s="3">
        <f>COUNTIF(Vertices[Degree],"&gt;= "&amp;D12)-COUNTIF(Vertices[Degree],"&gt;="&amp;D13)</f>
        <v>0</v>
      </c>
      <c r="F12" s="38">
        <f t="shared" si="2"/>
        <v>6.88235294117647</v>
      </c>
      <c r="G12" s="39">
        <f>COUNTIF(Vertices[In-Degree],"&gt;= "&amp;F12)-COUNTIF(Vertices[In-Degree],"&gt;="&amp;F13)</f>
        <v>5</v>
      </c>
      <c r="H12" s="38">
        <f t="shared" si="3"/>
        <v>6</v>
      </c>
      <c r="I12" s="39">
        <f>COUNTIF(Vertices[Out-Degree],"&gt;= "&amp;H12)-COUNTIF(Vertices[Out-Degree],"&gt;="&amp;H13)</f>
        <v>3</v>
      </c>
      <c r="J12" s="38">
        <f t="shared" si="4"/>
        <v>874.6378291176471</v>
      </c>
      <c r="K12" s="39">
        <f>COUNTIF(Vertices[Betweenness Centrality],"&gt;= "&amp;J12)-COUNTIF(Vertices[Betweenness Centrality],"&gt;="&amp;J13)</f>
        <v>1</v>
      </c>
      <c r="L12" s="38">
        <f t="shared" si="5"/>
        <v>0.0026518235294117655</v>
      </c>
      <c r="M12" s="39">
        <f>COUNTIF(Vertices[Closeness Centrality],"&gt;= "&amp;L12)-COUNTIF(Vertices[Closeness Centrality],"&gt;="&amp;L13)</f>
        <v>5</v>
      </c>
      <c r="N12" s="38">
        <f t="shared" si="6"/>
        <v>0.012553764705882358</v>
      </c>
      <c r="O12" s="39">
        <f>COUNTIF(Vertices[Eigenvector Centrality],"&gt;= "&amp;N12)-COUNTIF(Vertices[Eigenvector Centrality],"&gt;="&amp;N13)</f>
        <v>2</v>
      </c>
      <c r="P12" s="38">
        <f t="shared" si="7"/>
        <v>1.739177352941177</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0.2848101265822785</v>
      </c>
      <c r="D13" s="33">
        <f t="shared" si="1"/>
        <v>0</v>
      </c>
      <c r="E13" s="3">
        <f>COUNTIF(Vertices[Degree],"&gt;= "&amp;D13)-COUNTIF(Vertices[Degree],"&gt;="&amp;D14)</f>
        <v>0</v>
      </c>
      <c r="F13" s="40">
        <f t="shared" si="2"/>
        <v>7.470588235294117</v>
      </c>
      <c r="G13" s="41">
        <f>COUNTIF(Vertices[In-Degree],"&gt;= "&amp;F13)-COUNTIF(Vertices[In-Degree],"&gt;="&amp;F14)</f>
        <v>2</v>
      </c>
      <c r="H13" s="40">
        <f t="shared" si="3"/>
        <v>6.5</v>
      </c>
      <c r="I13" s="41">
        <f>COUNTIF(Vertices[Out-Degree],"&gt;= "&amp;H13)-COUNTIF(Vertices[Out-Degree],"&gt;="&amp;H14)</f>
        <v>0</v>
      </c>
      <c r="J13" s="40">
        <f t="shared" si="4"/>
        <v>962.1016120294119</v>
      </c>
      <c r="K13" s="41">
        <f>COUNTIF(Vertices[Betweenness Centrality],"&gt;= "&amp;J13)-COUNTIF(Vertices[Betweenness Centrality],"&gt;="&amp;J14)</f>
        <v>0</v>
      </c>
      <c r="L13" s="40">
        <f t="shared" si="5"/>
        <v>0.002721705882352942</v>
      </c>
      <c r="M13" s="41">
        <f>COUNTIF(Vertices[Closeness Centrality],"&gt;= "&amp;L13)-COUNTIF(Vertices[Closeness Centrality],"&gt;="&amp;L14)</f>
        <v>10</v>
      </c>
      <c r="N13" s="40">
        <f t="shared" si="6"/>
        <v>0.013800941176470594</v>
      </c>
      <c r="O13" s="41">
        <f>COUNTIF(Vertices[Eigenvector Centrality],"&gt;= "&amp;N13)-COUNTIF(Vertices[Eigenvector Centrality],"&gt;="&amp;N14)</f>
        <v>0</v>
      </c>
      <c r="P13" s="40">
        <f t="shared" si="7"/>
        <v>1.8837815882352946</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108"/>
      <c r="B14" s="108"/>
      <c r="D14" s="33">
        <f t="shared" si="1"/>
        <v>0</v>
      </c>
      <c r="E14" s="3">
        <f>COUNTIF(Vertices[Degree],"&gt;= "&amp;D14)-COUNTIF(Vertices[Degree],"&gt;="&amp;D15)</f>
        <v>0</v>
      </c>
      <c r="F14" s="38">
        <f t="shared" si="2"/>
        <v>8.058823529411764</v>
      </c>
      <c r="G14" s="39">
        <f>COUNTIF(Vertices[In-Degree],"&gt;= "&amp;F14)-COUNTIF(Vertices[In-Degree],"&gt;="&amp;F15)</f>
        <v>0</v>
      </c>
      <c r="H14" s="38">
        <f t="shared" si="3"/>
        <v>7</v>
      </c>
      <c r="I14" s="39">
        <f>COUNTIF(Vertices[Out-Degree],"&gt;= "&amp;H14)-COUNTIF(Vertices[Out-Degree],"&gt;="&amp;H15)</f>
        <v>4</v>
      </c>
      <c r="J14" s="38">
        <f t="shared" si="4"/>
        <v>1049.5653949411765</v>
      </c>
      <c r="K14" s="39">
        <f>COUNTIF(Vertices[Betweenness Centrality],"&gt;= "&amp;J14)-COUNTIF(Vertices[Betweenness Centrality],"&gt;="&amp;J15)</f>
        <v>1</v>
      </c>
      <c r="L14" s="38">
        <f t="shared" si="5"/>
        <v>0.0027915882352941186</v>
      </c>
      <c r="M14" s="39">
        <f>COUNTIF(Vertices[Closeness Centrality],"&gt;= "&amp;L14)-COUNTIF(Vertices[Closeness Centrality],"&gt;="&amp;L15)</f>
        <v>10</v>
      </c>
      <c r="N14" s="38">
        <f t="shared" si="6"/>
        <v>0.01504811764705883</v>
      </c>
      <c r="O14" s="39">
        <f>COUNTIF(Vertices[Eigenvector Centrality],"&gt;= "&amp;N14)-COUNTIF(Vertices[Eigenvector Centrality],"&gt;="&amp;N15)</f>
        <v>2</v>
      </c>
      <c r="P14" s="38">
        <f t="shared" si="7"/>
        <v>2.0283858235294123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8.647058823529411</v>
      </c>
      <c r="G15" s="41">
        <f>COUNTIF(Vertices[In-Degree],"&gt;= "&amp;F15)-COUNTIF(Vertices[In-Degree],"&gt;="&amp;F16)</f>
        <v>0</v>
      </c>
      <c r="H15" s="40">
        <f t="shared" si="3"/>
        <v>7.5</v>
      </c>
      <c r="I15" s="41">
        <f>COUNTIF(Vertices[Out-Degree],"&gt;= "&amp;H15)-COUNTIF(Vertices[Out-Degree],"&gt;="&amp;H16)</f>
        <v>0</v>
      </c>
      <c r="J15" s="40">
        <f t="shared" si="4"/>
        <v>1137.029177852941</v>
      </c>
      <c r="K15" s="41">
        <f>COUNTIF(Vertices[Betweenness Centrality],"&gt;= "&amp;J15)-COUNTIF(Vertices[Betweenness Centrality],"&gt;="&amp;J16)</f>
        <v>3</v>
      </c>
      <c r="L15" s="40">
        <f t="shared" si="5"/>
        <v>0.002861470588235295</v>
      </c>
      <c r="M15" s="41">
        <f>COUNTIF(Vertices[Closeness Centrality],"&gt;= "&amp;L15)-COUNTIF(Vertices[Closeness Centrality],"&gt;="&amp;L16)</f>
        <v>10</v>
      </c>
      <c r="N15" s="40">
        <f t="shared" si="6"/>
        <v>0.016295294117647064</v>
      </c>
      <c r="O15" s="41">
        <f>COUNTIF(Vertices[Eigenvector Centrality],"&gt;= "&amp;N15)-COUNTIF(Vertices[Eigenvector Centrality],"&gt;="&amp;N16)</f>
        <v>0</v>
      </c>
      <c r="P15" s="40">
        <f t="shared" si="7"/>
        <v>2.17299005882353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9.235294117647058</v>
      </c>
      <c r="G16" s="39">
        <f>COUNTIF(Vertices[In-Degree],"&gt;= "&amp;F16)-COUNTIF(Vertices[In-Degree],"&gt;="&amp;F17)</f>
        <v>0</v>
      </c>
      <c r="H16" s="38">
        <f t="shared" si="3"/>
        <v>8</v>
      </c>
      <c r="I16" s="39">
        <f>COUNTIF(Vertices[Out-Degree],"&gt;= "&amp;H16)-COUNTIF(Vertices[Out-Degree],"&gt;="&amp;H17)</f>
        <v>1</v>
      </c>
      <c r="J16" s="38">
        <f t="shared" si="4"/>
        <v>1224.4929607647057</v>
      </c>
      <c r="K16" s="39">
        <f>COUNTIF(Vertices[Betweenness Centrality],"&gt;= "&amp;J16)-COUNTIF(Vertices[Betweenness Centrality],"&gt;="&amp;J17)</f>
        <v>0</v>
      </c>
      <c r="L16" s="38">
        <f t="shared" si="5"/>
        <v>0.0029313529411764717</v>
      </c>
      <c r="M16" s="39">
        <f>COUNTIF(Vertices[Closeness Centrality],"&gt;= "&amp;L16)-COUNTIF(Vertices[Closeness Centrality],"&gt;="&amp;L17)</f>
        <v>5</v>
      </c>
      <c r="N16" s="38">
        <f t="shared" si="6"/>
        <v>0.017542470588235298</v>
      </c>
      <c r="O16" s="39">
        <f>COUNTIF(Vertices[Eigenvector Centrality],"&gt;= "&amp;N16)-COUNTIF(Vertices[Eigenvector Centrality],"&gt;="&amp;N17)</f>
        <v>4</v>
      </c>
      <c r="P16" s="38">
        <f t="shared" si="7"/>
        <v>2.3175942941176477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116</v>
      </c>
      <c r="D17" s="33">
        <f t="shared" si="1"/>
        <v>0</v>
      </c>
      <c r="E17" s="3">
        <f>COUNTIF(Vertices[Degree],"&gt;= "&amp;D17)-COUNTIF(Vertices[Degree],"&gt;="&amp;D18)</f>
        <v>0</v>
      </c>
      <c r="F17" s="40">
        <f t="shared" si="2"/>
        <v>9.823529411764705</v>
      </c>
      <c r="G17" s="41">
        <f>COUNTIF(Vertices[In-Degree],"&gt;= "&amp;F17)-COUNTIF(Vertices[In-Degree],"&gt;="&amp;F18)</f>
        <v>4</v>
      </c>
      <c r="H17" s="40">
        <f t="shared" si="3"/>
        <v>8.5</v>
      </c>
      <c r="I17" s="41">
        <f>COUNTIF(Vertices[Out-Degree],"&gt;= "&amp;H17)-COUNTIF(Vertices[Out-Degree],"&gt;="&amp;H18)</f>
        <v>0</v>
      </c>
      <c r="J17" s="40">
        <f t="shared" si="4"/>
        <v>1311.9567436764703</v>
      </c>
      <c r="K17" s="41">
        <f>COUNTIF(Vertices[Betweenness Centrality],"&gt;= "&amp;J17)-COUNTIF(Vertices[Betweenness Centrality],"&gt;="&amp;J18)</f>
        <v>0</v>
      </c>
      <c r="L17" s="40">
        <f t="shared" si="5"/>
        <v>0.0030012352941176483</v>
      </c>
      <c r="M17" s="41">
        <f>COUNTIF(Vertices[Closeness Centrality],"&gt;= "&amp;L17)-COUNTIF(Vertices[Closeness Centrality],"&gt;="&amp;L18)</f>
        <v>7</v>
      </c>
      <c r="N17" s="40">
        <f t="shared" si="6"/>
        <v>0.018789647058823532</v>
      </c>
      <c r="O17" s="41">
        <f>COUNTIF(Vertices[Eigenvector Centrality],"&gt;= "&amp;N17)-COUNTIF(Vertices[Eigenvector Centrality],"&gt;="&amp;N18)</f>
        <v>2</v>
      </c>
      <c r="P17" s="40">
        <f t="shared" si="7"/>
        <v>2.4621985294117654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360</v>
      </c>
      <c r="D18" s="33">
        <f t="shared" si="1"/>
        <v>0</v>
      </c>
      <c r="E18" s="3">
        <f>COUNTIF(Vertices[Degree],"&gt;= "&amp;D18)-COUNTIF(Vertices[Degree],"&gt;="&amp;D19)</f>
        <v>0</v>
      </c>
      <c r="F18" s="38">
        <f t="shared" si="2"/>
        <v>10.411764705882351</v>
      </c>
      <c r="G18" s="39">
        <f>COUNTIF(Vertices[In-Degree],"&gt;= "&amp;F18)-COUNTIF(Vertices[In-Degree],"&gt;="&amp;F19)</f>
        <v>0</v>
      </c>
      <c r="H18" s="38">
        <f t="shared" si="3"/>
        <v>9</v>
      </c>
      <c r="I18" s="39">
        <f>COUNTIF(Vertices[Out-Degree],"&gt;= "&amp;H18)-COUNTIF(Vertices[Out-Degree],"&gt;="&amp;H19)</f>
        <v>3</v>
      </c>
      <c r="J18" s="38">
        <f t="shared" si="4"/>
        <v>1399.420526588235</v>
      </c>
      <c r="K18" s="39">
        <f>COUNTIF(Vertices[Betweenness Centrality],"&gt;= "&amp;J18)-COUNTIF(Vertices[Betweenness Centrality],"&gt;="&amp;J19)</f>
        <v>0</v>
      </c>
      <c r="L18" s="38">
        <f t="shared" si="5"/>
        <v>0.003071117647058825</v>
      </c>
      <c r="M18" s="39">
        <f>COUNTIF(Vertices[Closeness Centrality],"&gt;= "&amp;L18)-COUNTIF(Vertices[Closeness Centrality],"&gt;="&amp;L19)</f>
        <v>5</v>
      </c>
      <c r="N18" s="38">
        <f t="shared" si="6"/>
        <v>0.020036823529411767</v>
      </c>
      <c r="O18" s="39">
        <f>COUNTIF(Vertices[Eigenvector Centrality],"&gt;= "&amp;N18)-COUNTIF(Vertices[Eigenvector Centrality],"&gt;="&amp;N19)</f>
        <v>1</v>
      </c>
      <c r="P18" s="38">
        <f t="shared" si="7"/>
        <v>2.606802764705883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8"/>
      <c r="B19" s="108"/>
      <c r="D19" s="33">
        <f t="shared" si="1"/>
        <v>0</v>
      </c>
      <c r="E19" s="3">
        <f>COUNTIF(Vertices[Degree],"&gt;= "&amp;D19)-COUNTIF(Vertices[Degree],"&gt;="&amp;D20)</f>
        <v>0</v>
      </c>
      <c r="F19" s="40">
        <f t="shared" si="2"/>
        <v>10.999999999999998</v>
      </c>
      <c r="G19" s="41">
        <f>COUNTIF(Vertices[In-Degree],"&gt;= "&amp;F19)-COUNTIF(Vertices[In-Degree],"&gt;="&amp;F20)</f>
        <v>2</v>
      </c>
      <c r="H19" s="40">
        <f t="shared" si="3"/>
        <v>9.5</v>
      </c>
      <c r="I19" s="41">
        <f>COUNTIF(Vertices[Out-Degree],"&gt;= "&amp;H19)-COUNTIF(Vertices[Out-Degree],"&gt;="&amp;H20)</f>
        <v>0</v>
      </c>
      <c r="J19" s="40">
        <f t="shared" si="4"/>
        <v>1486.8843094999995</v>
      </c>
      <c r="K19" s="41">
        <f>COUNTIF(Vertices[Betweenness Centrality],"&gt;= "&amp;J19)-COUNTIF(Vertices[Betweenness Centrality],"&gt;="&amp;J20)</f>
        <v>0</v>
      </c>
      <c r="L19" s="40">
        <f t="shared" si="5"/>
        <v>0.0031410000000000014</v>
      </c>
      <c r="M19" s="41">
        <f>COUNTIF(Vertices[Closeness Centrality],"&gt;= "&amp;L19)-COUNTIF(Vertices[Closeness Centrality],"&gt;="&amp;L20)</f>
        <v>13</v>
      </c>
      <c r="N19" s="40">
        <f t="shared" si="6"/>
        <v>0.021284</v>
      </c>
      <c r="O19" s="41">
        <f>COUNTIF(Vertices[Eigenvector Centrality],"&gt;= "&amp;N19)-COUNTIF(Vertices[Eigenvector Centrality],"&gt;="&amp;N20)</f>
        <v>1</v>
      </c>
      <c r="P19" s="40">
        <f t="shared" si="7"/>
        <v>2.751407000000001</v>
      </c>
      <c r="Q19" s="41">
        <f>COUNTIF(Vertices[PageRank],"&gt;= "&amp;P19)-COUNTIF(Vertices[PageRank],"&gt;="&amp;P20)</f>
        <v>3</v>
      </c>
      <c r="R19" s="40">
        <f t="shared" si="8"/>
        <v>0.5</v>
      </c>
      <c r="S19" s="45">
        <f>COUNTIF(Vertices[Clustering Coefficient],"&gt;= "&amp;R19)-COUNTIF(Vertices[Clustering Coefficient],"&gt;="&amp;R20)</f>
        <v>18</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11.588235294117645</v>
      </c>
      <c r="G20" s="39">
        <f>COUNTIF(Vertices[In-Degree],"&gt;= "&amp;F20)-COUNTIF(Vertices[In-Degree],"&gt;="&amp;F21)</f>
        <v>0</v>
      </c>
      <c r="H20" s="38">
        <f t="shared" si="3"/>
        <v>10</v>
      </c>
      <c r="I20" s="39">
        <f>COUNTIF(Vertices[Out-Degree],"&gt;= "&amp;H20)-COUNTIF(Vertices[Out-Degree],"&gt;="&amp;H21)</f>
        <v>2</v>
      </c>
      <c r="J20" s="38">
        <f t="shared" si="4"/>
        <v>1574.3480924117641</v>
      </c>
      <c r="K20" s="39">
        <f>COUNTIF(Vertices[Betweenness Centrality],"&gt;= "&amp;J20)-COUNTIF(Vertices[Betweenness Centrality],"&gt;="&amp;J21)</f>
        <v>1</v>
      </c>
      <c r="L20" s="38">
        <f t="shared" si="5"/>
        <v>0.003210882352941178</v>
      </c>
      <c r="M20" s="39">
        <f>COUNTIF(Vertices[Closeness Centrality],"&gt;= "&amp;L20)-COUNTIF(Vertices[Closeness Centrality],"&gt;="&amp;L21)</f>
        <v>5</v>
      </c>
      <c r="N20" s="38">
        <f t="shared" si="6"/>
        <v>0.022531176470588235</v>
      </c>
      <c r="O20" s="39">
        <f>COUNTIF(Vertices[Eigenvector Centrality],"&gt;= "&amp;N20)-COUNTIF(Vertices[Eigenvector Centrality],"&gt;="&amp;N21)</f>
        <v>1</v>
      </c>
      <c r="P20" s="38">
        <f t="shared" si="7"/>
        <v>2.8960112352941185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2.921819</v>
      </c>
      <c r="D21" s="33">
        <f t="shared" si="1"/>
        <v>0</v>
      </c>
      <c r="E21" s="3">
        <f>COUNTIF(Vertices[Degree],"&gt;= "&amp;D21)-COUNTIF(Vertices[Degree],"&gt;="&amp;D22)</f>
        <v>0</v>
      </c>
      <c r="F21" s="40">
        <f t="shared" si="2"/>
        <v>12.176470588235292</v>
      </c>
      <c r="G21" s="41">
        <f>COUNTIF(Vertices[In-Degree],"&gt;= "&amp;F21)-COUNTIF(Vertices[In-Degree],"&gt;="&amp;F22)</f>
        <v>0</v>
      </c>
      <c r="H21" s="40">
        <f t="shared" si="3"/>
        <v>10.5</v>
      </c>
      <c r="I21" s="41">
        <f>COUNTIF(Vertices[Out-Degree],"&gt;= "&amp;H21)-COUNTIF(Vertices[Out-Degree],"&gt;="&amp;H22)</f>
        <v>0</v>
      </c>
      <c r="J21" s="40">
        <f t="shared" si="4"/>
        <v>1661.8118753235287</v>
      </c>
      <c r="K21" s="41">
        <f>COUNTIF(Vertices[Betweenness Centrality],"&gt;= "&amp;J21)-COUNTIF(Vertices[Betweenness Centrality],"&gt;="&amp;J22)</f>
        <v>0</v>
      </c>
      <c r="L21" s="40">
        <f t="shared" si="5"/>
        <v>0.0032807647058823546</v>
      </c>
      <c r="M21" s="41">
        <f>COUNTIF(Vertices[Closeness Centrality],"&gt;= "&amp;L21)-COUNTIF(Vertices[Closeness Centrality],"&gt;="&amp;L22)</f>
        <v>2</v>
      </c>
      <c r="N21" s="40">
        <f t="shared" si="6"/>
        <v>0.02377835294117647</v>
      </c>
      <c r="O21" s="41">
        <f>COUNTIF(Vertices[Eigenvector Centrality],"&gt;= "&amp;N21)-COUNTIF(Vertices[Eigenvector Centrality],"&gt;="&amp;N22)</f>
        <v>1</v>
      </c>
      <c r="P21" s="40">
        <f t="shared" si="7"/>
        <v>3.0406154705882362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8"/>
      <c r="B22" s="108"/>
      <c r="D22" s="33">
        <f t="shared" si="1"/>
        <v>0</v>
      </c>
      <c r="E22" s="3">
        <f>COUNTIF(Vertices[Degree],"&gt;= "&amp;D22)-COUNTIF(Vertices[Degree],"&gt;="&amp;D23)</f>
        <v>0</v>
      </c>
      <c r="F22" s="38">
        <f t="shared" si="2"/>
        <v>12.764705882352938</v>
      </c>
      <c r="G22" s="39">
        <f>COUNTIF(Vertices[In-Degree],"&gt;= "&amp;F22)-COUNTIF(Vertices[In-Degree],"&gt;="&amp;F23)</f>
        <v>1</v>
      </c>
      <c r="H22" s="38">
        <f t="shared" si="3"/>
        <v>11</v>
      </c>
      <c r="I22" s="39">
        <f>COUNTIF(Vertices[Out-Degree],"&gt;= "&amp;H22)-COUNTIF(Vertices[Out-Degree],"&gt;="&amp;H23)</f>
        <v>2</v>
      </c>
      <c r="J22" s="38">
        <f t="shared" si="4"/>
        <v>1749.2756582352933</v>
      </c>
      <c r="K22" s="39">
        <f>COUNTIF(Vertices[Betweenness Centrality],"&gt;= "&amp;J22)-COUNTIF(Vertices[Betweenness Centrality],"&gt;="&amp;J23)</f>
        <v>0</v>
      </c>
      <c r="L22" s="38">
        <f t="shared" si="5"/>
        <v>0.003350647058823531</v>
      </c>
      <c r="M22" s="39">
        <f>COUNTIF(Vertices[Closeness Centrality],"&gt;= "&amp;L22)-COUNTIF(Vertices[Closeness Centrality],"&gt;="&amp;L23)</f>
        <v>4</v>
      </c>
      <c r="N22" s="38">
        <f t="shared" si="6"/>
        <v>0.025025529411764703</v>
      </c>
      <c r="O22" s="39">
        <f>COUNTIF(Vertices[Eigenvector Centrality],"&gt;= "&amp;N22)-COUNTIF(Vertices[Eigenvector Centrality],"&gt;="&amp;N23)</f>
        <v>0</v>
      </c>
      <c r="P22" s="38">
        <f t="shared" si="7"/>
        <v>3.185219705882354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0.02368815592203898</v>
      </c>
      <c r="D23" s="33">
        <f t="shared" si="1"/>
        <v>0</v>
      </c>
      <c r="E23" s="3">
        <f>COUNTIF(Vertices[Degree],"&gt;= "&amp;D23)-COUNTIF(Vertices[Degree],"&gt;="&amp;D24)</f>
        <v>0</v>
      </c>
      <c r="F23" s="40">
        <f t="shared" si="2"/>
        <v>13.352941176470585</v>
      </c>
      <c r="G23" s="41">
        <f>COUNTIF(Vertices[In-Degree],"&gt;= "&amp;F23)-COUNTIF(Vertices[In-Degree],"&gt;="&amp;F24)</f>
        <v>0</v>
      </c>
      <c r="H23" s="40">
        <f t="shared" si="3"/>
        <v>11.5</v>
      </c>
      <c r="I23" s="41">
        <f>COUNTIF(Vertices[Out-Degree],"&gt;= "&amp;H23)-COUNTIF(Vertices[Out-Degree],"&gt;="&amp;H24)</f>
        <v>0</v>
      </c>
      <c r="J23" s="40">
        <f t="shared" si="4"/>
        <v>1836.739441147058</v>
      </c>
      <c r="K23" s="41">
        <f>COUNTIF(Vertices[Betweenness Centrality],"&gt;= "&amp;J23)-COUNTIF(Vertices[Betweenness Centrality],"&gt;="&amp;J24)</f>
        <v>1</v>
      </c>
      <c r="L23" s="40">
        <f t="shared" si="5"/>
        <v>0.0034205294117647077</v>
      </c>
      <c r="M23" s="41">
        <f>COUNTIF(Vertices[Closeness Centrality],"&gt;= "&amp;L23)-COUNTIF(Vertices[Closeness Centrality],"&gt;="&amp;L24)</f>
        <v>1</v>
      </c>
      <c r="N23" s="40">
        <f t="shared" si="6"/>
        <v>0.026272705882352938</v>
      </c>
      <c r="O23" s="41">
        <f>COUNTIF(Vertices[Eigenvector Centrality],"&gt;= "&amp;N23)-COUNTIF(Vertices[Eigenvector Centrality],"&gt;="&amp;N24)</f>
        <v>2</v>
      </c>
      <c r="P23" s="40">
        <f t="shared" si="7"/>
        <v>3.3298239411764716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954</v>
      </c>
      <c r="B24" s="35">
        <v>0.37919</v>
      </c>
      <c r="D24" s="33">
        <f t="shared" si="1"/>
        <v>0</v>
      </c>
      <c r="E24" s="3">
        <f>COUNTIF(Vertices[Degree],"&gt;= "&amp;D24)-COUNTIF(Vertices[Degree],"&gt;="&amp;D25)</f>
        <v>0</v>
      </c>
      <c r="F24" s="38">
        <f t="shared" si="2"/>
        <v>13.941176470588232</v>
      </c>
      <c r="G24" s="39">
        <f>COUNTIF(Vertices[In-Degree],"&gt;= "&amp;F24)-COUNTIF(Vertices[In-Degree],"&gt;="&amp;F25)</f>
        <v>0</v>
      </c>
      <c r="H24" s="38">
        <f t="shared" si="3"/>
        <v>12</v>
      </c>
      <c r="I24" s="39">
        <f>COUNTIF(Vertices[Out-Degree],"&gt;= "&amp;H24)-COUNTIF(Vertices[Out-Degree],"&gt;="&amp;H25)</f>
        <v>0</v>
      </c>
      <c r="J24" s="38">
        <f t="shared" si="4"/>
        <v>1924.2032240588226</v>
      </c>
      <c r="K24" s="39">
        <f>COUNTIF(Vertices[Betweenness Centrality],"&gt;= "&amp;J24)-COUNTIF(Vertices[Betweenness Centrality],"&gt;="&amp;J25)</f>
        <v>0</v>
      </c>
      <c r="L24" s="38">
        <f t="shared" si="5"/>
        <v>0.0034904117647058842</v>
      </c>
      <c r="M24" s="39">
        <f>COUNTIF(Vertices[Closeness Centrality],"&gt;= "&amp;L24)-COUNTIF(Vertices[Closeness Centrality],"&gt;="&amp;L25)</f>
        <v>0</v>
      </c>
      <c r="N24" s="38">
        <f t="shared" si="6"/>
        <v>0.027519882352941172</v>
      </c>
      <c r="O24" s="39">
        <f>COUNTIF(Vertices[Eigenvector Centrality],"&gt;= "&amp;N24)-COUNTIF(Vertices[Eigenvector Centrality],"&gt;="&amp;N25)</f>
        <v>0</v>
      </c>
      <c r="P24" s="38">
        <f t="shared" si="7"/>
        <v>3.4744281764705893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8"/>
      <c r="B25" s="108"/>
      <c r="D25" s="33">
        <f t="shared" si="1"/>
        <v>0</v>
      </c>
      <c r="E25" s="3">
        <f>COUNTIF(Vertices[Degree],"&gt;= "&amp;D25)-COUNTIF(Vertices[Degree],"&gt;="&amp;D26)</f>
        <v>0</v>
      </c>
      <c r="F25" s="40">
        <f t="shared" si="2"/>
        <v>14.529411764705879</v>
      </c>
      <c r="G25" s="41">
        <f>COUNTIF(Vertices[In-Degree],"&gt;= "&amp;F25)-COUNTIF(Vertices[In-Degree],"&gt;="&amp;F26)</f>
        <v>1</v>
      </c>
      <c r="H25" s="40">
        <f t="shared" si="3"/>
        <v>12.5</v>
      </c>
      <c r="I25" s="41">
        <f>COUNTIF(Vertices[Out-Degree],"&gt;= "&amp;H25)-COUNTIF(Vertices[Out-Degree],"&gt;="&amp;H26)</f>
        <v>0</v>
      </c>
      <c r="J25" s="40">
        <f t="shared" si="4"/>
        <v>2011.6670069705872</v>
      </c>
      <c r="K25" s="41">
        <f>COUNTIF(Vertices[Betweenness Centrality],"&gt;= "&amp;J25)-COUNTIF(Vertices[Betweenness Centrality],"&gt;="&amp;J26)</f>
        <v>0</v>
      </c>
      <c r="L25" s="40">
        <f t="shared" si="5"/>
        <v>0.003560294117647061</v>
      </c>
      <c r="M25" s="41">
        <f>COUNTIF(Vertices[Closeness Centrality],"&gt;= "&amp;L25)-COUNTIF(Vertices[Closeness Centrality],"&gt;="&amp;L26)</f>
        <v>3</v>
      </c>
      <c r="N25" s="40">
        <f t="shared" si="6"/>
        <v>0.028767058823529406</v>
      </c>
      <c r="O25" s="41">
        <f>COUNTIF(Vertices[Eigenvector Centrality],"&gt;= "&amp;N25)-COUNTIF(Vertices[Eigenvector Centrality],"&gt;="&amp;N26)</f>
        <v>0</v>
      </c>
      <c r="P25" s="40">
        <f t="shared" si="7"/>
        <v>3.619032411764707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955</v>
      </c>
      <c r="B26" s="35" t="s">
        <v>970</v>
      </c>
      <c r="D26" s="33">
        <f t="shared" si="1"/>
        <v>0</v>
      </c>
      <c r="E26" s="3">
        <f>COUNTIF(Vertices[Degree],"&gt;= "&amp;D26)-COUNTIF(Vertices[Degree],"&gt;="&amp;D27)</f>
        <v>0</v>
      </c>
      <c r="F26" s="38">
        <f t="shared" si="2"/>
        <v>15.117647058823525</v>
      </c>
      <c r="G26" s="39">
        <f>COUNTIF(Vertices[In-Degree],"&gt;= "&amp;F26)-COUNTIF(Vertices[In-Degree],"&gt;="&amp;F27)</f>
        <v>0</v>
      </c>
      <c r="H26" s="38">
        <f t="shared" si="3"/>
        <v>13</v>
      </c>
      <c r="I26" s="39">
        <f>COUNTIF(Vertices[Out-Degree],"&gt;= "&amp;H26)-COUNTIF(Vertices[Out-Degree],"&gt;="&amp;H27)</f>
        <v>0</v>
      </c>
      <c r="J26" s="38">
        <f t="shared" si="4"/>
        <v>2099.130789882352</v>
      </c>
      <c r="K26" s="39">
        <f>COUNTIF(Vertices[Betweenness Centrality],"&gt;= "&amp;J26)-COUNTIF(Vertices[Betweenness Centrality],"&gt;="&amp;J27)</f>
        <v>0</v>
      </c>
      <c r="L26" s="38">
        <f t="shared" si="5"/>
        <v>0.0036301764705882374</v>
      </c>
      <c r="M26" s="39">
        <f>COUNTIF(Vertices[Closeness Centrality],"&gt;= "&amp;L26)-COUNTIF(Vertices[Closeness Centrality],"&gt;="&amp;L27)</f>
        <v>4</v>
      </c>
      <c r="N26" s="38">
        <f t="shared" si="6"/>
        <v>0.03001423529411764</v>
      </c>
      <c r="O26" s="39">
        <f>COUNTIF(Vertices[Eigenvector Centrality],"&gt;= "&amp;N26)-COUNTIF(Vertices[Eigenvector Centrality],"&gt;="&amp;N27)</f>
        <v>2</v>
      </c>
      <c r="P26" s="38">
        <f t="shared" si="7"/>
        <v>3.7636366470588247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8"/>
      <c r="B27" s="108"/>
      <c r="D27" s="33">
        <f t="shared" si="1"/>
        <v>0</v>
      </c>
      <c r="E27" s="3">
        <f>COUNTIF(Vertices[Degree],"&gt;= "&amp;D27)-COUNTIF(Vertices[Degree],"&gt;="&amp;D28)</f>
        <v>0</v>
      </c>
      <c r="F27" s="40">
        <f t="shared" si="2"/>
        <v>15.705882352941172</v>
      </c>
      <c r="G27" s="41">
        <f>COUNTIF(Vertices[In-Degree],"&gt;= "&amp;F27)-COUNTIF(Vertices[In-Degree],"&gt;="&amp;F28)</f>
        <v>1</v>
      </c>
      <c r="H27" s="40">
        <f t="shared" si="3"/>
        <v>13.5</v>
      </c>
      <c r="I27" s="41">
        <f>COUNTIF(Vertices[Out-Degree],"&gt;= "&amp;H27)-COUNTIF(Vertices[Out-Degree],"&gt;="&amp;H28)</f>
        <v>0</v>
      </c>
      <c r="J27" s="40">
        <f t="shared" si="4"/>
        <v>2186.5945727941166</v>
      </c>
      <c r="K27" s="41">
        <f>COUNTIF(Vertices[Betweenness Centrality],"&gt;= "&amp;J27)-COUNTIF(Vertices[Betweenness Centrality],"&gt;="&amp;J28)</f>
        <v>1</v>
      </c>
      <c r="L27" s="40">
        <f t="shared" si="5"/>
        <v>0.003700058823529414</v>
      </c>
      <c r="M27" s="41">
        <f>COUNTIF(Vertices[Closeness Centrality],"&gt;= "&amp;L27)-COUNTIF(Vertices[Closeness Centrality],"&gt;="&amp;L28)</f>
        <v>1</v>
      </c>
      <c r="N27" s="40">
        <f t="shared" si="6"/>
        <v>0.03126141176470588</v>
      </c>
      <c r="O27" s="41">
        <f>COUNTIF(Vertices[Eigenvector Centrality],"&gt;= "&amp;N27)-COUNTIF(Vertices[Eigenvector Centrality],"&gt;="&amp;N28)</f>
        <v>1</v>
      </c>
      <c r="P27" s="40">
        <f t="shared" si="7"/>
        <v>3.9082408823529424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956</v>
      </c>
      <c r="B28" s="35" t="s">
        <v>1316</v>
      </c>
      <c r="D28" s="33">
        <f t="shared" si="1"/>
        <v>0</v>
      </c>
      <c r="E28" s="3">
        <f>COUNTIF(Vertices[Degree],"&gt;= "&amp;D28)-COUNTIF(Vertices[Degree],"&gt;="&amp;D29)</f>
        <v>0</v>
      </c>
      <c r="F28" s="38">
        <f t="shared" si="2"/>
        <v>16.29411764705882</v>
      </c>
      <c r="G28" s="39">
        <f>COUNTIF(Vertices[In-Degree],"&gt;= "&amp;F28)-COUNTIF(Vertices[In-Degree],"&gt;="&amp;F29)</f>
        <v>0</v>
      </c>
      <c r="H28" s="38">
        <f t="shared" si="3"/>
        <v>14</v>
      </c>
      <c r="I28" s="39">
        <f>COUNTIF(Vertices[Out-Degree],"&gt;= "&amp;H28)-COUNTIF(Vertices[Out-Degree],"&gt;="&amp;H29)</f>
        <v>3</v>
      </c>
      <c r="J28" s="38">
        <f t="shared" si="4"/>
        <v>2274.0583557058812</v>
      </c>
      <c r="K28" s="39">
        <f>COUNTIF(Vertices[Betweenness Centrality],"&gt;= "&amp;J28)-COUNTIF(Vertices[Betweenness Centrality],"&gt;="&amp;J29)</f>
        <v>0</v>
      </c>
      <c r="L28" s="38">
        <f t="shared" si="5"/>
        <v>0.0037699411764705905</v>
      </c>
      <c r="M28" s="39">
        <f>COUNTIF(Vertices[Closeness Centrality],"&gt;= "&amp;L28)-COUNTIF(Vertices[Closeness Centrality],"&gt;="&amp;L29)</f>
        <v>0</v>
      </c>
      <c r="N28" s="38">
        <f t="shared" si="6"/>
        <v>0.032508588235294116</v>
      </c>
      <c r="O28" s="39">
        <f>COUNTIF(Vertices[Eigenvector Centrality],"&gt;= "&amp;N28)-COUNTIF(Vertices[Eigenvector Centrality],"&gt;="&amp;N29)</f>
        <v>0</v>
      </c>
      <c r="P28" s="38">
        <f t="shared" si="7"/>
        <v>4.05284511764706</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957</v>
      </c>
      <c r="B29" s="35" t="s">
        <v>1317</v>
      </c>
      <c r="D29" s="33">
        <f t="shared" si="1"/>
        <v>0</v>
      </c>
      <c r="E29" s="3">
        <f>COUNTIF(Vertices[Degree],"&gt;= "&amp;D29)-COUNTIF(Vertices[Degree],"&gt;="&amp;D30)</f>
        <v>0</v>
      </c>
      <c r="F29" s="40">
        <f t="shared" si="2"/>
        <v>16.882352941176467</v>
      </c>
      <c r="G29" s="41">
        <f>COUNTIF(Vertices[In-Degree],"&gt;= "&amp;F29)-COUNTIF(Vertices[In-Degree],"&gt;="&amp;F30)</f>
        <v>0</v>
      </c>
      <c r="H29" s="40">
        <f t="shared" si="3"/>
        <v>14.5</v>
      </c>
      <c r="I29" s="41">
        <f>COUNTIF(Vertices[Out-Degree],"&gt;= "&amp;H29)-COUNTIF(Vertices[Out-Degree],"&gt;="&amp;H30)</f>
        <v>0</v>
      </c>
      <c r="J29" s="40">
        <f t="shared" si="4"/>
        <v>2361.522138617646</v>
      </c>
      <c r="K29" s="41">
        <f>COUNTIF(Vertices[Betweenness Centrality],"&gt;= "&amp;J29)-COUNTIF(Vertices[Betweenness Centrality],"&gt;="&amp;J30)</f>
        <v>0</v>
      </c>
      <c r="L29" s="40">
        <f t="shared" si="5"/>
        <v>0.003839823529411767</v>
      </c>
      <c r="M29" s="41">
        <f>COUNTIF(Vertices[Closeness Centrality],"&gt;= "&amp;L29)-COUNTIF(Vertices[Closeness Centrality],"&gt;="&amp;L30)</f>
        <v>1</v>
      </c>
      <c r="N29" s="40">
        <f t="shared" si="6"/>
        <v>0.03375576470588235</v>
      </c>
      <c r="O29" s="41">
        <f>COUNTIF(Vertices[Eigenvector Centrality],"&gt;= "&amp;N29)-COUNTIF(Vertices[Eigenvector Centrality],"&gt;="&amp;N30)</f>
        <v>1</v>
      </c>
      <c r="P29" s="40">
        <f t="shared" si="7"/>
        <v>4.197449352941177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8"/>
      <c r="B30" s="108"/>
      <c r="D30" s="33">
        <f t="shared" si="1"/>
        <v>0</v>
      </c>
      <c r="E30" s="3">
        <f>COUNTIF(Vertices[Degree],"&gt;= "&amp;D30)-COUNTIF(Vertices[Degree],"&gt;="&amp;D31)</f>
        <v>0</v>
      </c>
      <c r="F30" s="38">
        <f t="shared" si="2"/>
        <v>17.470588235294116</v>
      </c>
      <c r="G30" s="39">
        <f>COUNTIF(Vertices[In-Degree],"&gt;= "&amp;F30)-COUNTIF(Vertices[In-Degree],"&gt;="&amp;F31)</f>
        <v>0</v>
      </c>
      <c r="H30" s="38">
        <f t="shared" si="3"/>
        <v>15</v>
      </c>
      <c r="I30" s="39">
        <f>COUNTIF(Vertices[Out-Degree],"&gt;= "&amp;H30)-COUNTIF(Vertices[Out-Degree],"&gt;="&amp;H31)</f>
        <v>1</v>
      </c>
      <c r="J30" s="38">
        <f t="shared" si="4"/>
        <v>2448.9859215294105</v>
      </c>
      <c r="K30" s="39">
        <f>COUNTIF(Vertices[Betweenness Centrality],"&gt;= "&amp;J30)-COUNTIF(Vertices[Betweenness Centrality],"&gt;="&amp;J31)</f>
        <v>0</v>
      </c>
      <c r="L30" s="38">
        <f t="shared" si="5"/>
        <v>0.003909705882352944</v>
      </c>
      <c r="M30" s="39">
        <f>COUNTIF(Vertices[Closeness Centrality],"&gt;= "&amp;L30)-COUNTIF(Vertices[Closeness Centrality],"&gt;="&amp;L31)</f>
        <v>3</v>
      </c>
      <c r="N30" s="38">
        <f t="shared" si="6"/>
        <v>0.03500294117647059</v>
      </c>
      <c r="O30" s="39">
        <f>COUNTIF(Vertices[Eigenvector Centrality],"&gt;= "&amp;N30)-COUNTIF(Vertices[Eigenvector Centrality],"&gt;="&amp;N31)</f>
        <v>1</v>
      </c>
      <c r="P30" s="38">
        <f t="shared" si="7"/>
        <v>4.342053588235295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958</v>
      </c>
      <c r="B31" s="35" t="s">
        <v>1311</v>
      </c>
      <c r="D31" s="33">
        <f t="shared" si="1"/>
        <v>0</v>
      </c>
      <c r="E31" s="3">
        <f>COUNTIF(Vertices[Degree],"&gt;= "&amp;D31)-COUNTIF(Vertices[Degree],"&gt;="&amp;D32)</f>
        <v>0</v>
      </c>
      <c r="F31" s="40">
        <f t="shared" si="2"/>
        <v>18.058823529411764</v>
      </c>
      <c r="G31" s="41">
        <f>COUNTIF(Vertices[In-Degree],"&gt;= "&amp;F31)-COUNTIF(Vertices[In-Degree],"&gt;="&amp;F32)</f>
        <v>0</v>
      </c>
      <c r="H31" s="40">
        <f t="shared" si="3"/>
        <v>15.5</v>
      </c>
      <c r="I31" s="41">
        <f>COUNTIF(Vertices[Out-Degree],"&gt;= "&amp;H31)-COUNTIF(Vertices[Out-Degree],"&gt;="&amp;H32)</f>
        <v>0</v>
      </c>
      <c r="J31" s="40">
        <f t="shared" si="4"/>
        <v>2536.449704441175</v>
      </c>
      <c r="K31" s="41">
        <f>COUNTIF(Vertices[Betweenness Centrality],"&gt;= "&amp;J31)-COUNTIF(Vertices[Betweenness Centrality],"&gt;="&amp;J32)</f>
        <v>1</v>
      </c>
      <c r="L31" s="40">
        <f t="shared" si="5"/>
        <v>0.00397958823529412</v>
      </c>
      <c r="M31" s="41">
        <f>COUNTIF(Vertices[Closeness Centrality],"&gt;= "&amp;L31)-COUNTIF(Vertices[Closeness Centrality],"&gt;="&amp;L32)</f>
        <v>2</v>
      </c>
      <c r="N31" s="40">
        <f t="shared" si="6"/>
        <v>0.03625011764705883</v>
      </c>
      <c r="O31" s="41">
        <f>COUNTIF(Vertices[Eigenvector Centrality],"&gt;= "&amp;N31)-COUNTIF(Vertices[Eigenvector Centrality],"&gt;="&amp;N32)</f>
        <v>0</v>
      </c>
      <c r="P31" s="40">
        <f t="shared" si="7"/>
        <v>4.486657823529413</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959</v>
      </c>
      <c r="B32" s="35" t="s">
        <v>1312</v>
      </c>
      <c r="D32" s="33">
        <f t="shared" si="1"/>
        <v>0</v>
      </c>
      <c r="E32" s="3">
        <f>COUNTIF(Vertices[Degree],"&gt;= "&amp;D32)-COUNTIF(Vertices[Degree],"&gt;="&amp;D33)</f>
        <v>0</v>
      </c>
      <c r="F32" s="38">
        <f t="shared" si="2"/>
        <v>18.647058823529413</v>
      </c>
      <c r="G32" s="39">
        <f>COUNTIF(Vertices[In-Degree],"&gt;= "&amp;F32)-COUNTIF(Vertices[In-Degree],"&gt;="&amp;F33)</f>
        <v>0</v>
      </c>
      <c r="H32" s="38">
        <f t="shared" si="3"/>
        <v>16</v>
      </c>
      <c r="I32" s="39">
        <f>COUNTIF(Vertices[Out-Degree],"&gt;= "&amp;H32)-COUNTIF(Vertices[Out-Degree],"&gt;="&amp;H33)</f>
        <v>0</v>
      </c>
      <c r="J32" s="38">
        <f t="shared" si="4"/>
        <v>2623.9134873529397</v>
      </c>
      <c r="K32" s="39">
        <f>COUNTIF(Vertices[Betweenness Centrality],"&gt;= "&amp;J32)-COUNTIF(Vertices[Betweenness Centrality],"&gt;="&amp;J33)</f>
        <v>0</v>
      </c>
      <c r="L32" s="38">
        <f t="shared" si="5"/>
        <v>0.004049470588235297</v>
      </c>
      <c r="M32" s="39">
        <f>COUNTIF(Vertices[Closeness Centrality],"&gt;= "&amp;L32)-COUNTIF(Vertices[Closeness Centrality],"&gt;="&amp;L33)</f>
        <v>1</v>
      </c>
      <c r="N32" s="38">
        <f t="shared" si="6"/>
        <v>0.037497294117647066</v>
      </c>
      <c r="O32" s="39">
        <f>COUNTIF(Vertices[Eigenvector Centrality],"&gt;= "&amp;N32)-COUNTIF(Vertices[Eigenvector Centrality],"&gt;="&amp;N33)</f>
        <v>0</v>
      </c>
      <c r="P32" s="38">
        <f t="shared" si="7"/>
        <v>4.6312620588235305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375">
      <c r="A33" s="35" t="s">
        <v>960</v>
      </c>
      <c r="B33" s="54" t="s">
        <v>1313</v>
      </c>
      <c r="D33" s="33">
        <f t="shared" si="1"/>
        <v>0</v>
      </c>
      <c r="E33" s="3">
        <f>COUNTIF(Vertices[Degree],"&gt;= "&amp;D33)-COUNTIF(Vertices[Degree],"&gt;="&amp;D34)</f>
        <v>0</v>
      </c>
      <c r="F33" s="40">
        <f t="shared" si="2"/>
        <v>19.23529411764706</v>
      </c>
      <c r="G33" s="41">
        <f>COUNTIF(Vertices[In-Degree],"&gt;= "&amp;F33)-COUNTIF(Vertices[In-Degree],"&gt;="&amp;F34)</f>
        <v>0</v>
      </c>
      <c r="H33" s="40">
        <f t="shared" si="3"/>
        <v>16.5</v>
      </c>
      <c r="I33" s="41">
        <f>COUNTIF(Vertices[Out-Degree],"&gt;= "&amp;H33)-COUNTIF(Vertices[Out-Degree],"&gt;="&amp;H34)</f>
        <v>0</v>
      </c>
      <c r="J33" s="40">
        <f t="shared" si="4"/>
        <v>2711.3772702647043</v>
      </c>
      <c r="K33" s="41">
        <f>COUNTIF(Vertices[Betweenness Centrality],"&gt;= "&amp;J33)-COUNTIF(Vertices[Betweenness Centrality],"&gt;="&amp;J34)</f>
        <v>0</v>
      </c>
      <c r="L33" s="40">
        <f t="shared" si="5"/>
        <v>0.004119352941176473</v>
      </c>
      <c r="M33" s="41">
        <f>COUNTIF(Vertices[Closeness Centrality],"&gt;= "&amp;L33)-COUNTIF(Vertices[Closeness Centrality],"&gt;="&amp;L34)</f>
        <v>0</v>
      </c>
      <c r="N33" s="40">
        <f t="shared" si="6"/>
        <v>0.038744470588235304</v>
      </c>
      <c r="O33" s="41">
        <f>COUNTIF(Vertices[Eigenvector Centrality],"&gt;= "&amp;N33)-COUNTIF(Vertices[Eigenvector Centrality],"&gt;="&amp;N34)</f>
        <v>1</v>
      </c>
      <c r="P33" s="40">
        <f t="shared" si="7"/>
        <v>4.775866294117648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961</v>
      </c>
      <c r="B34" s="35" t="s">
        <v>1314</v>
      </c>
      <c r="D34" s="33">
        <f t="shared" si="1"/>
        <v>0</v>
      </c>
      <c r="E34" s="3">
        <f>COUNTIF(Vertices[Degree],"&gt;= "&amp;D34)-COUNTIF(Vertices[Degree],"&gt;="&amp;D35)</f>
        <v>0</v>
      </c>
      <c r="F34" s="38">
        <f t="shared" si="2"/>
        <v>19.82352941176471</v>
      </c>
      <c r="G34" s="39">
        <f>COUNTIF(Vertices[In-Degree],"&gt;= "&amp;F34)-COUNTIF(Vertices[In-Degree],"&gt;="&amp;F35)</f>
        <v>0</v>
      </c>
      <c r="H34" s="38">
        <f t="shared" si="3"/>
        <v>17</v>
      </c>
      <c r="I34" s="39">
        <f>COUNTIF(Vertices[Out-Degree],"&gt;= "&amp;H34)-COUNTIF(Vertices[Out-Degree],"&gt;="&amp;H35)</f>
        <v>0</v>
      </c>
      <c r="J34" s="38">
        <f t="shared" si="4"/>
        <v>2798.841053176469</v>
      </c>
      <c r="K34" s="39">
        <f>COUNTIF(Vertices[Betweenness Centrality],"&gt;= "&amp;J34)-COUNTIF(Vertices[Betweenness Centrality],"&gt;="&amp;J35)</f>
        <v>0</v>
      </c>
      <c r="L34" s="38">
        <f t="shared" si="5"/>
        <v>0.00418923529411765</v>
      </c>
      <c r="M34" s="39">
        <f>COUNTIF(Vertices[Closeness Centrality],"&gt;= "&amp;L34)-COUNTIF(Vertices[Closeness Centrality],"&gt;="&amp;L35)</f>
        <v>1</v>
      </c>
      <c r="N34" s="38">
        <f t="shared" si="6"/>
        <v>0.03999164705882354</v>
      </c>
      <c r="O34" s="39">
        <f>COUNTIF(Vertices[Eigenvector Centrality],"&gt;= "&amp;N34)-COUNTIF(Vertices[Eigenvector Centrality],"&gt;="&amp;N35)</f>
        <v>1</v>
      </c>
      <c r="P34" s="38">
        <f t="shared" si="7"/>
        <v>4.920470529411766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962</v>
      </c>
      <c r="B35" s="35" t="s">
        <v>1315</v>
      </c>
      <c r="D35" s="33">
        <f t="shared" si="1"/>
        <v>0</v>
      </c>
      <c r="E35" s="3">
        <f>COUNTIF(Vertices[Degree],"&gt;= "&amp;D35)-COUNTIF(Vertices[Degree],"&gt;="&amp;D36)</f>
        <v>0</v>
      </c>
      <c r="F35" s="40">
        <f t="shared" si="2"/>
        <v>20.41176470588236</v>
      </c>
      <c r="G35" s="41">
        <f>COUNTIF(Vertices[In-Degree],"&gt;= "&amp;F35)-COUNTIF(Vertices[In-Degree],"&gt;="&amp;F36)</f>
        <v>0</v>
      </c>
      <c r="H35" s="40">
        <f t="shared" si="3"/>
        <v>17.5</v>
      </c>
      <c r="I35" s="41">
        <f>COUNTIF(Vertices[Out-Degree],"&gt;= "&amp;H35)-COUNTIF(Vertices[Out-Degree],"&gt;="&amp;H36)</f>
        <v>0</v>
      </c>
      <c r="J35" s="40">
        <f t="shared" si="4"/>
        <v>2886.3048360882335</v>
      </c>
      <c r="K35" s="41">
        <f>COUNTIF(Vertices[Betweenness Centrality],"&gt;= "&amp;J35)-COUNTIF(Vertices[Betweenness Centrality],"&gt;="&amp;J36)</f>
        <v>0</v>
      </c>
      <c r="L35" s="40">
        <f t="shared" si="5"/>
        <v>0.004259117647058826</v>
      </c>
      <c r="M35" s="41">
        <f>COUNTIF(Vertices[Closeness Centrality],"&gt;= "&amp;L35)-COUNTIF(Vertices[Closeness Centrality],"&gt;="&amp;L36)</f>
        <v>1</v>
      </c>
      <c r="N35" s="40">
        <f t="shared" si="6"/>
        <v>0.04123882352941178</v>
      </c>
      <c r="O35" s="41">
        <f>COUNTIF(Vertices[Eigenvector Centrality],"&gt;= "&amp;N35)-COUNTIF(Vertices[Eigenvector Centrality],"&gt;="&amp;N36)</f>
        <v>0</v>
      </c>
      <c r="P35" s="40">
        <f t="shared" si="7"/>
        <v>5.065074764705884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v>
      </c>
      <c r="B36" s="35" t="s">
        <v>324</v>
      </c>
      <c r="D36" s="33">
        <f>MAX(Vertices[Degree])</f>
        <v>0</v>
      </c>
      <c r="E36" s="3">
        <f>COUNTIF(Vertices[Degree],"&gt;= "&amp;D36)-COUNTIF(Vertices[Degree],"&gt;="&amp;#REF!)</f>
        <v>0</v>
      </c>
      <c r="F36" s="42">
        <f>MAX(Vertices[In-Degree])</f>
        <v>21</v>
      </c>
      <c r="G36" s="43">
        <f>COUNTIF(Vertices[In-Degree],"&gt;= "&amp;F36)-COUNTIF(Vertices[In-Degree],"&gt;="&amp;#REF!)</f>
        <v>1</v>
      </c>
      <c r="H36" s="42">
        <f>MAX(Vertices[Out-Degree])</f>
        <v>18</v>
      </c>
      <c r="I36" s="43">
        <f>COUNTIF(Vertices[Out-Degree],"&gt;= "&amp;H36)-COUNTIF(Vertices[Out-Degree],"&gt;="&amp;#REF!)</f>
        <v>1</v>
      </c>
      <c r="J36" s="42">
        <f>MAX(Vertices[Betweenness Centrality])</f>
        <v>2973.768619</v>
      </c>
      <c r="K36" s="43">
        <f>COUNTIF(Vertices[Betweenness Centrality],"&gt;= "&amp;J36)-COUNTIF(Vertices[Betweenness Centrality],"&gt;="&amp;#REF!)</f>
        <v>1</v>
      </c>
      <c r="L36" s="42">
        <f>MAX(Vertices[Closeness Centrality])</f>
        <v>0.004329</v>
      </c>
      <c r="M36" s="43">
        <f>COUNTIF(Vertices[Closeness Centrality],"&gt;= "&amp;L36)-COUNTIF(Vertices[Closeness Centrality],"&gt;="&amp;#REF!)</f>
        <v>1</v>
      </c>
      <c r="N36" s="42">
        <f>MAX(Vertices[Eigenvector Centrality])</f>
        <v>0.042486</v>
      </c>
      <c r="O36" s="43">
        <f>COUNTIF(Vertices[Eigenvector Centrality],"&gt;= "&amp;N36)-COUNTIF(Vertices[Eigenvector Centrality],"&gt;="&amp;#REF!)</f>
        <v>1</v>
      </c>
      <c r="P36" s="42">
        <f>MAX(Vertices[PageRank])</f>
        <v>5.209679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964</v>
      </c>
      <c r="B37" s="35" t="s">
        <v>324</v>
      </c>
    </row>
    <row r="38" spans="1:2" ht="15">
      <c r="A38" s="35" t="s">
        <v>965</v>
      </c>
      <c r="B38" s="35" t="s">
        <v>324</v>
      </c>
    </row>
    <row r="39" spans="1:2" ht="15">
      <c r="A39" s="35" t="s">
        <v>966</v>
      </c>
      <c r="B39" s="35"/>
    </row>
    <row r="40" spans="1:2" ht="15">
      <c r="A40" s="35" t="s">
        <v>21</v>
      </c>
      <c r="B40" s="35"/>
    </row>
    <row r="41" spans="1:2" ht="15">
      <c r="A41" s="35" t="s">
        <v>967</v>
      </c>
      <c r="B41" s="35" t="s">
        <v>34</v>
      </c>
    </row>
    <row r="42" spans="1:2" ht="15">
      <c r="A42" s="35" t="s">
        <v>968</v>
      </c>
      <c r="B42" s="35"/>
    </row>
    <row r="43" spans="1:2" ht="15">
      <c r="A43" s="35" t="s">
        <v>969</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21</v>
      </c>
    </row>
    <row r="83" spans="1:2" ht="15">
      <c r="A83" s="34" t="s">
        <v>90</v>
      </c>
      <c r="B83" s="48">
        <f>_xlfn.IFERROR(AVERAGE(Vertices[In-Degree]),NoMetricMessage)</f>
        <v>3.103448275862069</v>
      </c>
    </row>
    <row r="84" spans="1:2" ht="15">
      <c r="A84" s="34" t="s">
        <v>91</v>
      </c>
      <c r="B84" s="48">
        <f>_xlfn.IFERROR(MEDIAN(Vertices[In-Degree]),NoMetricMessage)</f>
        <v>1.5</v>
      </c>
    </row>
    <row r="95" spans="1:2" ht="15">
      <c r="A95" s="34" t="s">
        <v>94</v>
      </c>
      <c r="B95" s="47">
        <f>IF(COUNT(Vertices[Out-Degree])&gt;0,H2,NoMetricMessage)</f>
        <v>1</v>
      </c>
    </row>
    <row r="96" spans="1:2" ht="15">
      <c r="A96" s="34" t="s">
        <v>95</v>
      </c>
      <c r="B96" s="47">
        <f>IF(COUNT(Vertices[Out-Degree])&gt;0,H36,NoMetricMessage)</f>
        <v>18</v>
      </c>
    </row>
    <row r="97" spans="1:2" ht="15">
      <c r="A97" s="34" t="s">
        <v>96</v>
      </c>
      <c r="B97" s="48">
        <f>_xlfn.IFERROR(AVERAGE(Vertices[Out-Degree]),NoMetricMessage)</f>
        <v>3.103448275862069</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2973.768619</v>
      </c>
    </row>
    <row r="111" spans="1:2" ht="15">
      <c r="A111" s="34" t="s">
        <v>102</v>
      </c>
      <c r="B111" s="48">
        <f>_xlfn.IFERROR(AVERAGE(Vertices[Betweenness Centrality]),NoMetricMessage)</f>
        <v>223.93103449999992</v>
      </c>
    </row>
    <row r="112" spans="1:2" ht="15">
      <c r="A112" s="34" t="s">
        <v>103</v>
      </c>
      <c r="B112" s="48">
        <f>_xlfn.IFERROR(MEDIAN(Vertices[Betweenness Centrality]),NoMetricMessage)</f>
        <v>21.199464</v>
      </c>
    </row>
    <row r="123" spans="1:2" ht="15">
      <c r="A123" s="34" t="s">
        <v>106</v>
      </c>
      <c r="B123" s="48">
        <f>IF(COUNT(Vertices[Closeness Centrality])&gt;0,L2,NoMetricMessage)</f>
        <v>0.001953</v>
      </c>
    </row>
    <row r="124" spans="1:2" ht="15">
      <c r="A124" s="34" t="s">
        <v>107</v>
      </c>
      <c r="B124" s="48">
        <f>IF(COUNT(Vertices[Closeness Centrality])&gt;0,L36,NoMetricMessage)</f>
        <v>0.004329</v>
      </c>
    </row>
    <row r="125" spans="1:2" ht="15">
      <c r="A125" s="34" t="s">
        <v>108</v>
      </c>
      <c r="B125" s="48">
        <f>_xlfn.IFERROR(AVERAGE(Vertices[Closeness Centrality]),NoMetricMessage)</f>
        <v>0.0030238965517241376</v>
      </c>
    </row>
    <row r="126" spans="1:2" ht="15">
      <c r="A126" s="34" t="s">
        <v>109</v>
      </c>
      <c r="B126" s="48">
        <f>_xlfn.IFERROR(MEDIAN(Vertices[Closeness Centrality]),NoMetricMessage)</f>
        <v>0.002963</v>
      </c>
    </row>
    <row r="137" spans="1:2" ht="15">
      <c r="A137" s="34" t="s">
        <v>112</v>
      </c>
      <c r="B137" s="48">
        <f>IF(COUNT(Vertices[Eigenvector Centrality])&gt;0,N2,NoMetricMessage)</f>
        <v>8.2E-05</v>
      </c>
    </row>
    <row r="138" spans="1:2" ht="15">
      <c r="A138" s="34" t="s">
        <v>113</v>
      </c>
      <c r="B138" s="48">
        <f>IF(COUNT(Vertices[Eigenvector Centrality])&gt;0,N36,NoMetricMessage)</f>
        <v>0.042486</v>
      </c>
    </row>
    <row r="139" spans="1:2" ht="15">
      <c r="A139" s="34" t="s">
        <v>114</v>
      </c>
      <c r="B139" s="48">
        <f>_xlfn.IFERROR(AVERAGE(Vertices[Eigenvector Centrality]),NoMetricMessage)</f>
        <v>0.008620689655172414</v>
      </c>
    </row>
    <row r="140" spans="1:2" ht="15">
      <c r="A140" s="34" t="s">
        <v>115</v>
      </c>
      <c r="B140" s="48">
        <f>_xlfn.IFERROR(MEDIAN(Vertices[Eigenvector Centrality]),NoMetricMessage)</f>
        <v>0.00492</v>
      </c>
    </row>
    <row r="151" spans="1:2" ht="15">
      <c r="A151" s="34" t="s">
        <v>140</v>
      </c>
      <c r="B151" s="48">
        <f>IF(COUNT(Vertices[PageRank])&gt;0,P2,NoMetricMessage)</f>
        <v>0.293135</v>
      </c>
    </row>
    <row r="152" spans="1:2" ht="15">
      <c r="A152" s="34" t="s">
        <v>141</v>
      </c>
      <c r="B152" s="48">
        <f>IF(COUNT(Vertices[PageRank])&gt;0,P36,NoMetricMessage)</f>
        <v>5.209679</v>
      </c>
    </row>
    <row r="153" spans="1:2" ht="15">
      <c r="A153" s="34" t="s">
        <v>142</v>
      </c>
      <c r="B153" s="48">
        <f>_xlfn.IFERROR(AVERAGE(Vertices[PageRank]),NoMetricMessage)</f>
        <v>0.9999956896551725</v>
      </c>
    </row>
    <row r="154" spans="1:2" ht="15">
      <c r="A154" s="34" t="s">
        <v>143</v>
      </c>
      <c r="B154" s="48">
        <f>_xlfn.IFERROR(MEDIAN(Vertices[PageRank]),NoMetricMessage)</f>
        <v>0.624076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0.1784335852181759</v>
      </c>
    </row>
    <row r="168" spans="1:2" ht="15">
      <c r="A168" s="34" t="s">
        <v>121</v>
      </c>
      <c r="B168" s="48">
        <f>_xlfn.IFERROR(MEDIAN(Vertices[Clustering Coefficient]),NoMetricMessage)</f>
        <v>0.06836996336996337</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307</v>
      </c>
      <c r="R6" t="s">
        <v>129</v>
      </c>
    </row>
    <row r="7" spans="1:11" ht="409.5">
      <c r="A7">
        <v>2</v>
      </c>
      <c r="B7">
        <v>1</v>
      </c>
      <c r="C7">
        <v>0</v>
      </c>
      <c r="D7" t="s">
        <v>60</v>
      </c>
      <c r="E7" t="s">
        <v>60</v>
      </c>
      <c r="F7">
        <v>2</v>
      </c>
      <c r="H7" t="s">
        <v>72</v>
      </c>
      <c r="J7" t="s">
        <v>174</v>
      </c>
      <c r="K7" s="13" t="s">
        <v>308</v>
      </c>
    </row>
    <row r="8" spans="1:11" ht="409.5">
      <c r="A8"/>
      <c r="B8">
        <v>2</v>
      </c>
      <c r="C8">
        <v>2</v>
      </c>
      <c r="D8" t="s">
        <v>61</v>
      </c>
      <c r="E8" t="s">
        <v>61</v>
      </c>
      <c r="H8" t="s">
        <v>73</v>
      </c>
      <c r="J8" t="s">
        <v>175</v>
      </c>
      <c r="K8" s="13" t="s">
        <v>309</v>
      </c>
    </row>
    <row r="9" spans="1:11" ht="409.5">
      <c r="A9"/>
      <c r="B9">
        <v>3</v>
      </c>
      <c r="C9">
        <v>4</v>
      </c>
      <c r="D9" t="s">
        <v>62</v>
      </c>
      <c r="E9" t="s">
        <v>62</v>
      </c>
      <c r="H9" t="s">
        <v>74</v>
      </c>
      <c r="J9" t="s">
        <v>176</v>
      </c>
      <c r="K9" s="13" t="s">
        <v>310</v>
      </c>
    </row>
    <row r="10" spans="1:11" ht="15">
      <c r="A10"/>
      <c r="B10">
        <v>4</v>
      </c>
      <c r="D10" t="s">
        <v>63</v>
      </c>
      <c r="E10" t="s">
        <v>63</v>
      </c>
      <c r="H10" t="s">
        <v>75</v>
      </c>
      <c r="J10" t="s">
        <v>177</v>
      </c>
      <c r="K10" t="s">
        <v>311</v>
      </c>
    </row>
    <row r="11" spans="1:11" ht="15">
      <c r="A11"/>
      <c r="B11">
        <v>5</v>
      </c>
      <c r="D11" t="s">
        <v>46</v>
      </c>
      <c r="E11">
        <v>1</v>
      </c>
      <c r="H11" t="s">
        <v>76</v>
      </c>
      <c r="J11" t="s">
        <v>178</v>
      </c>
      <c r="K11" t="s">
        <v>312</v>
      </c>
    </row>
    <row r="12" spans="1:11" ht="15">
      <c r="A12"/>
      <c r="B12"/>
      <c r="D12" t="s">
        <v>64</v>
      </c>
      <c r="E12">
        <v>2</v>
      </c>
      <c r="H12">
        <v>0</v>
      </c>
      <c r="J12" t="s">
        <v>179</v>
      </c>
      <c r="K12" t="s">
        <v>313</v>
      </c>
    </row>
    <row r="13" spans="1:11" ht="15">
      <c r="A13"/>
      <c r="B13"/>
      <c r="D13">
        <v>1</v>
      </c>
      <c r="E13">
        <v>3</v>
      </c>
      <c r="H13">
        <v>1</v>
      </c>
      <c r="J13" t="s">
        <v>180</v>
      </c>
      <c r="K13" t="s">
        <v>314</v>
      </c>
    </row>
    <row r="14" spans="4:11" ht="15">
      <c r="D14">
        <v>2</v>
      </c>
      <c r="E14">
        <v>4</v>
      </c>
      <c r="H14">
        <v>2</v>
      </c>
      <c r="J14" t="s">
        <v>181</v>
      </c>
      <c r="K14" t="s">
        <v>315</v>
      </c>
    </row>
    <row r="15" spans="4:11" ht="15">
      <c r="D15">
        <v>3</v>
      </c>
      <c r="E15">
        <v>5</v>
      </c>
      <c r="H15">
        <v>3</v>
      </c>
      <c r="J15" t="s">
        <v>182</v>
      </c>
      <c r="K15" t="s">
        <v>316</v>
      </c>
    </row>
    <row r="16" spans="4:11" ht="15">
      <c r="D16">
        <v>4</v>
      </c>
      <c r="E16">
        <v>6</v>
      </c>
      <c r="H16">
        <v>4</v>
      </c>
      <c r="J16" t="s">
        <v>183</v>
      </c>
      <c r="K16" t="s">
        <v>317</v>
      </c>
    </row>
    <row r="17" spans="4:11" ht="15">
      <c r="D17">
        <v>5</v>
      </c>
      <c r="E17">
        <v>7</v>
      </c>
      <c r="H17">
        <v>5</v>
      </c>
      <c r="J17" t="s">
        <v>184</v>
      </c>
      <c r="K17" t="s">
        <v>318</v>
      </c>
    </row>
    <row r="18" spans="4:11" ht="409.5">
      <c r="D18">
        <v>6</v>
      </c>
      <c r="E18">
        <v>8</v>
      </c>
      <c r="H18">
        <v>6</v>
      </c>
      <c r="J18" t="s">
        <v>185</v>
      </c>
      <c r="K18" s="13" t="s">
        <v>319</v>
      </c>
    </row>
    <row r="19" spans="4:11" ht="409.5">
      <c r="D19">
        <v>7</v>
      </c>
      <c r="E19">
        <v>9</v>
      </c>
      <c r="H19">
        <v>7</v>
      </c>
      <c r="J19" t="s">
        <v>186</v>
      </c>
      <c r="K19" s="13" t="s">
        <v>320</v>
      </c>
    </row>
    <row r="20" spans="4:11" ht="409.5">
      <c r="D20">
        <v>8</v>
      </c>
      <c r="H20">
        <v>8</v>
      </c>
      <c r="J20" t="s">
        <v>187</v>
      </c>
      <c r="K20" s="13" t="s">
        <v>1310</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321</v>
      </c>
      <c r="K80" t="s">
        <v>1308</v>
      </c>
    </row>
    <row r="81" spans="10:11" ht="409.5">
      <c r="J81" t="s">
        <v>322</v>
      </c>
      <c r="K81" s="13" t="s">
        <v>1309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DA2BA-1900-4BC7-B9BC-B2063EA0D4F5}">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709</v>
      </c>
      <c r="B1" s="13" t="s">
        <v>921</v>
      </c>
      <c r="C1" s="13" t="s">
        <v>925</v>
      </c>
      <c r="D1" s="13" t="s">
        <v>144</v>
      </c>
      <c r="E1" s="13" t="s">
        <v>927</v>
      </c>
      <c r="F1" s="13" t="s">
        <v>928</v>
      </c>
      <c r="G1" s="13" t="s">
        <v>929</v>
      </c>
    </row>
    <row r="2" spans="1:7" ht="15">
      <c r="A2" s="80" t="s">
        <v>710</v>
      </c>
      <c r="B2" s="80" t="s">
        <v>922</v>
      </c>
      <c r="C2" s="103"/>
      <c r="D2" s="80"/>
      <c r="E2" s="80"/>
      <c r="F2" s="80"/>
      <c r="G2" s="80"/>
    </row>
    <row r="3" spans="1:7" ht="15">
      <c r="A3" s="81" t="s">
        <v>711</v>
      </c>
      <c r="B3" s="80" t="s">
        <v>923</v>
      </c>
      <c r="C3" s="103"/>
      <c r="D3" s="80"/>
      <c r="E3" s="80"/>
      <c r="F3" s="80"/>
      <c r="G3" s="80"/>
    </row>
    <row r="4" spans="1:7" ht="15">
      <c r="A4" s="81" t="s">
        <v>712</v>
      </c>
      <c r="B4" s="80" t="s">
        <v>924</v>
      </c>
      <c r="C4" s="103"/>
      <c r="D4" s="80"/>
      <c r="E4" s="80"/>
      <c r="F4" s="80"/>
      <c r="G4" s="80"/>
    </row>
    <row r="5" spans="1:7" ht="15">
      <c r="A5" s="81" t="s">
        <v>713</v>
      </c>
      <c r="B5" s="80">
        <v>93</v>
      </c>
      <c r="C5" s="103">
        <v>0.02849264705882353</v>
      </c>
      <c r="D5" s="80"/>
      <c r="E5" s="80"/>
      <c r="F5" s="80"/>
      <c r="G5" s="80"/>
    </row>
    <row r="6" spans="1:7" ht="15">
      <c r="A6" s="81" t="s">
        <v>714</v>
      </c>
      <c r="B6" s="80">
        <v>114</v>
      </c>
      <c r="C6" s="103">
        <v>0.034926470588235295</v>
      </c>
      <c r="D6" s="80"/>
      <c r="E6" s="80"/>
      <c r="F6" s="80"/>
      <c r="G6" s="80"/>
    </row>
    <row r="7" spans="1:7" ht="15">
      <c r="A7" s="81" t="s">
        <v>715</v>
      </c>
      <c r="B7" s="80">
        <v>0</v>
      </c>
      <c r="C7" s="103">
        <v>0</v>
      </c>
      <c r="D7" s="80"/>
      <c r="E7" s="80"/>
      <c r="F7" s="80"/>
      <c r="G7" s="80"/>
    </row>
    <row r="8" spans="1:7" ht="15">
      <c r="A8" s="81" t="s">
        <v>716</v>
      </c>
      <c r="B8" s="80">
        <v>3057</v>
      </c>
      <c r="C8" s="103">
        <v>0.9365808823529411</v>
      </c>
      <c r="D8" s="80"/>
      <c r="E8" s="80"/>
      <c r="F8" s="80"/>
      <c r="G8" s="80"/>
    </row>
    <row r="9" spans="1:7" ht="15">
      <c r="A9" s="81" t="s">
        <v>717</v>
      </c>
      <c r="B9" s="80">
        <v>3264</v>
      </c>
      <c r="C9" s="103">
        <v>1</v>
      </c>
      <c r="D9" s="80"/>
      <c r="E9" s="80"/>
      <c r="F9" s="80"/>
      <c r="G9" s="80"/>
    </row>
    <row r="10" spans="1:7" ht="15">
      <c r="A10" s="102" t="s">
        <v>718</v>
      </c>
      <c r="B10" s="100">
        <v>82</v>
      </c>
      <c r="C10" s="104">
        <v>0.03342725461772527</v>
      </c>
      <c r="D10" s="100" t="s">
        <v>926</v>
      </c>
      <c r="E10" s="100" t="b">
        <v>0</v>
      </c>
      <c r="F10" s="100" t="b">
        <v>0</v>
      </c>
      <c r="G10" s="100" t="b">
        <v>0</v>
      </c>
    </row>
    <row r="11" spans="1:7" ht="15">
      <c r="A11" s="102" t="s">
        <v>719</v>
      </c>
      <c r="B11" s="100">
        <v>55</v>
      </c>
      <c r="C11" s="104">
        <v>0.028912090789456783</v>
      </c>
      <c r="D11" s="100" t="s">
        <v>926</v>
      </c>
      <c r="E11" s="100" t="b">
        <v>0</v>
      </c>
      <c r="F11" s="100" t="b">
        <v>0</v>
      </c>
      <c r="G11" s="100" t="b">
        <v>0</v>
      </c>
    </row>
    <row r="12" spans="1:7" ht="15">
      <c r="A12" s="102" t="s">
        <v>720</v>
      </c>
      <c r="B12" s="100">
        <v>43</v>
      </c>
      <c r="C12" s="104">
        <v>0.02310995445287063</v>
      </c>
      <c r="D12" s="100" t="s">
        <v>926</v>
      </c>
      <c r="E12" s="100" t="b">
        <v>1</v>
      </c>
      <c r="F12" s="100" t="b">
        <v>0</v>
      </c>
      <c r="G12" s="100" t="b">
        <v>0</v>
      </c>
    </row>
    <row r="13" spans="1:7" ht="15">
      <c r="A13" s="102" t="s">
        <v>721</v>
      </c>
      <c r="B13" s="100">
        <v>35</v>
      </c>
      <c r="C13" s="104">
        <v>0.02067515652517123</v>
      </c>
      <c r="D13" s="100" t="s">
        <v>926</v>
      </c>
      <c r="E13" s="100" t="b">
        <v>0</v>
      </c>
      <c r="F13" s="100" t="b">
        <v>0</v>
      </c>
      <c r="G13" s="100" t="b">
        <v>0</v>
      </c>
    </row>
    <row r="14" spans="1:7" ht="15">
      <c r="A14" s="102" t="s">
        <v>722</v>
      </c>
      <c r="B14" s="100">
        <v>34</v>
      </c>
      <c r="C14" s="104">
        <v>0.021152385274784823</v>
      </c>
      <c r="D14" s="100" t="s">
        <v>926</v>
      </c>
      <c r="E14" s="100" t="b">
        <v>0</v>
      </c>
      <c r="F14" s="100" t="b">
        <v>0</v>
      </c>
      <c r="G14" s="100" t="b">
        <v>0</v>
      </c>
    </row>
    <row r="15" spans="1:7" ht="15">
      <c r="A15" s="102" t="s">
        <v>723</v>
      </c>
      <c r="B15" s="100">
        <v>34</v>
      </c>
      <c r="C15" s="104">
        <v>0.021152385274784823</v>
      </c>
      <c r="D15" s="100" t="s">
        <v>926</v>
      </c>
      <c r="E15" s="100" t="b">
        <v>0</v>
      </c>
      <c r="F15" s="100" t="b">
        <v>0</v>
      </c>
      <c r="G15" s="100" t="b">
        <v>0</v>
      </c>
    </row>
    <row r="16" spans="1:7" ht="15">
      <c r="A16" s="102" t="s">
        <v>724</v>
      </c>
      <c r="B16" s="100">
        <v>30</v>
      </c>
      <c r="C16" s="104">
        <v>0.01891846600696856</v>
      </c>
      <c r="D16" s="100" t="s">
        <v>926</v>
      </c>
      <c r="E16" s="100" t="b">
        <v>0</v>
      </c>
      <c r="F16" s="100" t="b">
        <v>0</v>
      </c>
      <c r="G16" s="100" t="b">
        <v>0</v>
      </c>
    </row>
    <row r="17" spans="1:7" ht="15">
      <c r="A17" s="102" t="s">
        <v>725</v>
      </c>
      <c r="B17" s="100">
        <v>29</v>
      </c>
      <c r="C17" s="104">
        <v>0.019361920375498585</v>
      </c>
      <c r="D17" s="100" t="s">
        <v>926</v>
      </c>
      <c r="E17" s="100" t="b">
        <v>0</v>
      </c>
      <c r="F17" s="100" t="b">
        <v>0</v>
      </c>
      <c r="G17" s="100" t="b">
        <v>0</v>
      </c>
    </row>
    <row r="18" spans="1:7" ht="15">
      <c r="A18" s="102" t="s">
        <v>726</v>
      </c>
      <c r="B18" s="100">
        <v>25</v>
      </c>
      <c r="C18" s="104">
        <v>0.01694508509193583</v>
      </c>
      <c r="D18" s="100" t="s">
        <v>926</v>
      </c>
      <c r="E18" s="100" t="b">
        <v>0</v>
      </c>
      <c r="F18" s="100" t="b">
        <v>0</v>
      </c>
      <c r="G18" s="100" t="b">
        <v>0</v>
      </c>
    </row>
    <row r="19" spans="1:7" ht="15">
      <c r="A19" s="102" t="s">
        <v>727</v>
      </c>
      <c r="B19" s="100">
        <v>25</v>
      </c>
      <c r="C19" s="104">
        <v>0.01694508509193583</v>
      </c>
      <c r="D19" s="100" t="s">
        <v>926</v>
      </c>
      <c r="E19" s="100" t="b">
        <v>0</v>
      </c>
      <c r="F19" s="100" t="b">
        <v>0</v>
      </c>
      <c r="G19" s="100" t="b">
        <v>0</v>
      </c>
    </row>
    <row r="20" spans="1:7" ht="15">
      <c r="A20" s="102" t="s">
        <v>728</v>
      </c>
      <c r="B20" s="100">
        <v>25</v>
      </c>
      <c r="C20" s="104">
        <v>0.01694508509193583</v>
      </c>
      <c r="D20" s="100" t="s">
        <v>926</v>
      </c>
      <c r="E20" s="100" t="b">
        <v>0</v>
      </c>
      <c r="F20" s="100" t="b">
        <v>1</v>
      </c>
      <c r="G20" s="100" t="b">
        <v>0</v>
      </c>
    </row>
    <row r="21" spans="1:7" ht="15">
      <c r="A21" s="102" t="s">
        <v>729</v>
      </c>
      <c r="B21" s="100">
        <v>25</v>
      </c>
      <c r="C21" s="104">
        <v>0.01694508509193583</v>
      </c>
      <c r="D21" s="100" t="s">
        <v>926</v>
      </c>
      <c r="E21" s="100" t="b">
        <v>0</v>
      </c>
      <c r="F21" s="100" t="b">
        <v>0</v>
      </c>
      <c r="G21" s="100" t="b">
        <v>0</v>
      </c>
    </row>
    <row r="22" spans="1:7" ht="15">
      <c r="A22" s="102" t="s">
        <v>730</v>
      </c>
      <c r="B22" s="100">
        <v>25</v>
      </c>
      <c r="C22" s="104">
        <v>0.01694508509193583</v>
      </c>
      <c r="D22" s="100" t="s">
        <v>926</v>
      </c>
      <c r="E22" s="100" t="b">
        <v>0</v>
      </c>
      <c r="F22" s="100" t="b">
        <v>0</v>
      </c>
      <c r="G22" s="100" t="b">
        <v>0</v>
      </c>
    </row>
    <row r="23" spans="1:7" ht="15">
      <c r="A23" s="102" t="s">
        <v>731</v>
      </c>
      <c r="B23" s="100">
        <v>25</v>
      </c>
      <c r="C23" s="104">
        <v>0.01694508509193583</v>
      </c>
      <c r="D23" s="100" t="s">
        <v>926</v>
      </c>
      <c r="E23" s="100" t="b">
        <v>0</v>
      </c>
      <c r="F23" s="100" t="b">
        <v>0</v>
      </c>
      <c r="G23" s="100" t="b">
        <v>0</v>
      </c>
    </row>
    <row r="24" spans="1:7" ht="15">
      <c r="A24" s="102" t="s">
        <v>732</v>
      </c>
      <c r="B24" s="100">
        <v>23</v>
      </c>
      <c r="C24" s="104">
        <v>0.01635044284986471</v>
      </c>
      <c r="D24" s="100" t="s">
        <v>926</v>
      </c>
      <c r="E24" s="100" t="b">
        <v>0</v>
      </c>
      <c r="F24" s="100" t="b">
        <v>1</v>
      </c>
      <c r="G24" s="100" t="b">
        <v>0</v>
      </c>
    </row>
    <row r="25" spans="1:7" ht="15">
      <c r="A25" s="102" t="s">
        <v>733</v>
      </c>
      <c r="B25" s="100">
        <v>23</v>
      </c>
      <c r="C25" s="104">
        <v>0.01635044284986471</v>
      </c>
      <c r="D25" s="100" t="s">
        <v>926</v>
      </c>
      <c r="E25" s="100" t="b">
        <v>0</v>
      </c>
      <c r="F25" s="100" t="b">
        <v>0</v>
      </c>
      <c r="G25" s="100" t="b">
        <v>0</v>
      </c>
    </row>
    <row r="26" spans="1:7" ht="15">
      <c r="A26" s="102" t="s">
        <v>734</v>
      </c>
      <c r="B26" s="100">
        <v>22</v>
      </c>
      <c r="C26" s="104">
        <v>0.015639554030305373</v>
      </c>
      <c r="D26" s="100" t="s">
        <v>926</v>
      </c>
      <c r="E26" s="100" t="b">
        <v>0</v>
      </c>
      <c r="F26" s="100" t="b">
        <v>0</v>
      </c>
      <c r="G26" s="100" t="b">
        <v>0</v>
      </c>
    </row>
    <row r="27" spans="1:7" ht="15">
      <c r="A27" s="102" t="s">
        <v>735</v>
      </c>
      <c r="B27" s="100">
        <v>22</v>
      </c>
      <c r="C27" s="104">
        <v>0.015639554030305373</v>
      </c>
      <c r="D27" s="100" t="s">
        <v>926</v>
      </c>
      <c r="E27" s="100" t="b">
        <v>0</v>
      </c>
      <c r="F27" s="100" t="b">
        <v>0</v>
      </c>
      <c r="G27" s="100" t="b">
        <v>0</v>
      </c>
    </row>
    <row r="28" spans="1:7" ht="15">
      <c r="A28" s="102" t="s">
        <v>736</v>
      </c>
      <c r="B28" s="100">
        <v>22</v>
      </c>
      <c r="C28" s="104">
        <v>0.015639554030305373</v>
      </c>
      <c r="D28" s="100" t="s">
        <v>926</v>
      </c>
      <c r="E28" s="100" t="b">
        <v>0</v>
      </c>
      <c r="F28" s="100" t="b">
        <v>0</v>
      </c>
      <c r="G28" s="100" t="b">
        <v>0</v>
      </c>
    </row>
    <row r="29" spans="1:7" ht="15">
      <c r="A29" s="102" t="s">
        <v>737</v>
      </c>
      <c r="B29" s="100">
        <v>22</v>
      </c>
      <c r="C29" s="104">
        <v>0.015639554030305373</v>
      </c>
      <c r="D29" s="100" t="s">
        <v>926</v>
      </c>
      <c r="E29" s="100" t="b">
        <v>0</v>
      </c>
      <c r="F29" s="100" t="b">
        <v>0</v>
      </c>
      <c r="G29" s="100" t="b">
        <v>0</v>
      </c>
    </row>
    <row r="30" spans="1:7" ht="15">
      <c r="A30" s="102" t="s">
        <v>738</v>
      </c>
      <c r="B30" s="100">
        <v>22</v>
      </c>
      <c r="C30" s="104">
        <v>0.015639554030305373</v>
      </c>
      <c r="D30" s="100" t="s">
        <v>926</v>
      </c>
      <c r="E30" s="100" t="b">
        <v>0</v>
      </c>
      <c r="F30" s="100" t="b">
        <v>0</v>
      </c>
      <c r="G30" s="100" t="b">
        <v>0</v>
      </c>
    </row>
    <row r="31" spans="1:7" ht="15">
      <c r="A31" s="102" t="s">
        <v>739</v>
      </c>
      <c r="B31" s="100">
        <v>17</v>
      </c>
      <c r="C31" s="104">
        <v>0.014752037460022335</v>
      </c>
      <c r="D31" s="100" t="s">
        <v>926</v>
      </c>
      <c r="E31" s="100" t="b">
        <v>0</v>
      </c>
      <c r="F31" s="100" t="b">
        <v>0</v>
      </c>
      <c r="G31" s="100" t="b">
        <v>0</v>
      </c>
    </row>
    <row r="32" spans="1:7" ht="15">
      <c r="A32" s="102" t="s">
        <v>740</v>
      </c>
      <c r="B32" s="100">
        <v>16</v>
      </c>
      <c r="C32" s="104">
        <v>0.012692959593676717</v>
      </c>
      <c r="D32" s="100" t="s">
        <v>926</v>
      </c>
      <c r="E32" s="100" t="b">
        <v>0</v>
      </c>
      <c r="F32" s="100" t="b">
        <v>0</v>
      </c>
      <c r="G32" s="100" t="b">
        <v>0</v>
      </c>
    </row>
    <row r="33" spans="1:7" ht="15">
      <c r="A33" s="102" t="s">
        <v>741</v>
      </c>
      <c r="B33" s="100">
        <v>15</v>
      </c>
      <c r="C33" s="104">
        <v>0.012150204359240965</v>
      </c>
      <c r="D33" s="100" t="s">
        <v>926</v>
      </c>
      <c r="E33" s="100" t="b">
        <v>0</v>
      </c>
      <c r="F33" s="100" t="b">
        <v>0</v>
      </c>
      <c r="G33" s="100" t="b">
        <v>0</v>
      </c>
    </row>
    <row r="34" spans="1:7" ht="15">
      <c r="A34" s="102" t="s">
        <v>742</v>
      </c>
      <c r="B34" s="100">
        <v>15</v>
      </c>
      <c r="C34" s="104">
        <v>0.012150204359240965</v>
      </c>
      <c r="D34" s="100" t="s">
        <v>926</v>
      </c>
      <c r="E34" s="100" t="b">
        <v>0</v>
      </c>
      <c r="F34" s="100" t="b">
        <v>0</v>
      </c>
      <c r="G34" s="100" t="b">
        <v>0</v>
      </c>
    </row>
    <row r="35" spans="1:7" ht="15">
      <c r="A35" s="102" t="s">
        <v>743</v>
      </c>
      <c r="B35" s="100">
        <v>15</v>
      </c>
      <c r="C35" s="104">
        <v>0.012150204359240965</v>
      </c>
      <c r="D35" s="100" t="s">
        <v>926</v>
      </c>
      <c r="E35" s="100" t="b">
        <v>0</v>
      </c>
      <c r="F35" s="100" t="b">
        <v>0</v>
      </c>
      <c r="G35" s="100" t="b">
        <v>0</v>
      </c>
    </row>
    <row r="36" spans="1:7" ht="15">
      <c r="A36" s="102" t="s">
        <v>744</v>
      </c>
      <c r="B36" s="100">
        <v>15</v>
      </c>
      <c r="C36" s="104">
        <v>0.012150204359240965</v>
      </c>
      <c r="D36" s="100" t="s">
        <v>926</v>
      </c>
      <c r="E36" s="100" t="b">
        <v>0</v>
      </c>
      <c r="F36" s="100" t="b">
        <v>0</v>
      </c>
      <c r="G36" s="100" t="b">
        <v>0</v>
      </c>
    </row>
    <row r="37" spans="1:7" ht="15">
      <c r="A37" s="102" t="s">
        <v>745</v>
      </c>
      <c r="B37" s="100">
        <v>14</v>
      </c>
      <c r="C37" s="104">
        <v>0.011590181871932928</v>
      </c>
      <c r="D37" s="100" t="s">
        <v>926</v>
      </c>
      <c r="E37" s="100" t="b">
        <v>0</v>
      </c>
      <c r="F37" s="100" t="b">
        <v>0</v>
      </c>
      <c r="G37" s="100" t="b">
        <v>0</v>
      </c>
    </row>
    <row r="38" spans="1:7" ht="15">
      <c r="A38" s="102" t="s">
        <v>746</v>
      </c>
      <c r="B38" s="100">
        <v>12</v>
      </c>
      <c r="C38" s="104">
        <v>0.01041320291295694</v>
      </c>
      <c r="D38" s="100" t="s">
        <v>926</v>
      </c>
      <c r="E38" s="100" t="b">
        <v>0</v>
      </c>
      <c r="F38" s="100" t="b">
        <v>0</v>
      </c>
      <c r="G38" s="100" t="b">
        <v>0</v>
      </c>
    </row>
    <row r="39" spans="1:7" ht="15">
      <c r="A39" s="102" t="s">
        <v>747</v>
      </c>
      <c r="B39" s="100">
        <v>12</v>
      </c>
      <c r="C39" s="104">
        <v>0.01041320291295694</v>
      </c>
      <c r="D39" s="100" t="s">
        <v>926</v>
      </c>
      <c r="E39" s="100" t="b">
        <v>0</v>
      </c>
      <c r="F39" s="100" t="b">
        <v>0</v>
      </c>
      <c r="G39" s="100" t="b">
        <v>0</v>
      </c>
    </row>
    <row r="40" spans="1:7" ht="15">
      <c r="A40" s="102" t="s">
        <v>748</v>
      </c>
      <c r="B40" s="100">
        <v>11</v>
      </c>
      <c r="C40" s="104">
        <v>0.010364462286434983</v>
      </c>
      <c r="D40" s="100" t="s">
        <v>926</v>
      </c>
      <c r="E40" s="100" t="b">
        <v>0</v>
      </c>
      <c r="F40" s="100" t="b">
        <v>0</v>
      </c>
      <c r="G40" s="100" t="b">
        <v>0</v>
      </c>
    </row>
    <row r="41" spans="1:7" ht="15">
      <c r="A41" s="102" t="s">
        <v>749</v>
      </c>
      <c r="B41" s="100">
        <v>10</v>
      </c>
      <c r="C41" s="104">
        <v>0.01094352869908672</v>
      </c>
      <c r="D41" s="100" t="s">
        <v>926</v>
      </c>
      <c r="E41" s="100" t="b">
        <v>0</v>
      </c>
      <c r="F41" s="100" t="b">
        <v>0</v>
      </c>
      <c r="G41" s="100" t="b">
        <v>0</v>
      </c>
    </row>
    <row r="42" spans="1:7" ht="15">
      <c r="A42" s="102" t="s">
        <v>750</v>
      </c>
      <c r="B42" s="100">
        <v>10</v>
      </c>
      <c r="C42" s="104">
        <v>0.00914954779524893</v>
      </c>
      <c r="D42" s="100" t="s">
        <v>926</v>
      </c>
      <c r="E42" s="100" t="b">
        <v>0</v>
      </c>
      <c r="F42" s="100" t="b">
        <v>1</v>
      </c>
      <c r="G42" s="100" t="b">
        <v>0</v>
      </c>
    </row>
    <row r="43" spans="1:7" ht="15">
      <c r="A43" s="102" t="s">
        <v>751</v>
      </c>
      <c r="B43" s="100">
        <v>10</v>
      </c>
      <c r="C43" s="104">
        <v>0.00914954779524893</v>
      </c>
      <c r="D43" s="100" t="s">
        <v>926</v>
      </c>
      <c r="E43" s="100" t="b">
        <v>0</v>
      </c>
      <c r="F43" s="100" t="b">
        <v>1</v>
      </c>
      <c r="G43" s="100" t="b">
        <v>0</v>
      </c>
    </row>
    <row r="44" spans="1:7" ht="15">
      <c r="A44" s="102" t="s">
        <v>752</v>
      </c>
      <c r="B44" s="100">
        <v>10</v>
      </c>
      <c r="C44" s="104">
        <v>0.00914954779524893</v>
      </c>
      <c r="D44" s="100" t="s">
        <v>926</v>
      </c>
      <c r="E44" s="100" t="b">
        <v>1</v>
      </c>
      <c r="F44" s="100" t="b">
        <v>0</v>
      </c>
      <c r="G44" s="100" t="b">
        <v>0</v>
      </c>
    </row>
    <row r="45" spans="1:7" ht="15">
      <c r="A45" s="102" t="s">
        <v>753</v>
      </c>
      <c r="B45" s="100">
        <v>10</v>
      </c>
      <c r="C45" s="104">
        <v>0.00914954779524893</v>
      </c>
      <c r="D45" s="100" t="s">
        <v>926</v>
      </c>
      <c r="E45" s="100" t="b">
        <v>0</v>
      </c>
      <c r="F45" s="100" t="b">
        <v>0</v>
      </c>
      <c r="G45" s="100" t="b">
        <v>0</v>
      </c>
    </row>
    <row r="46" spans="1:7" ht="15">
      <c r="A46" s="102" t="s">
        <v>754</v>
      </c>
      <c r="B46" s="100">
        <v>10</v>
      </c>
      <c r="C46" s="104">
        <v>0.00914954779524893</v>
      </c>
      <c r="D46" s="100" t="s">
        <v>926</v>
      </c>
      <c r="E46" s="100" t="b">
        <v>0</v>
      </c>
      <c r="F46" s="100" t="b">
        <v>0</v>
      </c>
      <c r="G46" s="100" t="b">
        <v>0</v>
      </c>
    </row>
    <row r="47" spans="1:7" ht="15">
      <c r="A47" s="102" t="s">
        <v>755</v>
      </c>
      <c r="B47" s="100">
        <v>10</v>
      </c>
      <c r="C47" s="104">
        <v>0.00914954779524893</v>
      </c>
      <c r="D47" s="100" t="s">
        <v>926</v>
      </c>
      <c r="E47" s="100" t="b">
        <v>0</v>
      </c>
      <c r="F47" s="100" t="b">
        <v>0</v>
      </c>
      <c r="G47" s="100" t="b">
        <v>0</v>
      </c>
    </row>
    <row r="48" spans="1:7" ht="15">
      <c r="A48" s="102" t="s">
        <v>756</v>
      </c>
      <c r="B48" s="100">
        <v>10</v>
      </c>
      <c r="C48" s="104">
        <v>0.00914954779524893</v>
      </c>
      <c r="D48" s="100" t="s">
        <v>926</v>
      </c>
      <c r="E48" s="100" t="b">
        <v>0</v>
      </c>
      <c r="F48" s="100" t="b">
        <v>0</v>
      </c>
      <c r="G48" s="100" t="b">
        <v>0</v>
      </c>
    </row>
    <row r="49" spans="1:7" ht="15">
      <c r="A49" s="102" t="s">
        <v>757</v>
      </c>
      <c r="B49" s="100">
        <v>10</v>
      </c>
      <c r="C49" s="104">
        <v>0.00914954779524893</v>
      </c>
      <c r="D49" s="100" t="s">
        <v>926</v>
      </c>
      <c r="E49" s="100" t="b">
        <v>0</v>
      </c>
      <c r="F49" s="100" t="b">
        <v>0</v>
      </c>
      <c r="G49" s="100" t="b">
        <v>0</v>
      </c>
    </row>
    <row r="50" spans="1:7" ht="15">
      <c r="A50" s="102" t="s">
        <v>758</v>
      </c>
      <c r="B50" s="100">
        <v>9</v>
      </c>
      <c r="C50" s="104">
        <v>0.00848001459799226</v>
      </c>
      <c r="D50" s="100" t="s">
        <v>926</v>
      </c>
      <c r="E50" s="100" t="b">
        <v>0</v>
      </c>
      <c r="F50" s="100" t="b">
        <v>0</v>
      </c>
      <c r="G50" s="100" t="b">
        <v>0</v>
      </c>
    </row>
    <row r="51" spans="1:7" ht="15">
      <c r="A51" s="102" t="s">
        <v>759</v>
      </c>
      <c r="B51" s="100">
        <v>9</v>
      </c>
      <c r="C51" s="104">
        <v>0.01103906781162573</v>
      </c>
      <c r="D51" s="100" t="s">
        <v>926</v>
      </c>
      <c r="E51" s="100" t="b">
        <v>0</v>
      </c>
      <c r="F51" s="100" t="b">
        <v>0</v>
      </c>
      <c r="G51" s="100" t="b">
        <v>0</v>
      </c>
    </row>
    <row r="52" spans="1:7" ht="15">
      <c r="A52" s="102" t="s">
        <v>760</v>
      </c>
      <c r="B52" s="100">
        <v>9</v>
      </c>
      <c r="C52" s="104">
        <v>0.00848001459799226</v>
      </c>
      <c r="D52" s="100" t="s">
        <v>926</v>
      </c>
      <c r="E52" s="100" t="b">
        <v>0</v>
      </c>
      <c r="F52" s="100" t="b">
        <v>0</v>
      </c>
      <c r="G52" s="100" t="b">
        <v>0</v>
      </c>
    </row>
    <row r="53" spans="1:7" ht="15">
      <c r="A53" s="102" t="s">
        <v>761</v>
      </c>
      <c r="B53" s="100">
        <v>9</v>
      </c>
      <c r="C53" s="104">
        <v>0.00848001459799226</v>
      </c>
      <c r="D53" s="100" t="s">
        <v>926</v>
      </c>
      <c r="E53" s="100" t="b">
        <v>0</v>
      </c>
      <c r="F53" s="100" t="b">
        <v>0</v>
      </c>
      <c r="G53" s="100" t="b">
        <v>0</v>
      </c>
    </row>
    <row r="54" spans="1:7" ht="15">
      <c r="A54" s="102" t="s">
        <v>762</v>
      </c>
      <c r="B54" s="100">
        <v>9</v>
      </c>
      <c r="C54" s="104">
        <v>0.00848001459799226</v>
      </c>
      <c r="D54" s="100" t="s">
        <v>926</v>
      </c>
      <c r="E54" s="100" t="b">
        <v>0</v>
      </c>
      <c r="F54" s="100" t="b">
        <v>0</v>
      </c>
      <c r="G54" s="100" t="b">
        <v>0</v>
      </c>
    </row>
    <row r="55" spans="1:7" ht="15">
      <c r="A55" s="102" t="s">
        <v>763</v>
      </c>
      <c r="B55" s="100">
        <v>9</v>
      </c>
      <c r="C55" s="104">
        <v>0.00848001459799226</v>
      </c>
      <c r="D55" s="100" t="s">
        <v>926</v>
      </c>
      <c r="E55" s="100" t="b">
        <v>0</v>
      </c>
      <c r="F55" s="100" t="b">
        <v>0</v>
      </c>
      <c r="G55" s="100" t="b">
        <v>0</v>
      </c>
    </row>
    <row r="56" spans="1:7" ht="15">
      <c r="A56" s="102" t="s">
        <v>764</v>
      </c>
      <c r="B56" s="100">
        <v>9</v>
      </c>
      <c r="C56" s="104">
        <v>0.01103906781162573</v>
      </c>
      <c r="D56" s="100" t="s">
        <v>926</v>
      </c>
      <c r="E56" s="100" t="b">
        <v>0</v>
      </c>
      <c r="F56" s="100" t="b">
        <v>0</v>
      </c>
      <c r="G56" s="100" t="b">
        <v>0</v>
      </c>
    </row>
    <row r="57" spans="1:7" ht="15">
      <c r="A57" s="102" t="s">
        <v>765</v>
      </c>
      <c r="B57" s="100">
        <v>9</v>
      </c>
      <c r="C57" s="104">
        <v>0.01103906781162573</v>
      </c>
      <c r="D57" s="100" t="s">
        <v>926</v>
      </c>
      <c r="E57" s="100" t="b">
        <v>0</v>
      </c>
      <c r="F57" s="100" t="b">
        <v>0</v>
      </c>
      <c r="G57" s="100" t="b">
        <v>0</v>
      </c>
    </row>
    <row r="58" spans="1:7" ht="15">
      <c r="A58" s="102" t="s">
        <v>766</v>
      </c>
      <c r="B58" s="100">
        <v>9</v>
      </c>
      <c r="C58" s="104">
        <v>0.01103906781162573</v>
      </c>
      <c r="D58" s="100" t="s">
        <v>926</v>
      </c>
      <c r="E58" s="100" t="b">
        <v>0</v>
      </c>
      <c r="F58" s="100" t="b">
        <v>0</v>
      </c>
      <c r="G58" s="100" t="b">
        <v>0</v>
      </c>
    </row>
    <row r="59" spans="1:7" ht="15">
      <c r="A59" s="102" t="s">
        <v>767</v>
      </c>
      <c r="B59" s="100">
        <v>8</v>
      </c>
      <c r="C59" s="104">
        <v>0.007781664519908591</v>
      </c>
      <c r="D59" s="100" t="s">
        <v>926</v>
      </c>
      <c r="E59" s="100" t="b">
        <v>0</v>
      </c>
      <c r="F59" s="100" t="b">
        <v>0</v>
      </c>
      <c r="G59" s="100" t="b">
        <v>0</v>
      </c>
    </row>
    <row r="60" spans="1:7" ht="15">
      <c r="A60" s="102" t="s">
        <v>768</v>
      </c>
      <c r="B60" s="100">
        <v>7</v>
      </c>
      <c r="C60" s="104">
        <v>0.007050877568652918</v>
      </c>
      <c r="D60" s="100" t="s">
        <v>926</v>
      </c>
      <c r="E60" s="100" t="b">
        <v>0</v>
      </c>
      <c r="F60" s="100" t="b">
        <v>0</v>
      </c>
      <c r="G60" s="100" t="b">
        <v>0</v>
      </c>
    </row>
    <row r="61" spans="1:7" ht="15">
      <c r="A61" s="102" t="s">
        <v>769</v>
      </c>
      <c r="B61" s="100">
        <v>7</v>
      </c>
      <c r="C61" s="104">
        <v>0.007050877568652918</v>
      </c>
      <c r="D61" s="100" t="s">
        <v>926</v>
      </c>
      <c r="E61" s="100" t="b">
        <v>0</v>
      </c>
      <c r="F61" s="100" t="b">
        <v>0</v>
      </c>
      <c r="G61" s="100" t="b">
        <v>0</v>
      </c>
    </row>
    <row r="62" spans="1:7" ht="15">
      <c r="A62" s="102" t="s">
        <v>770</v>
      </c>
      <c r="B62" s="100">
        <v>7</v>
      </c>
      <c r="C62" s="104">
        <v>0.007050877568652918</v>
      </c>
      <c r="D62" s="100" t="s">
        <v>926</v>
      </c>
      <c r="E62" s="100" t="b">
        <v>0</v>
      </c>
      <c r="F62" s="100" t="b">
        <v>0</v>
      </c>
      <c r="G62" s="100" t="b">
        <v>0</v>
      </c>
    </row>
    <row r="63" spans="1:7" ht="15">
      <c r="A63" s="102" t="s">
        <v>771</v>
      </c>
      <c r="B63" s="100">
        <v>7</v>
      </c>
      <c r="C63" s="104">
        <v>0.007050877568652918</v>
      </c>
      <c r="D63" s="100" t="s">
        <v>926</v>
      </c>
      <c r="E63" s="100" t="b">
        <v>0</v>
      </c>
      <c r="F63" s="100" t="b">
        <v>0</v>
      </c>
      <c r="G63" s="100" t="b">
        <v>0</v>
      </c>
    </row>
    <row r="64" spans="1:7" ht="15">
      <c r="A64" s="102" t="s">
        <v>772</v>
      </c>
      <c r="B64" s="100">
        <v>7</v>
      </c>
      <c r="C64" s="104">
        <v>0.007050877568652918</v>
      </c>
      <c r="D64" s="100" t="s">
        <v>926</v>
      </c>
      <c r="E64" s="100" t="b">
        <v>0</v>
      </c>
      <c r="F64" s="100" t="b">
        <v>0</v>
      </c>
      <c r="G64" s="100" t="b">
        <v>0</v>
      </c>
    </row>
    <row r="65" spans="1:7" ht="15">
      <c r="A65" s="102" t="s">
        <v>773</v>
      </c>
      <c r="B65" s="100">
        <v>7</v>
      </c>
      <c r="C65" s="104">
        <v>0.007050877568652918</v>
      </c>
      <c r="D65" s="100" t="s">
        <v>926</v>
      </c>
      <c r="E65" s="100" t="b">
        <v>0</v>
      </c>
      <c r="F65" s="100" t="b">
        <v>0</v>
      </c>
      <c r="G65" s="100" t="b">
        <v>0</v>
      </c>
    </row>
    <row r="66" spans="1:7" ht="15">
      <c r="A66" s="102" t="s">
        <v>774</v>
      </c>
      <c r="B66" s="100">
        <v>7</v>
      </c>
      <c r="C66" s="104">
        <v>0.0073301549985780035</v>
      </c>
      <c r="D66" s="100" t="s">
        <v>926</v>
      </c>
      <c r="E66" s="100" t="b">
        <v>0</v>
      </c>
      <c r="F66" s="100" t="b">
        <v>0</v>
      </c>
      <c r="G66" s="100" t="b">
        <v>0</v>
      </c>
    </row>
    <row r="67" spans="1:7" ht="15">
      <c r="A67" s="102" t="s">
        <v>775</v>
      </c>
      <c r="B67" s="100">
        <v>7</v>
      </c>
      <c r="C67" s="104">
        <v>0.007050877568652918</v>
      </c>
      <c r="D67" s="100" t="s">
        <v>926</v>
      </c>
      <c r="E67" s="100" t="b">
        <v>0</v>
      </c>
      <c r="F67" s="100" t="b">
        <v>0</v>
      </c>
      <c r="G67" s="100" t="b">
        <v>0</v>
      </c>
    </row>
    <row r="68" spans="1:7" ht="15">
      <c r="A68" s="102" t="s">
        <v>776</v>
      </c>
      <c r="B68" s="100">
        <v>6</v>
      </c>
      <c r="C68" s="104">
        <v>0.006282989998781145</v>
      </c>
      <c r="D68" s="100" t="s">
        <v>926</v>
      </c>
      <c r="E68" s="100" t="b">
        <v>0</v>
      </c>
      <c r="F68" s="100" t="b">
        <v>0</v>
      </c>
      <c r="G68" s="100" t="b">
        <v>0</v>
      </c>
    </row>
    <row r="69" spans="1:7" ht="15">
      <c r="A69" s="102" t="s">
        <v>777</v>
      </c>
      <c r="B69" s="100">
        <v>6</v>
      </c>
      <c r="C69" s="104">
        <v>0.007989025474536792</v>
      </c>
      <c r="D69" s="100" t="s">
        <v>926</v>
      </c>
      <c r="E69" s="100" t="b">
        <v>0</v>
      </c>
      <c r="F69" s="100" t="b">
        <v>0</v>
      </c>
      <c r="G69" s="100" t="b">
        <v>0</v>
      </c>
    </row>
    <row r="70" spans="1:7" ht="15">
      <c r="A70" s="102" t="s">
        <v>778</v>
      </c>
      <c r="B70" s="100">
        <v>6</v>
      </c>
      <c r="C70" s="104">
        <v>0.007989025474536792</v>
      </c>
      <c r="D70" s="100" t="s">
        <v>926</v>
      </c>
      <c r="E70" s="100" t="b">
        <v>0</v>
      </c>
      <c r="F70" s="100" t="b">
        <v>0</v>
      </c>
      <c r="G70" s="100" t="b">
        <v>0</v>
      </c>
    </row>
    <row r="71" spans="1:7" ht="15">
      <c r="A71" s="102" t="s">
        <v>779</v>
      </c>
      <c r="B71" s="100">
        <v>6</v>
      </c>
      <c r="C71" s="104">
        <v>0.007989025474536792</v>
      </c>
      <c r="D71" s="100" t="s">
        <v>926</v>
      </c>
      <c r="E71" s="100" t="b">
        <v>0</v>
      </c>
      <c r="F71" s="100" t="b">
        <v>0</v>
      </c>
      <c r="G71" s="100" t="b">
        <v>0</v>
      </c>
    </row>
    <row r="72" spans="1:7" ht="15">
      <c r="A72" s="102" t="s">
        <v>780</v>
      </c>
      <c r="B72" s="100">
        <v>6</v>
      </c>
      <c r="C72" s="104">
        <v>0.006282989998781145</v>
      </c>
      <c r="D72" s="100" t="s">
        <v>926</v>
      </c>
      <c r="E72" s="100" t="b">
        <v>0</v>
      </c>
      <c r="F72" s="100" t="b">
        <v>1</v>
      </c>
      <c r="G72" s="100" t="b">
        <v>0</v>
      </c>
    </row>
    <row r="73" spans="1:7" ht="15">
      <c r="A73" s="102" t="s">
        <v>781</v>
      </c>
      <c r="B73" s="100">
        <v>6</v>
      </c>
      <c r="C73" s="104">
        <v>0.006282989998781145</v>
      </c>
      <c r="D73" s="100" t="s">
        <v>926</v>
      </c>
      <c r="E73" s="100" t="b">
        <v>0</v>
      </c>
      <c r="F73" s="100" t="b">
        <v>0</v>
      </c>
      <c r="G73" s="100" t="b">
        <v>0</v>
      </c>
    </row>
    <row r="74" spans="1:7" ht="15">
      <c r="A74" s="102" t="s">
        <v>782</v>
      </c>
      <c r="B74" s="100">
        <v>6</v>
      </c>
      <c r="C74" s="104">
        <v>0.007989025474536792</v>
      </c>
      <c r="D74" s="100" t="s">
        <v>926</v>
      </c>
      <c r="E74" s="100" t="b">
        <v>0</v>
      </c>
      <c r="F74" s="100" t="b">
        <v>0</v>
      </c>
      <c r="G74" s="100" t="b">
        <v>0</v>
      </c>
    </row>
    <row r="75" spans="1:7" ht="15">
      <c r="A75" s="102" t="s">
        <v>783</v>
      </c>
      <c r="B75" s="100">
        <v>6</v>
      </c>
      <c r="C75" s="104">
        <v>0.006282989998781145</v>
      </c>
      <c r="D75" s="100" t="s">
        <v>926</v>
      </c>
      <c r="E75" s="100" t="b">
        <v>0</v>
      </c>
      <c r="F75" s="100" t="b">
        <v>0</v>
      </c>
      <c r="G75" s="100" t="b">
        <v>0</v>
      </c>
    </row>
    <row r="76" spans="1:7" ht="15">
      <c r="A76" s="102" t="s">
        <v>784</v>
      </c>
      <c r="B76" s="100">
        <v>6</v>
      </c>
      <c r="C76" s="104">
        <v>0.006282989998781145</v>
      </c>
      <c r="D76" s="100" t="s">
        <v>926</v>
      </c>
      <c r="E76" s="100" t="b">
        <v>1</v>
      </c>
      <c r="F76" s="100" t="b">
        <v>0</v>
      </c>
      <c r="G76" s="100" t="b">
        <v>0</v>
      </c>
    </row>
    <row r="77" spans="1:7" ht="15">
      <c r="A77" s="102" t="s">
        <v>785</v>
      </c>
      <c r="B77" s="100">
        <v>6</v>
      </c>
      <c r="C77" s="104">
        <v>0.006282989998781145</v>
      </c>
      <c r="D77" s="100" t="s">
        <v>926</v>
      </c>
      <c r="E77" s="100" t="b">
        <v>1</v>
      </c>
      <c r="F77" s="100" t="b">
        <v>0</v>
      </c>
      <c r="G77" s="100" t="b">
        <v>0</v>
      </c>
    </row>
    <row r="78" spans="1:7" ht="15">
      <c r="A78" s="102" t="s">
        <v>786</v>
      </c>
      <c r="B78" s="100">
        <v>5</v>
      </c>
      <c r="C78" s="104">
        <v>0.00547176434954336</v>
      </c>
      <c r="D78" s="100" t="s">
        <v>926</v>
      </c>
      <c r="E78" s="100" t="b">
        <v>0</v>
      </c>
      <c r="F78" s="100" t="b">
        <v>0</v>
      </c>
      <c r="G78" s="100" t="b">
        <v>0</v>
      </c>
    </row>
    <row r="79" spans="1:7" ht="15">
      <c r="A79" s="102" t="s">
        <v>787</v>
      </c>
      <c r="B79" s="100">
        <v>5</v>
      </c>
      <c r="C79" s="104">
        <v>0.00547176434954336</v>
      </c>
      <c r="D79" s="100" t="s">
        <v>926</v>
      </c>
      <c r="E79" s="100" t="b">
        <v>0</v>
      </c>
      <c r="F79" s="100" t="b">
        <v>0</v>
      </c>
      <c r="G79" s="100" t="b">
        <v>0</v>
      </c>
    </row>
    <row r="80" spans="1:7" ht="15">
      <c r="A80" s="102" t="s">
        <v>788</v>
      </c>
      <c r="B80" s="100">
        <v>5</v>
      </c>
      <c r="C80" s="104">
        <v>0.00547176434954336</v>
      </c>
      <c r="D80" s="100" t="s">
        <v>926</v>
      </c>
      <c r="E80" s="100" t="b">
        <v>0</v>
      </c>
      <c r="F80" s="100" t="b">
        <v>0</v>
      </c>
      <c r="G80" s="100" t="b">
        <v>0</v>
      </c>
    </row>
    <row r="81" spans="1:7" ht="15">
      <c r="A81" s="102" t="s">
        <v>789</v>
      </c>
      <c r="B81" s="100">
        <v>5</v>
      </c>
      <c r="C81" s="104">
        <v>0.00547176434954336</v>
      </c>
      <c r="D81" s="100" t="s">
        <v>926</v>
      </c>
      <c r="E81" s="100" t="b">
        <v>0</v>
      </c>
      <c r="F81" s="100" t="b">
        <v>1</v>
      </c>
      <c r="G81" s="100" t="b">
        <v>0</v>
      </c>
    </row>
    <row r="82" spans="1:7" ht="15">
      <c r="A82" s="102" t="s">
        <v>790</v>
      </c>
      <c r="B82" s="100">
        <v>5</v>
      </c>
      <c r="C82" s="104">
        <v>0.00547176434954336</v>
      </c>
      <c r="D82" s="100" t="s">
        <v>926</v>
      </c>
      <c r="E82" s="100" t="b">
        <v>0</v>
      </c>
      <c r="F82" s="100" t="b">
        <v>0</v>
      </c>
      <c r="G82" s="100" t="b">
        <v>0</v>
      </c>
    </row>
    <row r="83" spans="1:7" ht="15">
      <c r="A83" s="102" t="s">
        <v>791</v>
      </c>
      <c r="B83" s="100">
        <v>5</v>
      </c>
      <c r="C83" s="104">
        <v>0.00547176434954336</v>
      </c>
      <c r="D83" s="100" t="s">
        <v>926</v>
      </c>
      <c r="E83" s="100" t="b">
        <v>0</v>
      </c>
      <c r="F83" s="100" t="b">
        <v>0</v>
      </c>
      <c r="G83" s="100" t="b">
        <v>0</v>
      </c>
    </row>
    <row r="84" spans="1:7" ht="15">
      <c r="A84" s="102" t="s">
        <v>792</v>
      </c>
      <c r="B84" s="100">
        <v>5</v>
      </c>
      <c r="C84" s="104">
        <v>0.00547176434954336</v>
      </c>
      <c r="D84" s="100" t="s">
        <v>926</v>
      </c>
      <c r="E84" s="100" t="b">
        <v>0</v>
      </c>
      <c r="F84" s="100" t="b">
        <v>0</v>
      </c>
      <c r="G84" s="100" t="b">
        <v>0</v>
      </c>
    </row>
    <row r="85" spans="1:7" ht="15">
      <c r="A85" s="102" t="s">
        <v>793</v>
      </c>
      <c r="B85" s="100">
        <v>5</v>
      </c>
      <c r="C85" s="104">
        <v>0.00547176434954336</v>
      </c>
      <c r="D85" s="100" t="s">
        <v>926</v>
      </c>
      <c r="E85" s="100" t="b">
        <v>0</v>
      </c>
      <c r="F85" s="100" t="b">
        <v>0</v>
      </c>
      <c r="G85" s="100" t="b">
        <v>0</v>
      </c>
    </row>
    <row r="86" spans="1:7" ht="15">
      <c r="A86" s="102" t="s">
        <v>794</v>
      </c>
      <c r="B86" s="100">
        <v>5</v>
      </c>
      <c r="C86" s="104">
        <v>0.00547176434954336</v>
      </c>
      <c r="D86" s="100" t="s">
        <v>926</v>
      </c>
      <c r="E86" s="100" t="b">
        <v>0</v>
      </c>
      <c r="F86" s="100" t="b">
        <v>0</v>
      </c>
      <c r="G86" s="100" t="b">
        <v>0</v>
      </c>
    </row>
    <row r="87" spans="1:7" ht="15">
      <c r="A87" s="102" t="s">
        <v>795</v>
      </c>
      <c r="B87" s="100">
        <v>5</v>
      </c>
      <c r="C87" s="104">
        <v>0.005760530776861764</v>
      </c>
      <c r="D87" s="100" t="s">
        <v>926</v>
      </c>
      <c r="E87" s="100" t="b">
        <v>0</v>
      </c>
      <c r="F87" s="100" t="b">
        <v>0</v>
      </c>
      <c r="G87" s="100" t="b">
        <v>0</v>
      </c>
    </row>
    <row r="88" spans="1:7" ht="15">
      <c r="A88" s="102" t="s">
        <v>796</v>
      </c>
      <c r="B88" s="100">
        <v>5</v>
      </c>
      <c r="C88" s="104">
        <v>0.005760530776861764</v>
      </c>
      <c r="D88" s="100" t="s">
        <v>926</v>
      </c>
      <c r="E88" s="100" t="b">
        <v>0</v>
      </c>
      <c r="F88" s="100" t="b">
        <v>0</v>
      </c>
      <c r="G88" s="100" t="b">
        <v>0</v>
      </c>
    </row>
    <row r="89" spans="1:7" ht="15">
      <c r="A89" s="102" t="s">
        <v>797</v>
      </c>
      <c r="B89" s="100">
        <v>5</v>
      </c>
      <c r="C89" s="104">
        <v>0.00547176434954336</v>
      </c>
      <c r="D89" s="100" t="s">
        <v>926</v>
      </c>
      <c r="E89" s="100" t="b">
        <v>1</v>
      </c>
      <c r="F89" s="100" t="b">
        <v>0</v>
      </c>
      <c r="G89" s="100" t="b">
        <v>0</v>
      </c>
    </row>
    <row r="90" spans="1:7" ht="15">
      <c r="A90" s="102" t="s">
        <v>798</v>
      </c>
      <c r="B90" s="100">
        <v>5</v>
      </c>
      <c r="C90" s="104">
        <v>0.00547176434954336</v>
      </c>
      <c r="D90" s="100" t="s">
        <v>926</v>
      </c>
      <c r="E90" s="100" t="b">
        <v>0</v>
      </c>
      <c r="F90" s="100" t="b">
        <v>1</v>
      </c>
      <c r="G90" s="100" t="b">
        <v>0</v>
      </c>
    </row>
    <row r="91" spans="1:7" ht="15">
      <c r="A91" s="102" t="s">
        <v>799</v>
      </c>
      <c r="B91" s="100">
        <v>5</v>
      </c>
      <c r="C91" s="104">
        <v>0.00547176434954336</v>
      </c>
      <c r="D91" s="100" t="s">
        <v>926</v>
      </c>
      <c r="E91" s="100" t="b">
        <v>0</v>
      </c>
      <c r="F91" s="100" t="b">
        <v>0</v>
      </c>
      <c r="G91" s="100" t="b">
        <v>0</v>
      </c>
    </row>
    <row r="92" spans="1:7" ht="15">
      <c r="A92" s="102" t="s">
        <v>800</v>
      </c>
      <c r="B92" s="100">
        <v>5</v>
      </c>
      <c r="C92" s="104">
        <v>0.005760530776861764</v>
      </c>
      <c r="D92" s="100" t="s">
        <v>926</v>
      </c>
      <c r="E92" s="100" t="b">
        <v>0</v>
      </c>
      <c r="F92" s="100" t="b">
        <v>0</v>
      </c>
      <c r="G92" s="100" t="b">
        <v>0</v>
      </c>
    </row>
    <row r="93" spans="1:7" ht="15">
      <c r="A93" s="102" t="s">
        <v>801</v>
      </c>
      <c r="B93" s="100">
        <v>5</v>
      </c>
      <c r="C93" s="104">
        <v>0.00547176434954336</v>
      </c>
      <c r="D93" s="100" t="s">
        <v>926</v>
      </c>
      <c r="E93" s="100" t="b">
        <v>0</v>
      </c>
      <c r="F93" s="100" t="b">
        <v>0</v>
      </c>
      <c r="G93" s="100" t="b">
        <v>0</v>
      </c>
    </row>
    <row r="94" spans="1:7" ht="15">
      <c r="A94" s="102" t="s">
        <v>802</v>
      </c>
      <c r="B94" s="100">
        <v>5</v>
      </c>
      <c r="C94" s="104">
        <v>0.00547176434954336</v>
      </c>
      <c r="D94" s="100" t="s">
        <v>926</v>
      </c>
      <c r="E94" s="100" t="b">
        <v>0</v>
      </c>
      <c r="F94" s="100" t="b">
        <v>0</v>
      </c>
      <c r="G94" s="100" t="b">
        <v>0</v>
      </c>
    </row>
    <row r="95" spans="1:7" ht="15">
      <c r="A95" s="102" t="s">
        <v>803</v>
      </c>
      <c r="B95" s="100">
        <v>5</v>
      </c>
      <c r="C95" s="104">
        <v>0.00547176434954336</v>
      </c>
      <c r="D95" s="100" t="s">
        <v>926</v>
      </c>
      <c r="E95" s="100" t="b">
        <v>0</v>
      </c>
      <c r="F95" s="100" t="b">
        <v>0</v>
      </c>
      <c r="G95" s="100" t="b">
        <v>0</v>
      </c>
    </row>
    <row r="96" spans="1:7" ht="15">
      <c r="A96" s="102" t="s">
        <v>804</v>
      </c>
      <c r="B96" s="100">
        <v>5</v>
      </c>
      <c r="C96" s="104">
        <v>0.005760530776861764</v>
      </c>
      <c r="D96" s="100" t="s">
        <v>926</v>
      </c>
      <c r="E96" s="100" t="b">
        <v>0</v>
      </c>
      <c r="F96" s="100" t="b">
        <v>0</v>
      </c>
      <c r="G96" s="100" t="b">
        <v>0</v>
      </c>
    </row>
    <row r="97" spans="1:7" ht="15">
      <c r="A97" s="102" t="s">
        <v>805</v>
      </c>
      <c r="B97" s="100">
        <v>5</v>
      </c>
      <c r="C97" s="104">
        <v>0.005760530776861764</v>
      </c>
      <c r="D97" s="100" t="s">
        <v>926</v>
      </c>
      <c r="E97" s="100" t="b">
        <v>0</v>
      </c>
      <c r="F97" s="100" t="b">
        <v>0</v>
      </c>
      <c r="G97" s="100" t="b">
        <v>0</v>
      </c>
    </row>
    <row r="98" spans="1:7" ht="15">
      <c r="A98" s="102" t="s">
        <v>806</v>
      </c>
      <c r="B98" s="100">
        <v>5</v>
      </c>
      <c r="C98" s="104">
        <v>0.00547176434954336</v>
      </c>
      <c r="D98" s="100" t="s">
        <v>926</v>
      </c>
      <c r="E98" s="100" t="b">
        <v>0</v>
      </c>
      <c r="F98" s="100" t="b">
        <v>1</v>
      </c>
      <c r="G98" s="100" t="b">
        <v>0</v>
      </c>
    </row>
    <row r="99" spans="1:7" ht="15">
      <c r="A99" s="102" t="s">
        <v>807</v>
      </c>
      <c r="B99" s="100">
        <v>5</v>
      </c>
      <c r="C99" s="104">
        <v>0.00547176434954336</v>
      </c>
      <c r="D99" s="100" t="s">
        <v>926</v>
      </c>
      <c r="E99" s="100" t="b">
        <v>0</v>
      </c>
      <c r="F99" s="100" t="b">
        <v>0</v>
      </c>
      <c r="G99" s="100" t="b">
        <v>0</v>
      </c>
    </row>
    <row r="100" spans="1:7" ht="15">
      <c r="A100" s="102" t="s">
        <v>808</v>
      </c>
      <c r="B100" s="100">
        <v>5</v>
      </c>
      <c r="C100" s="104">
        <v>0.00547176434954336</v>
      </c>
      <c r="D100" s="100" t="s">
        <v>926</v>
      </c>
      <c r="E100" s="100" t="b">
        <v>0</v>
      </c>
      <c r="F100" s="100" t="b">
        <v>1</v>
      </c>
      <c r="G100" s="100" t="b">
        <v>0</v>
      </c>
    </row>
    <row r="101" spans="1:7" ht="15">
      <c r="A101" s="102" t="s">
        <v>809</v>
      </c>
      <c r="B101" s="100">
        <v>5</v>
      </c>
      <c r="C101" s="104">
        <v>0.00547176434954336</v>
      </c>
      <c r="D101" s="100" t="s">
        <v>926</v>
      </c>
      <c r="E101" s="100" t="b">
        <v>0</v>
      </c>
      <c r="F101" s="100" t="b">
        <v>0</v>
      </c>
      <c r="G101" s="100" t="b">
        <v>0</v>
      </c>
    </row>
    <row r="102" spans="1:7" ht="15">
      <c r="A102" s="102" t="s">
        <v>810</v>
      </c>
      <c r="B102" s="100">
        <v>5</v>
      </c>
      <c r="C102" s="104">
        <v>0.00547176434954336</v>
      </c>
      <c r="D102" s="100" t="s">
        <v>926</v>
      </c>
      <c r="E102" s="100" t="b">
        <v>0</v>
      </c>
      <c r="F102" s="100" t="b">
        <v>0</v>
      </c>
      <c r="G102" s="100" t="b">
        <v>0</v>
      </c>
    </row>
    <row r="103" spans="1:7" ht="15">
      <c r="A103" s="102" t="s">
        <v>811</v>
      </c>
      <c r="B103" s="100">
        <v>5</v>
      </c>
      <c r="C103" s="104">
        <v>0.00547176434954336</v>
      </c>
      <c r="D103" s="100" t="s">
        <v>926</v>
      </c>
      <c r="E103" s="100" t="b">
        <v>0</v>
      </c>
      <c r="F103" s="100" t="b">
        <v>0</v>
      </c>
      <c r="G103" s="100" t="b">
        <v>0</v>
      </c>
    </row>
    <row r="104" spans="1:7" ht="15">
      <c r="A104" s="102" t="s">
        <v>812</v>
      </c>
      <c r="B104" s="100">
        <v>5</v>
      </c>
      <c r="C104" s="104">
        <v>0.00547176434954336</v>
      </c>
      <c r="D104" s="100" t="s">
        <v>926</v>
      </c>
      <c r="E104" s="100" t="b">
        <v>0</v>
      </c>
      <c r="F104" s="100" t="b">
        <v>0</v>
      </c>
      <c r="G104" s="100" t="b">
        <v>0</v>
      </c>
    </row>
    <row r="105" spans="1:7" ht="15">
      <c r="A105" s="102" t="s">
        <v>813</v>
      </c>
      <c r="B105" s="100">
        <v>5</v>
      </c>
      <c r="C105" s="104">
        <v>0.00547176434954336</v>
      </c>
      <c r="D105" s="100" t="s">
        <v>926</v>
      </c>
      <c r="E105" s="100" t="b">
        <v>1</v>
      </c>
      <c r="F105" s="100" t="b">
        <v>0</v>
      </c>
      <c r="G105" s="100" t="b">
        <v>0</v>
      </c>
    </row>
    <row r="106" spans="1:7" ht="15">
      <c r="A106" s="102" t="s">
        <v>814</v>
      </c>
      <c r="B106" s="100">
        <v>5</v>
      </c>
      <c r="C106" s="104">
        <v>0.00547176434954336</v>
      </c>
      <c r="D106" s="100" t="s">
        <v>926</v>
      </c>
      <c r="E106" s="100" t="b">
        <v>0</v>
      </c>
      <c r="F106" s="100" t="b">
        <v>0</v>
      </c>
      <c r="G106" s="100" t="b">
        <v>0</v>
      </c>
    </row>
    <row r="107" spans="1:7" ht="15">
      <c r="A107" s="102" t="s">
        <v>815</v>
      </c>
      <c r="B107" s="100">
        <v>4</v>
      </c>
      <c r="C107" s="104">
        <v>0.004906252360722546</v>
      </c>
      <c r="D107" s="100" t="s">
        <v>926</v>
      </c>
      <c r="E107" s="100" t="b">
        <v>0</v>
      </c>
      <c r="F107" s="100" t="b">
        <v>0</v>
      </c>
      <c r="G107" s="100" t="b">
        <v>0</v>
      </c>
    </row>
    <row r="108" spans="1:7" ht="15">
      <c r="A108" s="102" t="s">
        <v>816</v>
      </c>
      <c r="B108" s="100">
        <v>4</v>
      </c>
      <c r="C108" s="104">
        <v>0.004608424621489411</v>
      </c>
      <c r="D108" s="100" t="s">
        <v>926</v>
      </c>
      <c r="E108" s="100" t="b">
        <v>0</v>
      </c>
      <c r="F108" s="100" t="b">
        <v>0</v>
      </c>
      <c r="G108" s="100" t="b">
        <v>0</v>
      </c>
    </row>
    <row r="109" spans="1:7" ht="15">
      <c r="A109" s="102" t="s">
        <v>817</v>
      </c>
      <c r="B109" s="100">
        <v>4</v>
      </c>
      <c r="C109" s="104">
        <v>0.004608424621489411</v>
      </c>
      <c r="D109" s="100" t="s">
        <v>926</v>
      </c>
      <c r="E109" s="100" t="b">
        <v>0</v>
      </c>
      <c r="F109" s="100" t="b">
        <v>1</v>
      </c>
      <c r="G109" s="100" t="b">
        <v>0</v>
      </c>
    </row>
    <row r="110" spans="1:7" ht="15">
      <c r="A110" s="102" t="s">
        <v>818</v>
      </c>
      <c r="B110" s="100">
        <v>4</v>
      </c>
      <c r="C110" s="104">
        <v>0.004608424621489411</v>
      </c>
      <c r="D110" s="100" t="s">
        <v>926</v>
      </c>
      <c r="E110" s="100" t="b">
        <v>1</v>
      </c>
      <c r="F110" s="100" t="b">
        <v>0</v>
      </c>
      <c r="G110" s="100" t="b">
        <v>0</v>
      </c>
    </row>
    <row r="111" spans="1:7" ht="15">
      <c r="A111" s="102" t="s">
        <v>819</v>
      </c>
      <c r="B111" s="100">
        <v>4</v>
      </c>
      <c r="C111" s="104">
        <v>0.004608424621489411</v>
      </c>
      <c r="D111" s="100" t="s">
        <v>926</v>
      </c>
      <c r="E111" s="100" t="b">
        <v>0</v>
      </c>
      <c r="F111" s="100" t="b">
        <v>0</v>
      </c>
      <c r="G111" s="100" t="b">
        <v>0</v>
      </c>
    </row>
    <row r="112" spans="1:7" ht="15">
      <c r="A112" s="102" t="s">
        <v>820</v>
      </c>
      <c r="B112" s="100">
        <v>4</v>
      </c>
      <c r="C112" s="104">
        <v>0.004608424621489411</v>
      </c>
      <c r="D112" s="100" t="s">
        <v>926</v>
      </c>
      <c r="E112" s="100" t="b">
        <v>1</v>
      </c>
      <c r="F112" s="100" t="b">
        <v>0</v>
      </c>
      <c r="G112" s="100" t="b">
        <v>0</v>
      </c>
    </row>
    <row r="113" spans="1:7" ht="15">
      <c r="A113" s="102" t="s">
        <v>821</v>
      </c>
      <c r="B113" s="100">
        <v>4</v>
      </c>
      <c r="C113" s="104">
        <v>0.004608424621489411</v>
      </c>
      <c r="D113" s="100" t="s">
        <v>926</v>
      </c>
      <c r="E113" s="100" t="b">
        <v>0</v>
      </c>
      <c r="F113" s="100" t="b">
        <v>0</v>
      </c>
      <c r="G113" s="100" t="b">
        <v>0</v>
      </c>
    </row>
    <row r="114" spans="1:7" ht="15">
      <c r="A114" s="102" t="s">
        <v>822</v>
      </c>
      <c r="B114" s="100">
        <v>4</v>
      </c>
      <c r="C114" s="104">
        <v>0.004608424621489411</v>
      </c>
      <c r="D114" s="100" t="s">
        <v>926</v>
      </c>
      <c r="E114" s="100" t="b">
        <v>0</v>
      </c>
      <c r="F114" s="100" t="b">
        <v>0</v>
      </c>
      <c r="G114" s="100" t="b">
        <v>0</v>
      </c>
    </row>
    <row r="115" spans="1:7" ht="15">
      <c r="A115" s="102" t="s">
        <v>823</v>
      </c>
      <c r="B115" s="100">
        <v>4</v>
      </c>
      <c r="C115" s="104">
        <v>0.004608424621489411</v>
      </c>
      <c r="D115" s="100" t="s">
        <v>926</v>
      </c>
      <c r="E115" s="100" t="b">
        <v>0</v>
      </c>
      <c r="F115" s="100" t="b">
        <v>0</v>
      </c>
      <c r="G115" s="100" t="b">
        <v>0</v>
      </c>
    </row>
    <row r="116" spans="1:7" ht="15">
      <c r="A116" s="102" t="s">
        <v>824</v>
      </c>
      <c r="B116" s="100">
        <v>4</v>
      </c>
      <c r="C116" s="104">
        <v>0.004608424621489411</v>
      </c>
      <c r="D116" s="100" t="s">
        <v>926</v>
      </c>
      <c r="E116" s="100" t="b">
        <v>0</v>
      </c>
      <c r="F116" s="100" t="b">
        <v>1</v>
      </c>
      <c r="G116" s="100" t="b">
        <v>0</v>
      </c>
    </row>
    <row r="117" spans="1:7" ht="15">
      <c r="A117" s="102" t="s">
        <v>825</v>
      </c>
      <c r="B117" s="100">
        <v>4</v>
      </c>
      <c r="C117" s="104">
        <v>0.004608424621489411</v>
      </c>
      <c r="D117" s="100" t="s">
        <v>926</v>
      </c>
      <c r="E117" s="100" t="b">
        <v>0</v>
      </c>
      <c r="F117" s="100" t="b">
        <v>0</v>
      </c>
      <c r="G117" s="100" t="b">
        <v>0</v>
      </c>
    </row>
    <row r="118" spans="1:7" ht="15">
      <c r="A118" s="102" t="s">
        <v>826</v>
      </c>
      <c r="B118" s="100">
        <v>3</v>
      </c>
      <c r="C118" s="104">
        <v>0.0036796892705419095</v>
      </c>
      <c r="D118" s="100" t="s">
        <v>926</v>
      </c>
      <c r="E118" s="100" t="b">
        <v>0</v>
      </c>
      <c r="F118" s="100" t="b">
        <v>0</v>
      </c>
      <c r="G118" s="100" t="b">
        <v>0</v>
      </c>
    </row>
    <row r="119" spans="1:7" ht="15">
      <c r="A119" s="102" t="s">
        <v>827</v>
      </c>
      <c r="B119" s="100">
        <v>3</v>
      </c>
      <c r="C119" s="104">
        <v>0.0036796892705419095</v>
      </c>
      <c r="D119" s="100" t="s">
        <v>926</v>
      </c>
      <c r="E119" s="100" t="b">
        <v>0</v>
      </c>
      <c r="F119" s="100" t="b">
        <v>0</v>
      </c>
      <c r="G119" s="100" t="b">
        <v>0</v>
      </c>
    </row>
    <row r="120" spans="1:7" ht="15">
      <c r="A120" s="102" t="s">
        <v>828</v>
      </c>
      <c r="B120" s="100">
        <v>3</v>
      </c>
      <c r="C120" s="104">
        <v>0.004532707008419732</v>
      </c>
      <c r="D120" s="100" t="s">
        <v>926</v>
      </c>
      <c r="E120" s="100" t="b">
        <v>0</v>
      </c>
      <c r="F120" s="100" t="b">
        <v>0</v>
      </c>
      <c r="G120" s="100" t="b">
        <v>0</v>
      </c>
    </row>
    <row r="121" spans="1:7" ht="15">
      <c r="A121" s="102" t="s">
        <v>829</v>
      </c>
      <c r="B121" s="100">
        <v>3</v>
      </c>
      <c r="C121" s="104">
        <v>0.004532707008419732</v>
      </c>
      <c r="D121" s="100" t="s">
        <v>926</v>
      </c>
      <c r="E121" s="100" t="b">
        <v>0</v>
      </c>
      <c r="F121" s="100" t="b">
        <v>0</v>
      </c>
      <c r="G121" s="100" t="b">
        <v>0</v>
      </c>
    </row>
    <row r="122" spans="1:7" ht="15">
      <c r="A122" s="102" t="s">
        <v>830</v>
      </c>
      <c r="B122" s="100">
        <v>3</v>
      </c>
      <c r="C122" s="104">
        <v>0.004532707008419732</v>
      </c>
      <c r="D122" s="100" t="s">
        <v>926</v>
      </c>
      <c r="E122" s="100" t="b">
        <v>0</v>
      </c>
      <c r="F122" s="100" t="b">
        <v>0</v>
      </c>
      <c r="G122" s="100" t="b">
        <v>0</v>
      </c>
    </row>
    <row r="123" spans="1:7" ht="15">
      <c r="A123" s="102" t="s">
        <v>831</v>
      </c>
      <c r="B123" s="100">
        <v>3</v>
      </c>
      <c r="C123" s="104">
        <v>0.004532707008419732</v>
      </c>
      <c r="D123" s="100" t="s">
        <v>926</v>
      </c>
      <c r="E123" s="100" t="b">
        <v>0</v>
      </c>
      <c r="F123" s="100" t="b">
        <v>0</v>
      </c>
      <c r="G123" s="100" t="b">
        <v>0</v>
      </c>
    </row>
    <row r="124" spans="1:7" ht="15">
      <c r="A124" s="102" t="s">
        <v>832</v>
      </c>
      <c r="B124" s="100">
        <v>3</v>
      </c>
      <c r="C124" s="104">
        <v>0.004532707008419732</v>
      </c>
      <c r="D124" s="100" t="s">
        <v>926</v>
      </c>
      <c r="E124" s="100" t="b">
        <v>0</v>
      </c>
      <c r="F124" s="100" t="b">
        <v>0</v>
      </c>
      <c r="G124" s="100" t="b">
        <v>0</v>
      </c>
    </row>
    <row r="125" spans="1:7" ht="15">
      <c r="A125" s="102" t="s">
        <v>833</v>
      </c>
      <c r="B125" s="100">
        <v>3</v>
      </c>
      <c r="C125" s="104">
        <v>0.004532707008419732</v>
      </c>
      <c r="D125" s="100" t="s">
        <v>926</v>
      </c>
      <c r="E125" s="100" t="b">
        <v>0</v>
      </c>
      <c r="F125" s="100" t="b">
        <v>0</v>
      </c>
      <c r="G125" s="100" t="b">
        <v>0</v>
      </c>
    </row>
    <row r="126" spans="1:7" ht="15">
      <c r="A126" s="102" t="s">
        <v>834</v>
      </c>
      <c r="B126" s="100">
        <v>3</v>
      </c>
      <c r="C126" s="104">
        <v>0.004532707008419732</v>
      </c>
      <c r="D126" s="100" t="s">
        <v>926</v>
      </c>
      <c r="E126" s="100" t="b">
        <v>0</v>
      </c>
      <c r="F126" s="100" t="b">
        <v>0</v>
      </c>
      <c r="G126" s="100" t="b">
        <v>0</v>
      </c>
    </row>
    <row r="127" spans="1:7" ht="15">
      <c r="A127" s="102" t="s">
        <v>835</v>
      </c>
      <c r="B127" s="100">
        <v>3</v>
      </c>
      <c r="C127" s="104">
        <v>0.004532707008419732</v>
      </c>
      <c r="D127" s="100" t="s">
        <v>926</v>
      </c>
      <c r="E127" s="100" t="b">
        <v>0</v>
      </c>
      <c r="F127" s="100" t="b">
        <v>0</v>
      </c>
      <c r="G127" s="100" t="b">
        <v>0</v>
      </c>
    </row>
    <row r="128" spans="1:7" ht="15">
      <c r="A128" s="102" t="s">
        <v>836</v>
      </c>
      <c r="B128" s="100">
        <v>3</v>
      </c>
      <c r="C128" s="104">
        <v>0.0036796892705419095</v>
      </c>
      <c r="D128" s="100" t="s">
        <v>926</v>
      </c>
      <c r="E128" s="100" t="b">
        <v>0</v>
      </c>
      <c r="F128" s="100" t="b">
        <v>0</v>
      </c>
      <c r="G128" s="100" t="b">
        <v>0</v>
      </c>
    </row>
    <row r="129" spans="1:7" ht="15">
      <c r="A129" s="102" t="s">
        <v>837</v>
      </c>
      <c r="B129" s="100">
        <v>3</v>
      </c>
      <c r="C129" s="104">
        <v>0.0036796892705419095</v>
      </c>
      <c r="D129" s="100" t="s">
        <v>926</v>
      </c>
      <c r="E129" s="100" t="b">
        <v>0</v>
      </c>
      <c r="F129" s="100" t="b">
        <v>0</v>
      </c>
      <c r="G129" s="100" t="b">
        <v>0</v>
      </c>
    </row>
    <row r="130" spans="1:7" ht="15">
      <c r="A130" s="102" t="s">
        <v>838</v>
      </c>
      <c r="B130" s="100">
        <v>3</v>
      </c>
      <c r="C130" s="104">
        <v>0.004532707008419732</v>
      </c>
      <c r="D130" s="100" t="s">
        <v>926</v>
      </c>
      <c r="E130" s="100" t="b">
        <v>0</v>
      </c>
      <c r="F130" s="100" t="b">
        <v>0</v>
      </c>
      <c r="G130" s="100" t="b">
        <v>0</v>
      </c>
    </row>
    <row r="131" spans="1:7" ht="15">
      <c r="A131" s="102" t="s">
        <v>839</v>
      </c>
      <c r="B131" s="100">
        <v>3</v>
      </c>
      <c r="C131" s="104">
        <v>0.004532707008419732</v>
      </c>
      <c r="D131" s="100" t="s">
        <v>926</v>
      </c>
      <c r="E131" s="100" t="b">
        <v>0</v>
      </c>
      <c r="F131" s="100" t="b">
        <v>0</v>
      </c>
      <c r="G131" s="100" t="b">
        <v>0</v>
      </c>
    </row>
    <row r="132" spans="1:7" ht="15">
      <c r="A132" s="102" t="s">
        <v>840</v>
      </c>
      <c r="B132" s="100">
        <v>3</v>
      </c>
      <c r="C132" s="104">
        <v>0.004532707008419732</v>
      </c>
      <c r="D132" s="100" t="s">
        <v>926</v>
      </c>
      <c r="E132" s="100" t="b">
        <v>0</v>
      </c>
      <c r="F132" s="100" t="b">
        <v>0</v>
      </c>
      <c r="G132" s="100" t="b">
        <v>0</v>
      </c>
    </row>
    <row r="133" spans="1:7" ht="15">
      <c r="A133" s="102" t="s">
        <v>841</v>
      </c>
      <c r="B133" s="100">
        <v>3</v>
      </c>
      <c r="C133" s="104">
        <v>0.0036796892705419095</v>
      </c>
      <c r="D133" s="100" t="s">
        <v>926</v>
      </c>
      <c r="E133" s="100" t="b">
        <v>0</v>
      </c>
      <c r="F133" s="100" t="b">
        <v>0</v>
      </c>
      <c r="G133" s="100" t="b">
        <v>0</v>
      </c>
    </row>
    <row r="134" spans="1:7" ht="15">
      <c r="A134" s="102" t="s">
        <v>842</v>
      </c>
      <c r="B134" s="100">
        <v>3</v>
      </c>
      <c r="C134" s="104">
        <v>0.0036796892705419095</v>
      </c>
      <c r="D134" s="100" t="s">
        <v>926</v>
      </c>
      <c r="E134" s="100" t="b">
        <v>0</v>
      </c>
      <c r="F134" s="100" t="b">
        <v>0</v>
      </c>
      <c r="G134" s="100" t="b">
        <v>0</v>
      </c>
    </row>
    <row r="135" spans="1:7" ht="15">
      <c r="A135" s="102" t="s">
        <v>843</v>
      </c>
      <c r="B135" s="100">
        <v>3</v>
      </c>
      <c r="C135" s="104">
        <v>0.0036796892705419095</v>
      </c>
      <c r="D135" s="100" t="s">
        <v>926</v>
      </c>
      <c r="E135" s="100" t="b">
        <v>0</v>
      </c>
      <c r="F135" s="100" t="b">
        <v>0</v>
      </c>
      <c r="G135" s="100" t="b">
        <v>0</v>
      </c>
    </row>
    <row r="136" spans="1:7" ht="15">
      <c r="A136" s="102" t="s">
        <v>844</v>
      </c>
      <c r="B136" s="100">
        <v>3</v>
      </c>
      <c r="C136" s="104">
        <v>0.0036796892705419095</v>
      </c>
      <c r="D136" s="100" t="s">
        <v>926</v>
      </c>
      <c r="E136" s="100" t="b">
        <v>0</v>
      </c>
      <c r="F136" s="100" t="b">
        <v>0</v>
      </c>
      <c r="G136" s="100" t="b">
        <v>0</v>
      </c>
    </row>
    <row r="137" spans="1:7" ht="15">
      <c r="A137" s="102" t="s">
        <v>845</v>
      </c>
      <c r="B137" s="100">
        <v>3</v>
      </c>
      <c r="C137" s="104">
        <v>0.004532707008419732</v>
      </c>
      <c r="D137" s="100" t="s">
        <v>926</v>
      </c>
      <c r="E137" s="100" t="b">
        <v>0</v>
      </c>
      <c r="F137" s="100" t="b">
        <v>0</v>
      </c>
      <c r="G137" s="100" t="b">
        <v>0</v>
      </c>
    </row>
    <row r="138" spans="1:7" ht="15">
      <c r="A138" s="102" t="s">
        <v>846</v>
      </c>
      <c r="B138" s="100">
        <v>3</v>
      </c>
      <c r="C138" s="104">
        <v>0.0036796892705419095</v>
      </c>
      <c r="D138" s="100" t="s">
        <v>926</v>
      </c>
      <c r="E138" s="100" t="b">
        <v>0</v>
      </c>
      <c r="F138" s="100" t="b">
        <v>0</v>
      </c>
      <c r="G138" s="100" t="b">
        <v>0</v>
      </c>
    </row>
    <row r="139" spans="1:7" ht="15">
      <c r="A139" s="102" t="s">
        <v>847</v>
      </c>
      <c r="B139" s="100">
        <v>3</v>
      </c>
      <c r="C139" s="104">
        <v>0.0036796892705419095</v>
      </c>
      <c r="D139" s="100" t="s">
        <v>926</v>
      </c>
      <c r="E139" s="100" t="b">
        <v>0</v>
      </c>
      <c r="F139" s="100" t="b">
        <v>0</v>
      </c>
      <c r="G139" s="100" t="b">
        <v>0</v>
      </c>
    </row>
    <row r="140" spans="1:7" ht="15">
      <c r="A140" s="102" t="s">
        <v>848</v>
      </c>
      <c r="B140" s="100">
        <v>3</v>
      </c>
      <c r="C140" s="104">
        <v>0.004532707008419732</v>
      </c>
      <c r="D140" s="100" t="s">
        <v>926</v>
      </c>
      <c r="E140" s="100" t="b">
        <v>0</v>
      </c>
      <c r="F140" s="100" t="b">
        <v>0</v>
      </c>
      <c r="G140" s="100" t="b">
        <v>0</v>
      </c>
    </row>
    <row r="141" spans="1:7" ht="15">
      <c r="A141" s="102" t="s">
        <v>849</v>
      </c>
      <c r="B141" s="100">
        <v>3</v>
      </c>
      <c r="C141" s="104">
        <v>0.004532707008419732</v>
      </c>
      <c r="D141" s="100" t="s">
        <v>926</v>
      </c>
      <c r="E141" s="100" t="b">
        <v>0</v>
      </c>
      <c r="F141" s="100" t="b">
        <v>0</v>
      </c>
      <c r="G141" s="100" t="b">
        <v>0</v>
      </c>
    </row>
    <row r="142" spans="1:7" ht="15">
      <c r="A142" s="102" t="s">
        <v>850</v>
      </c>
      <c r="B142" s="100">
        <v>3</v>
      </c>
      <c r="C142" s="104">
        <v>0.004532707008419732</v>
      </c>
      <c r="D142" s="100" t="s">
        <v>926</v>
      </c>
      <c r="E142" s="100" t="b">
        <v>0</v>
      </c>
      <c r="F142" s="100" t="b">
        <v>0</v>
      </c>
      <c r="G142" s="100" t="b">
        <v>0</v>
      </c>
    </row>
    <row r="143" spans="1:7" ht="15">
      <c r="A143" s="102" t="s">
        <v>851</v>
      </c>
      <c r="B143" s="100">
        <v>3</v>
      </c>
      <c r="C143" s="104">
        <v>0.004532707008419732</v>
      </c>
      <c r="D143" s="100" t="s">
        <v>926</v>
      </c>
      <c r="E143" s="100" t="b">
        <v>0</v>
      </c>
      <c r="F143" s="100" t="b">
        <v>0</v>
      </c>
      <c r="G143" s="100" t="b">
        <v>0</v>
      </c>
    </row>
    <row r="144" spans="1:7" ht="15">
      <c r="A144" s="102" t="s">
        <v>852</v>
      </c>
      <c r="B144" s="100">
        <v>3</v>
      </c>
      <c r="C144" s="104">
        <v>0.004532707008419732</v>
      </c>
      <c r="D144" s="100" t="s">
        <v>926</v>
      </c>
      <c r="E144" s="100" t="b">
        <v>0</v>
      </c>
      <c r="F144" s="100" t="b">
        <v>0</v>
      </c>
      <c r="G144" s="100" t="b">
        <v>0</v>
      </c>
    </row>
    <row r="145" spans="1:7" ht="15">
      <c r="A145" s="102" t="s">
        <v>853</v>
      </c>
      <c r="B145" s="100">
        <v>3</v>
      </c>
      <c r="C145" s="104">
        <v>0.004532707008419732</v>
      </c>
      <c r="D145" s="100" t="s">
        <v>926</v>
      </c>
      <c r="E145" s="100" t="b">
        <v>0</v>
      </c>
      <c r="F145" s="100" t="b">
        <v>0</v>
      </c>
      <c r="G145" s="100" t="b">
        <v>0</v>
      </c>
    </row>
    <row r="146" spans="1:7" ht="15">
      <c r="A146" s="102" t="s">
        <v>854</v>
      </c>
      <c r="B146" s="100">
        <v>3</v>
      </c>
      <c r="C146" s="104">
        <v>0.004532707008419732</v>
      </c>
      <c r="D146" s="100" t="s">
        <v>926</v>
      </c>
      <c r="E146" s="100" t="b">
        <v>0</v>
      </c>
      <c r="F146" s="100" t="b">
        <v>0</v>
      </c>
      <c r="G146" s="100" t="b">
        <v>0</v>
      </c>
    </row>
    <row r="147" spans="1:7" ht="15">
      <c r="A147" s="102" t="s">
        <v>855</v>
      </c>
      <c r="B147" s="100">
        <v>3</v>
      </c>
      <c r="C147" s="104">
        <v>0.004532707008419732</v>
      </c>
      <c r="D147" s="100" t="s">
        <v>926</v>
      </c>
      <c r="E147" s="100" t="b">
        <v>0</v>
      </c>
      <c r="F147" s="100" t="b">
        <v>0</v>
      </c>
      <c r="G147" s="100" t="b">
        <v>0</v>
      </c>
    </row>
    <row r="148" spans="1:7" ht="15">
      <c r="A148" s="102" t="s">
        <v>856</v>
      </c>
      <c r="B148" s="100">
        <v>3</v>
      </c>
      <c r="C148" s="104">
        <v>0.0036796892705419095</v>
      </c>
      <c r="D148" s="100" t="s">
        <v>926</v>
      </c>
      <c r="E148" s="100" t="b">
        <v>0</v>
      </c>
      <c r="F148" s="100" t="b">
        <v>0</v>
      </c>
      <c r="G148" s="100" t="b">
        <v>0</v>
      </c>
    </row>
    <row r="149" spans="1:7" ht="15">
      <c r="A149" s="102" t="s">
        <v>857</v>
      </c>
      <c r="B149" s="100">
        <v>3</v>
      </c>
      <c r="C149" s="104">
        <v>0.004532707008419732</v>
      </c>
      <c r="D149" s="100" t="s">
        <v>926</v>
      </c>
      <c r="E149" s="100" t="b">
        <v>0</v>
      </c>
      <c r="F149" s="100" t="b">
        <v>0</v>
      </c>
      <c r="G149" s="100" t="b">
        <v>0</v>
      </c>
    </row>
    <row r="150" spans="1:7" ht="15">
      <c r="A150" s="102" t="s">
        <v>858</v>
      </c>
      <c r="B150" s="100">
        <v>3</v>
      </c>
      <c r="C150" s="104">
        <v>0.0036796892705419095</v>
      </c>
      <c r="D150" s="100" t="s">
        <v>926</v>
      </c>
      <c r="E150" s="100" t="b">
        <v>0</v>
      </c>
      <c r="F150" s="100" t="b">
        <v>0</v>
      </c>
      <c r="G150" s="100" t="b">
        <v>0</v>
      </c>
    </row>
    <row r="151" spans="1:7" ht="15">
      <c r="A151" s="102" t="s">
        <v>462</v>
      </c>
      <c r="B151" s="100">
        <v>3</v>
      </c>
      <c r="C151" s="104">
        <v>0.0036796892705419095</v>
      </c>
      <c r="D151" s="100" t="s">
        <v>926</v>
      </c>
      <c r="E151" s="100" t="b">
        <v>0</v>
      </c>
      <c r="F151" s="100" t="b">
        <v>0</v>
      </c>
      <c r="G151" s="100" t="b">
        <v>0</v>
      </c>
    </row>
    <row r="152" spans="1:7" ht="15">
      <c r="A152" s="102" t="s">
        <v>859</v>
      </c>
      <c r="B152" s="100">
        <v>3</v>
      </c>
      <c r="C152" s="104">
        <v>0.004532707008419732</v>
      </c>
      <c r="D152" s="100" t="s">
        <v>926</v>
      </c>
      <c r="E152" s="100" t="b">
        <v>0</v>
      </c>
      <c r="F152" s="100" t="b">
        <v>0</v>
      </c>
      <c r="G152" s="100" t="b">
        <v>0</v>
      </c>
    </row>
    <row r="153" spans="1:7" ht="15">
      <c r="A153" s="102" t="s">
        <v>860</v>
      </c>
      <c r="B153" s="100">
        <v>3</v>
      </c>
      <c r="C153" s="104">
        <v>0.004532707008419732</v>
      </c>
      <c r="D153" s="100" t="s">
        <v>926</v>
      </c>
      <c r="E153" s="100" t="b">
        <v>0</v>
      </c>
      <c r="F153" s="100" t="b">
        <v>0</v>
      </c>
      <c r="G153" s="100" t="b">
        <v>0</v>
      </c>
    </row>
    <row r="154" spans="1:7" ht="15">
      <c r="A154" s="102" t="s">
        <v>861</v>
      </c>
      <c r="B154" s="100">
        <v>3</v>
      </c>
      <c r="C154" s="104">
        <v>0.003994512737268396</v>
      </c>
      <c r="D154" s="100" t="s">
        <v>926</v>
      </c>
      <c r="E154" s="100" t="b">
        <v>0</v>
      </c>
      <c r="F154" s="100" t="b">
        <v>0</v>
      </c>
      <c r="G154" s="100" t="b">
        <v>0</v>
      </c>
    </row>
    <row r="155" spans="1:7" ht="15">
      <c r="A155" s="102" t="s">
        <v>862</v>
      </c>
      <c r="B155" s="100">
        <v>3</v>
      </c>
      <c r="C155" s="104">
        <v>0.004532707008419732</v>
      </c>
      <c r="D155" s="100" t="s">
        <v>926</v>
      </c>
      <c r="E155" s="100" t="b">
        <v>0</v>
      </c>
      <c r="F155" s="100" t="b">
        <v>0</v>
      </c>
      <c r="G155" s="100" t="b">
        <v>0</v>
      </c>
    </row>
    <row r="156" spans="1:7" ht="15">
      <c r="A156" s="102" t="s">
        <v>863</v>
      </c>
      <c r="B156" s="100">
        <v>3</v>
      </c>
      <c r="C156" s="104">
        <v>0.004532707008419732</v>
      </c>
      <c r="D156" s="100" t="s">
        <v>926</v>
      </c>
      <c r="E156" s="100" t="b">
        <v>0</v>
      </c>
      <c r="F156" s="100" t="b">
        <v>0</v>
      </c>
      <c r="G156" s="100" t="b">
        <v>0</v>
      </c>
    </row>
    <row r="157" spans="1:7" ht="15">
      <c r="A157" s="102" t="s">
        <v>864</v>
      </c>
      <c r="B157" s="100">
        <v>3</v>
      </c>
      <c r="C157" s="104">
        <v>0.004532707008419732</v>
      </c>
      <c r="D157" s="100" t="s">
        <v>926</v>
      </c>
      <c r="E157" s="100" t="b">
        <v>0</v>
      </c>
      <c r="F157" s="100" t="b">
        <v>0</v>
      </c>
      <c r="G157" s="100" t="b">
        <v>0</v>
      </c>
    </row>
    <row r="158" spans="1:7" ht="15">
      <c r="A158" s="102" t="s">
        <v>865</v>
      </c>
      <c r="B158" s="100">
        <v>3</v>
      </c>
      <c r="C158" s="104">
        <v>0.004532707008419732</v>
      </c>
      <c r="D158" s="100" t="s">
        <v>926</v>
      </c>
      <c r="E158" s="100" t="b">
        <v>0</v>
      </c>
      <c r="F158" s="100" t="b">
        <v>0</v>
      </c>
      <c r="G158" s="100" t="b">
        <v>0</v>
      </c>
    </row>
    <row r="159" spans="1:7" ht="15">
      <c r="A159" s="102" t="s">
        <v>866</v>
      </c>
      <c r="B159" s="100">
        <v>3</v>
      </c>
      <c r="C159" s="104">
        <v>0.004532707008419732</v>
      </c>
      <c r="D159" s="100" t="s">
        <v>926</v>
      </c>
      <c r="E159" s="100" t="b">
        <v>0</v>
      </c>
      <c r="F159" s="100" t="b">
        <v>0</v>
      </c>
      <c r="G159" s="100" t="b">
        <v>0</v>
      </c>
    </row>
    <row r="160" spans="1:7" ht="15">
      <c r="A160" s="102" t="s">
        <v>867</v>
      </c>
      <c r="B160" s="100">
        <v>3</v>
      </c>
      <c r="C160" s="104">
        <v>0.004532707008419732</v>
      </c>
      <c r="D160" s="100" t="s">
        <v>926</v>
      </c>
      <c r="E160" s="100" t="b">
        <v>0</v>
      </c>
      <c r="F160" s="100" t="b">
        <v>0</v>
      </c>
      <c r="G160" s="100" t="b">
        <v>0</v>
      </c>
    </row>
    <row r="161" spans="1:7" ht="15">
      <c r="A161" s="102" t="s">
        <v>868</v>
      </c>
      <c r="B161" s="100">
        <v>3</v>
      </c>
      <c r="C161" s="104">
        <v>0.004532707008419732</v>
      </c>
      <c r="D161" s="100" t="s">
        <v>926</v>
      </c>
      <c r="E161" s="100" t="b">
        <v>0</v>
      </c>
      <c r="F161" s="100" t="b">
        <v>0</v>
      </c>
      <c r="G161" s="100" t="b">
        <v>0</v>
      </c>
    </row>
    <row r="162" spans="1:7" ht="15">
      <c r="A162" s="102" t="s">
        <v>869</v>
      </c>
      <c r="B162" s="100">
        <v>3</v>
      </c>
      <c r="C162" s="104">
        <v>0.004532707008419732</v>
      </c>
      <c r="D162" s="100" t="s">
        <v>926</v>
      </c>
      <c r="E162" s="100" t="b">
        <v>0</v>
      </c>
      <c r="F162" s="100" t="b">
        <v>0</v>
      </c>
      <c r="G162" s="100" t="b">
        <v>0</v>
      </c>
    </row>
    <row r="163" spans="1:7" ht="15">
      <c r="A163" s="102" t="s">
        <v>870</v>
      </c>
      <c r="B163" s="100">
        <v>2</v>
      </c>
      <c r="C163" s="104">
        <v>0.0030218046722798216</v>
      </c>
      <c r="D163" s="100" t="s">
        <v>926</v>
      </c>
      <c r="E163" s="100" t="b">
        <v>0</v>
      </c>
      <c r="F163" s="100" t="b">
        <v>0</v>
      </c>
      <c r="G163" s="100" t="b">
        <v>0</v>
      </c>
    </row>
    <row r="164" spans="1:7" ht="15">
      <c r="A164" s="102" t="s">
        <v>871</v>
      </c>
      <c r="B164" s="100">
        <v>2</v>
      </c>
      <c r="C164" s="104">
        <v>0.0030218046722798216</v>
      </c>
      <c r="D164" s="100" t="s">
        <v>926</v>
      </c>
      <c r="E164" s="100" t="b">
        <v>0</v>
      </c>
      <c r="F164" s="100" t="b">
        <v>0</v>
      </c>
      <c r="G164" s="100" t="b">
        <v>0</v>
      </c>
    </row>
    <row r="165" spans="1:7" ht="15">
      <c r="A165" s="102" t="s">
        <v>872</v>
      </c>
      <c r="B165" s="100">
        <v>2</v>
      </c>
      <c r="C165" s="104">
        <v>0.0030218046722798216</v>
      </c>
      <c r="D165" s="100" t="s">
        <v>926</v>
      </c>
      <c r="E165" s="100" t="b">
        <v>0</v>
      </c>
      <c r="F165" s="100" t="b">
        <v>0</v>
      </c>
      <c r="G165" s="100" t="b">
        <v>0</v>
      </c>
    </row>
    <row r="166" spans="1:7" ht="15">
      <c r="A166" s="102" t="s">
        <v>873</v>
      </c>
      <c r="B166" s="100">
        <v>2</v>
      </c>
      <c r="C166" s="104">
        <v>0.0030218046722798216</v>
      </c>
      <c r="D166" s="100" t="s">
        <v>926</v>
      </c>
      <c r="E166" s="100" t="b">
        <v>0</v>
      </c>
      <c r="F166" s="100" t="b">
        <v>0</v>
      </c>
      <c r="G166" s="100" t="b">
        <v>0</v>
      </c>
    </row>
    <row r="167" spans="1:7" ht="15">
      <c r="A167" s="102" t="s">
        <v>874</v>
      </c>
      <c r="B167" s="100">
        <v>2</v>
      </c>
      <c r="C167" s="104">
        <v>0.0030218046722798216</v>
      </c>
      <c r="D167" s="100" t="s">
        <v>926</v>
      </c>
      <c r="E167" s="100" t="b">
        <v>0</v>
      </c>
      <c r="F167" s="100" t="b">
        <v>0</v>
      </c>
      <c r="G167" s="100" t="b">
        <v>0</v>
      </c>
    </row>
    <row r="168" spans="1:7" ht="15">
      <c r="A168" s="102" t="s">
        <v>875</v>
      </c>
      <c r="B168" s="100">
        <v>2</v>
      </c>
      <c r="C168" s="104">
        <v>0.0030218046722798216</v>
      </c>
      <c r="D168" s="100" t="s">
        <v>926</v>
      </c>
      <c r="E168" s="100" t="b">
        <v>0</v>
      </c>
      <c r="F168" s="100" t="b">
        <v>0</v>
      </c>
      <c r="G168" s="100" t="b">
        <v>0</v>
      </c>
    </row>
    <row r="169" spans="1:7" ht="15">
      <c r="A169" s="102" t="s">
        <v>876</v>
      </c>
      <c r="B169" s="100">
        <v>2</v>
      </c>
      <c r="C169" s="104">
        <v>0.0026630084915122637</v>
      </c>
      <c r="D169" s="100" t="s">
        <v>926</v>
      </c>
      <c r="E169" s="100" t="b">
        <v>1</v>
      </c>
      <c r="F169" s="100" t="b">
        <v>0</v>
      </c>
      <c r="G169" s="100" t="b">
        <v>0</v>
      </c>
    </row>
    <row r="170" spans="1:7" ht="15">
      <c r="A170" s="102" t="s">
        <v>877</v>
      </c>
      <c r="B170" s="100">
        <v>2</v>
      </c>
      <c r="C170" s="104">
        <v>0.0026630084915122637</v>
      </c>
      <c r="D170" s="100" t="s">
        <v>926</v>
      </c>
      <c r="E170" s="100" t="b">
        <v>0</v>
      </c>
      <c r="F170" s="100" t="b">
        <v>0</v>
      </c>
      <c r="G170" s="100" t="b">
        <v>0</v>
      </c>
    </row>
    <row r="171" spans="1:7" ht="15">
      <c r="A171" s="102" t="s">
        <v>878</v>
      </c>
      <c r="B171" s="100">
        <v>2</v>
      </c>
      <c r="C171" s="104">
        <v>0.0026630084915122637</v>
      </c>
      <c r="D171" s="100" t="s">
        <v>926</v>
      </c>
      <c r="E171" s="100" t="b">
        <v>0</v>
      </c>
      <c r="F171" s="100" t="b">
        <v>0</v>
      </c>
      <c r="G171" s="100" t="b">
        <v>0</v>
      </c>
    </row>
    <row r="172" spans="1:7" ht="15">
      <c r="A172" s="102" t="s">
        <v>879</v>
      </c>
      <c r="B172" s="100">
        <v>2</v>
      </c>
      <c r="C172" s="104">
        <v>0.0030218046722798216</v>
      </c>
      <c r="D172" s="100" t="s">
        <v>926</v>
      </c>
      <c r="E172" s="100" t="b">
        <v>0</v>
      </c>
      <c r="F172" s="100" t="b">
        <v>0</v>
      </c>
      <c r="G172" s="100" t="b">
        <v>0</v>
      </c>
    </row>
    <row r="173" spans="1:7" ht="15">
      <c r="A173" s="102" t="s">
        <v>880</v>
      </c>
      <c r="B173" s="100">
        <v>2</v>
      </c>
      <c r="C173" s="104">
        <v>0.0030218046722798216</v>
      </c>
      <c r="D173" s="100" t="s">
        <v>926</v>
      </c>
      <c r="E173" s="100" t="b">
        <v>0</v>
      </c>
      <c r="F173" s="100" t="b">
        <v>0</v>
      </c>
      <c r="G173" s="100" t="b">
        <v>0</v>
      </c>
    </row>
    <row r="174" spans="1:7" ht="15">
      <c r="A174" s="102" t="s">
        <v>881</v>
      </c>
      <c r="B174" s="100">
        <v>2</v>
      </c>
      <c r="C174" s="104">
        <v>0.0030218046722798216</v>
      </c>
      <c r="D174" s="100" t="s">
        <v>926</v>
      </c>
      <c r="E174" s="100" t="b">
        <v>0</v>
      </c>
      <c r="F174" s="100" t="b">
        <v>0</v>
      </c>
      <c r="G174" s="100" t="b">
        <v>0</v>
      </c>
    </row>
    <row r="175" spans="1:7" ht="15">
      <c r="A175" s="102" t="s">
        <v>882</v>
      </c>
      <c r="B175" s="100">
        <v>2</v>
      </c>
      <c r="C175" s="104">
        <v>0.0030218046722798216</v>
      </c>
      <c r="D175" s="100" t="s">
        <v>926</v>
      </c>
      <c r="E175" s="100" t="b">
        <v>0</v>
      </c>
      <c r="F175" s="100" t="b">
        <v>0</v>
      </c>
      <c r="G175" s="100" t="b">
        <v>0</v>
      </c>
    </row>
    <row r="176" spans="1:7" ht="15">
      <c r="A176" s="102" t="s">
        <v>883</v>
      </c>
      <c r="B176" s="100">
        <v>2</v>
      </c>
      <c r="C176" s="104">
        <v>0.0030218046722798216</v>
      </c>
      <c r="D176" s="100" t="s">
        <v>926</v>
      </c>
      <c r="E176" s="100" t="b">
        <v>0</v>
      </c>
      <c r="F176" s="100" t="b">
        <v>0</v>
      </c>
      <c r="G176" s="100" t="b">
        <v>0</v>
      </c>
    </row>
    <row r="177" spans="1:7" ht="15">
      <c r="A177" s="102" t="s">
        <v>884</v>
      </c>
      <c r="B177" s="100">
        <v>2</v>
      </c>
      <c r="C177" s="104">
        <v>0.0026630084915122637</v>
      </c>
      <c r="D177" s="100" t="s">
        <v>926</v>
      </c>
      <c r="E177" s="100" t="b">
        <v>0</v>
      </c>
      <c r="F177" s="100" t="b">
        <v>1</v>
      </c>
      <c r="G177" s="100" t="b">
        <v>0</v>
      </c>
    </row>
    <row r="178" spans="1:7" ht="15">
      <c r="A178" s="102" t="s">
        <v>885</v>
      </c>
      <c r="B178" s="100">
        <v>2</v>
      </c>
      <c r="C178" s="104">
        <v>0.0026630084915122637</v>
      </c>
      <c r="D178" s="100" t="s">
        <v>926</v>
      </c>
      <c r="E178" s="100" t="b">
        <v>0</v>
      </c>
      <c r="F178" s="100" t="b">
        <v>0</v>
      </c>
      <c r="G178" s="100" t="b">
        <v>0</v>
      </c>
    </row>
    <row r="179" spans="1:7" ht="15">
      <c r="A179" s="102" t="s">
        <v>886</v>
      </c>
      <c r="B179" s="100">
        <v>2</v>
      </c>
      <c r="C179" s="104">
        <v>0.0026630084915122637</v>
      </c>
      <c r="D179" s="100" t="s">
        <v>926</v>
      </c>
      <c r="E179" s="100" t="b">
        <v>0</v>
      </c>
      <c r="F179" s="100" t="b">
        <v>0</v>
      </c>
      <c r="G179" s="100" t="b">
        <v>0</v>
      </c>
    </row>
    <row r="180" spans="1:7" ht="15">
      <c r="A180" s="102" t="s">
        <v>887</v>
      </c>
      <c r="B180" s="100">
        <v>2</v>
      </c>
      <c r="C180" s="104">
        <v>0.0026630084915122637</v>
      </c>
      <c r="D180" s="100" t="s">
        <v>926</v>
      </c>
      <c r="E180" s="100" t="b">
        <v>0</v>
      </c>
      <c r="F180" s="100" t="b">
        <v>0</v>
      </c>
      <c r="G180" s="100" t="b">
        <v>0</v>
      </c>
    </row>
    <row r="181" spans="1:7" ht="15">
      <c r="A181" s="102" t="s">
        <v>888</v>
      </c>
      <c r="B181" s="100">
        <v>2</v>
      </c>
      <c r="C181" s="104">
        <v>0.0026630084915122637</v>
      </c>
      <c r="D181" s="100" t="s">
        <v>926</v>
      </c>
      <c r="E181" s="100" t="b">
        <v>0</v>
      </c>
      <c r="F181" s="100" t="b">
        <v>0</v>
      </c>
      <c r="G181" s="100" t="b">
        <v>0</v>
      </c>
    </row>
    <row r="182" spans="1:7" ht="15">
      <c r="A182" s="102" t="s">
        <v>889</v>
      </c>
      <c r="B182" s="100">
        <v>2</v>
      </c>
      <c r="C182" s="104">
        <v>0.0030218046722798216</v>
      </c>
      <c r="D182" s="100" t="s">
        <v>926</v>
      </c>
      <c r="E182" s="100" t="b">
        <v>0</v>
      </c>
      <c r="F182" s="100" t="b">
        <v>0</v>
      </c>
      <c r="G182" s="100" t="b">
        <v>0</v>
      </c>
    </row>
    <row r="183" spans="1:7" ht="15">
      <c r="A183" s="102" t="s">
        <v>890</v>
      </c>
      <c r="B183" s="100">
        <v>2</v>
      </c>
      <c r="C183" s="104">
        <v>0.0026630084915122637</v>
      </c>
      <c r="D183" s="100" t="s">
        <v>926</v>
      </c>
      <c r="E183" s="100" t="b">
        <v>0</v>
      </c>
      <c r="F183" s="100" t="b">
        <v>0</v>
      </c>
      <c r="G183" s="100" t="b">
        <v>0</v>
      </c>
    </row>
    <row r="184" spans="1:7" ht="15">
      <c r="A184" s="102" t="s">
        <v>891</v>
      </c>
      <c r="B184" s="100">
        <v>2</v>
      </c>
      <c r="C184" s="104">
        <v>0.0026630084915122637</v>
      </c>
      <c r="D184" s="100" t="s">
        <v>926</v>
      </c>
      <c r="E184" s="100" t="b">
        <v>0</v>
      </c>
      <c r="F184" s="100" t="b">
        <v>0</v>
      </c>
      <c r="G184" s="100" t="b">
        <v>0</v>
      </c>
    </row>
    <row r="185" spans="1:7" ht="15">
      <c r="A185" s="102" t="s">
        <v>892</v>
      </c>
      <c r="B185" s="100">
        <v>2</v>
      </c>
      <c r="C185" s="104">
        <v>0.0026630084915122637</v>
      </c>
      <c r="D185" s="100" t="s">
        <v>926</v>
      </c>
      <c r="E185" s="100" t="b">
        <v>0</v>
      </c>
      <c r="F185" s="100" t="b">
        <v>0</v>
      </c>
      <c r="G185" s="100" t="b">
        <v>0</v>
      </c>
    </row>
    <row r="186" spans="1:7" ht="15">
      <c r="A186" s="102" t="s">
        <v>893</v>
      </c>
      <c r="B186" s="100">
        <v>2</v>
      </c>
      <c r="C186" s="104">
        <v>0.0026630084915122637</v>
      </c>
      <c r="D186" s="100" t="s">
        <v>926</v>
      </c>
      <c r="E186" s="100" t="b">
        <v>0</v>
      </c>
      <c r="F186" s="100" t="b">
        <v>0</v>
      </c>
      <c r="G186" s="100" t="b">
        <v>0</v>
      </c>
    </row>
    <row r="187" spans="1:7" ht="15">
      <c r="A187" s="102" t="s">
        <v>894</v>
      </c>
      <c r="B187" s="100">
        <v>2</v>
      </c>
      <c r="C187" s="104">
        <v>0.0026630084915122637</v>
      </c>
      <c r="D187" s="100" t="s">
        <v>926</v>
      </c>
      <c r="E187" s="100" t="b">
        <v>0</v>
      </c>
      <c r="F187" s="100" t="b">
        <v>0</v>
      </c>
      <c r="G187" s="100" t="b">
        <v>0</v>
      </c>
    </row>
    <row r="188" spans="1:7" ht="15">
      <c r="A188" s="102" t="s">
        <v>895</v>
      </c>
      <c r="B188" s="100">
        <v>2</v>
      </c>
      <c r="C188" s="104">
        <v>0.0030218046722798216</v>
      </c>
      <c r="D188" s="100" t="s">
        <v>926</v>
      </c>
      <c r="E188" s="100" t="b">
        <v>0</v>
      </c>
      <c r="F188" s="100" t="b">
        <v>0</v>
      </c>
      <c r="G188" s="100" t="b">
        <v>0</v>
      </c>
    </row>
    <row r="189" spans="1:7" ht="15">
      <c r="A189" s="102" t="s">
        <v>896</v>
      </c>
      <c r="B189" s="100">
        <v>2</v>
      </c>
      <c r="C189" s="104">
        <v>0.0030218046722798216</v>
      </c>
      <c r="D189" s="100" t="s">
        <v>926</v>
      </c>
      <c r="E189" s="100" t="b">
        <v>0</v>
      </c>
      <c r="F189" s="100" t="b">
        <v>0</v>
      </c>
      <c r="G189" s="100" t="b">
        <v>0</v>
      </c>
    </row>
    <row r="190" spans="1:7" ht="15">
      <c r="A190" s="102" t="s">
        <v>897</v>
      </c>
      <c r="B190" s="100">
        <v>2</v>
      </c>
      <c r="C190" s="104">
        <v>0.0030218046722798216</v>
      </c>
      <c r="D190" s="100" t="s">
        <v>926</v>
      </c>
      <c r="E190" s="100" t="b">
        <v>0</v>
      </c>
      <c r="F190" s="100" t="b">
        <v>0</v>
      </c>
      <c r="G190" s="100" t="b">
        <v>0</v>
      </c>
    </row>
    <row r="191" spans="1:7" ht="15">
      <c r="A191" s="102" t="s">
        <v>898</v>
      </c>
      <c r="B191" s="100">
        <v>2</v>
      </c>
      <c r="C191" s="104">
        <v>0.0026630084915122637</v>
      </c>
      <c r="D191" s="100" t="s">
        <v>926</v>
      </c>
      <c r="E191" s="100" t="b">
        <v>0</v>
      </c>
      <c r="F191" s="100" t="b">
        <v>0</v>
      </c>
      <c r="G191" s="100" t="b">
        <v>0</v>
      </c>
    </row>
    <row r="192" spans="1:7" ht="15">
      <c r="A192" s="102" t="s">
        <v>899</v>
      </c>
      <c r="B192" s="100">
        <v>2</v>
      </c>
      <c r="C192" s="104">
        <v>0.0026630084915122637</v>
      </c>
      <c r="D192" s="100" t="s">
        <v>926</v>
      </c>
      <c r="E192" s="100" t="b">
        <v>0</v>
      </c>
      <c r="F192" s="100" t="b">
        <v>0</v>
      </c>
      <c r="G192" s="100" t="b">
        <v>0</v>
      </c>
    </row>
    <row r="193" spans="1:7" ht="15">
      <c r="A193" s="102" t="s">
        <v>900</v>
      </c>
      <c r="B193" s="100">
        <v>2</v>
      </c>
      <c r="C193" s="104">
        <v>0.0030218046722798216</v>
      </c>
      <c r="D193" s="100" t="s">
        <v>926</v>
      </c>
      <c r="E193" s="100" t="b">
        <v>0</v>
      </c>
      <c r="F193" s="100" t="b">
        <v>0</v>
      </c>
      <c r="G193" s="100" t="b">
        <v>0</v>
      </c>
    </row>
    <row r="194" spans="1:7" ht="15">
      <c r="A194" s="102" t="s">
        <v>901</v>
      </c>
      <c r="B194" s="100">
        <v>2</v>
      </c>
      <c r="C194" s="104">
        <v>0.0026630084915122637</v>
      </c>
      <c r="D194" s="100" t="s">
        <v>926</v>
      </c>
      <c r="E194" s="100" t="b">
        <v>0</v>
      </c>
      <c r="F194" s="100" t="b">
        <v>0</v>
      </c>
      <c r="G194" s="100" t="b">
        <v>0</v>
      </c>
    </row>
    <row r="195" spans="1:7" ht="15">
      <c r="A195" s="102" t="s">
        <v>902</v>
      </c>
      <c r="B195" s="100">
        <v>2</v>
      </c>
      <c r="C195" s="104">
        <v>0.0026630084915122637</v>
      </c>
      <c r="D195" s="100" t="s">
        <v>926</v>
      </c>
      <c r="E195" s="100" t="b">
        <v>0</v>
      </c>
      <c r="F195" s="100" t="b">
        <v>0</v>
      </c>
      <c r="G195" s="100" t="b">
        <v>0</v>
      </c>
    </row>
    <row r="196" spans="1:7" ht="15">
      <c r="A196" s="102" t="s">
        <v>903</v>
      </c>
      <c r="B196" s="100">
        <v>2</v>
      </c>
      <c r="C196" s="104">
        <v>0.0026630084915122637</v>
      </c>
      <c r="D196" s="100" t="s">
        <v>926</v>
      </c>
      <c r="E196" s="100" t="b">
        <v>0</v>
      </c>
      <c r="F196" s="100" t="b">
        <v>0</v>
      </c>
      <c r="G196" s="100" t="b">
        <v>0</v>
      </c>
    </row>
    <row r="197" spans="1:7" ht="15">
      <c r="A197" s="102" t="s">
        <v>904</v>
      </c>
      <c r="B197" s="100">
        <v>2</v>
      </c>
      <c r="C197" s="104">
        <v>0.0030218046722798216</v>
      </c>
      <c r="D197" s="100" t="s">
        <v>926</v>
      </c>
      <c r="E197" s="100" t="b">
        <v>0</v>
      </c>
      <c r="F197" s="100" t="b">
        <v>0</v>
      </c>
      <c r="G197" s="100" t="b">
        <v>0</v>
      </c>
    </row>
    <row r="198" spans="1:7" ht="15">
      <c r="A198" s="102" t="s">
        <v>905</v>
      </c>
      <c r="B198" s="100">
        <v>2</v>
      </c>
      <c r="C198" s="104">
        <v>0.0030218046722798216</v>
      </c>
      <c r="D198" s="100" t="s">
        <v>926</v>
      </c>
      <c r="E198" s="100" t="b">
        <v>0</v>
      </c>
      <c r="F198" s="100" t="b">
        <v>0</v>
      </c>
      <c r="G198" s="100" t="b">
        <v>0</v>
      </c>
    </row>
    <row r="199" spans="1:7" ht="15">
      <c r="A199" s="102" t="s">
        <v>906</v>
      </c>
      <c r="B199" s="100">
        <v>2</v>
      </c>
      <c r="C199" s="104">
        <v>0.0026630084915122637</v>
      </c>
      <c r="D199" s="100" t="s">
        <v>926</v>
      </c>
      <c r="E199" s="100" t="b">
        <v>0</v>
      </c>
      <c r="F199" s="100" t="b">
        <v>0</v>
      </c>
      <c r="G199" s="100" t="b">
        <v>0</v>
      </c>
    </row>
    <row r="200" spans="1:7" ht="15">
      <c r="A200" s="102" t="s">
        <v>907</v>
      </c>
      <c r="B200" s="100">
        <v>2</v>
      </c>
      <c r="C200" s="104">
        <v>0.0026630084915122637</v>
      </c>
      <c r="D200" s="100" t="s">
        <v>926</v>
      </c>
      <c r="E200" s="100" t="b">
        <v>0</v>
      </c>
      <c r="F200" s="100" t="b">
        <v>0</v>
      </c>
      <c r="G200" s="100" t="b">
        <v>0</v>
      </c>
    </row>
    <row r="201" spans="1:7" ht="15">
      <c r="A201" s="102" t="s">
        <v>908</v>
      </c>
      <c r="B201" s="100">
        <v>2</v>
      </c>
      <c r="C201" s="104">
        <v>0.0026630084915122637</v>
      </c>
      <c r="D201" s="100" t="s">
        <v>926</v>
      </c>
      <c r="E201" s="100" t="b">
        <v>0</v>
      </c>
      <c r="F201" s="100" t="b">
        <v>0</v>
      </c>
      <c r="G201" s="100" t="b">
        <v>0</v>
      </c>
    </row>
    <row r="202" spans="1:7" ht="15">
      <c r="A202" s="102" t="s">
        <v>909</v>
      </c>
      <c r="B202" s="100">
        <v>2</v>
      </c>
      <c r="C202" s="104">
        <v>0.0026630084915122637</v>
      </c>
      <c r="D202" s="100" t="s">
        <v>926</v>
      </c>
      <c r="E202" s="100" t="b">
        <v>0</v>
      </c>
      <c r="F202" s="100" t="b">
        <v>0</v>
      </c>
      <c r="G202" s="100" t="b">
        <v>0</v>
      </c>
    </row>
    <row r="203" spans="1:7" ht="15">
      <c r="A203" s="102" t="s">
        <v>910</v>
      </c>
      <c r="B203" s="100">
        <v>2</v>
      </c>
      <c r="C203" s="104">
        <v>0.0030218046722798216</v>
      </c>
      <c r="D203" s="100" t="s">
        <v>926</v>
      </c>
      <c r="E203" s="100" t="b">
        <v>0</v>
      </c>
      <c r="F203" s="100" t="b">
        <v>0</v>
      </c>
      <c r="G203" s="100" t="b">
        <v>0</v>
      </c>
    </row>
    <row r="204" spans="1:7" ht="15">
      <c r="A204" s="102" t="s">
        <v>911</v>
      </c>
      <c r="B204" s="100">
        <v>2</v>
      </c>
      <c r="C204" s="104">
        <v>0.0026630084915122637</v>
      </c>
      <c r="D204" s="100" t="s">
        <v>926</v>
      </c>
      <c r="E204" s="100" t="b">
        <v>0</v>
      </c>
      <c r="F204" s="100" t="b">
        <v>0</v>
      </c>
      <c r="G204" s="100" t="b">
        <v>0</v>
      </c>
    </row>
    <row r="205" spans="1:7" ht="15">
      <c r="A205" s="102" t="s">
        <v>912</v>
      </c>
      <c r="B205" s="100">
        <v>2</v>
      </c>
      <c r="C205" s="104">
        <v>0.0026630084915122637</v>
      </c>
      <c r="D205" s="100" t="s">
        <v>926</v>
      </c>
      <c r="E205" s="100" t="b">
        <v>0</v>
      </c>
      <c r="F205" s="100" t="b">
        <v>0</v>
      </c>
      <c r="G205" s="100" t="b">
        <v>0</v>
      </c>
    </row>
    <row r="206" spans="1:7" ht="15">
      <c r="A206" s="102" t="s">
        <v>913</v>
      </c>
      <c r="B206" s="100">
        <v>2</v>
      </c>
      <c r="C206" s="104">
        <v>0.0026630084915122637</v>
      </c>
      <c r="D206" s="100" t="s">
        <v>926</v>
      </c>
      <c r="E206" s="100" t="b">
        <v>0</v>
      </c>
      <c r="F206" s="100" t="b">
        <v>0</v>
      </c>
      <c r="G206" s="100" t="b">
        <v>0</v>
      </c>
    </row>
    <row r="207" spans="1:7" ht="15">
      <c r="A207" s="102" t="s">
        <v>914</v>
      </c>
      <c r="B207" s="100">
        <v>2</v>
      </c>
      <c r="C207" s="104">
        <v>0.0026630084915122637</v>
      </c>
      <c r="D207" s="100" t="s">
        <v>926</v>
      </c>
      <c r="E207" s="100" t="b">
        <v>0</v>
      </c>
      <c r="F207" s="100" t="b">
        <v>0</v>
      </c>
      <c r="G207" s="100" t="b">
        <v>0</v>
      </c>
    </row>
    <row r="208" spans="1:7" ht="15">
      <c r="A208" s="102" t="s">
        <v>915</v>
      </c>
      <c r="B208" s="100">
        <v>2</v>
      </c>
      <c r="C208" s="104">
        <v>0.0026630084915122637</v>
      </c>
      <c r="D208" s="100" t="s">
        <v>926</v>
      </c>
      <c r="E208" s="100" t="b">
        <v>0</v>
      </c>
      <c r="F208" s="100" t="b">
        <v>0</v>
      </c>
      <c r="G208" s="100" t="b">
        <v>0</v>
      </c>
    </row>
    <row r="209" spans="1:7" ht="15">
      <c r="A209" s="102" t="s">
        <v>916</v>
      </c>
      <c r="B209" s="100">
        <v>2</v>
      </c>
      <c r="C209" s="104">
        <v>0.0030218046722798216</v>
      </c>
      <c r="D209" s="100" t="s">
        <v>926</v>
      </c>
      <c r="E209" s="100" t="b">
        <v>0</v>
      </c>
      <c r="F209" s="100" t="b">
        <v>0</v>
      </c>
      <c r="G209" s="100" t="b">
        <v>0</v>
      </c>
    </row>
    <row r="210" spans="1:7" ht="15">
      <c r="A210" s="102" t="s">
        <v>917</v>
      </c>
      <c r="B210" s="100">
        <v>2</v>
      </c>
      <c r="C210" s="104">
        <v>0.0030218046722798216</v>
      </c>
      <c r="D210" s="100" t="s">
        <v>926</v>
      </c>
      <c r="E210" s="100" t="b">
        <v>0</v>
      </c>
      <c r="F210" s="100" t="b">
        <v>0</v>
      </c>
      <c r="G210" s="100" t="b">
        <v>0</v>
      </c>
    </row>
    <row r="211" spans="1:7" ht="15">
      <c r="A211" s="102" t="s">
        <v>918</v>
      </c>
      <c r="B211" s="100">
        <v>2</v>
      </c>
      <c r="C211" s="104">
        <v>0.0030218046722798216</v>
      </c>
      <c r="D211" s="100" t="s">
        <v>926</v>
      </c>
      <c r="E211" s="100" t="b">
        <v>0</v>
      </c>
      <c r="F211" s="100" t="b">
        <v>0</v>
      </c>
      <c r="G211" s="100" t="b">
        <v>0</v>
      </c>
    </row>
    <row r="212" spans="1:7" ht="15">
      <c r="A212" s="102" t="s">
        <v>919</v>
      </c>
      <c r="B212" s="100">
        <v>2</v>
      </c>
      <c r="C212" s="104">
        <v>0.0026630084915122637</v>
      </c>
      <c r="D212" s="100" t="s">
        <v>926</v>
      </c>
      <c r="E212" s="100" t="b">
        <v>0</v>
      </c>
      <c r="F212" s="100" t="b">
        <v>0</v>
      </c>
      <c r="G212" s="100" t="b">
        <v>0</v>
      </c>
    </row>
    <row r="213" spans="1:7" ht="15">
      <c r="A213" s="102" t="s">
        <v>920</v>
      </c>
      <c r="B213" s="100">
        <v>2</v>
      </c>
      <c r="C213" s="104">
        <v>0.0026630084915122637</v>
      </c>
      <c r="D213" s="100" t="s">
        <v>926</v>
      </c>
      <c r="E213" s="100" t="b">
        <v>0</v>
      </c>
      <c r="F213" s="100" t="b">
        <v>0</v>
      </c>
      <c r="G213" s="100" t="b">
        <v>0</v>
      </c>
    </row>
    <row r="214" spans="1:7" ht="15">
      <c r="A214" s="102" t="s">
        <v>718</v>
      </c>
      <c r="B214" s="100">
        <v>27</v>
      </c>
      <c r="C214" s="104">
        <v>0.0421690355880757</v>
      </c>
      <c r="D214" s="100" t="s">
        <v>688</v>
      </c>
      <c r="E214" s="100" t="b">
        <v>0</v>
      </c>
      <c r="F214" s="100" t="b">
        <v>0</v>
      </c>
      <c r="G214" s="100" t="b">
        <v>0</v>
      </c>
    </row>
    <row r="215" spans="1:7" ht="15">
      <c r="A215" s="102" t="s">
        <v>722</v>
      </c>
      <c r="B215" s="100">
        <v>16</v>
      </c>
      <c r="C215" s="104">
        <v>0.029546733199966334</v>
      </c>
      <c r="D215" s="100" t="s">
        <v>688</v>
      </c>
      <c r="E215" s="100" t="b">
        <v>0</v>
      </c>
      <c r="F215" s="100" t="b">
        <v>0</v>
      </c>
      <c r="G215" s="100" t="b">
        <v>0</v>
      </c>
    </row>
    <row r="216" spans="1:7" ht="15">
      <c r="A216" s="102" t="s">
        <v>725</v>
      </c>
      <c r="B216" s="100">
        <v>16</v>
      </c>
      <c r="C216" s="104">
        <v>0.029546733199966334</v>
      </c>
      <c r="D216" s="100" t="s">
        <v>688</v>
      </c>
      <c r="E216" s="100" t="b">
        <v>0</v>
      </c>
      <c r="F216" s="100" t="b">
        <v>0</v>
      </c>
      <c r="G216" s="100" t="b">
        <v>0</v>
      </c>
    </row>
    <row r="217" spans="1:7" ht="15">
      <c r="A217" s="102" t="s">
        <v>723</v>
      </c>
      <c r="B217" s="100">
        <v>16</v>
      </c>
      <c r="C217" s="104">
        <v>0.029546733199966334</v>
      </c>
      <c r="D217" s="100" t="s">
        <v>688</v>
      </c>
      <c r="E217" s="100" t="b">
        <v>0</v>
      </c>
      <c r="F217" s="100" t="b">
        <v>0</v>
      </c>
      <c r="G217" s="100" t="b">
        <v>0</v>
      </c>
    </row>
    <row r="218" spans="1:7" ht="15">
      <c r="A218" s="102" t="s">
        <v>719</v>
      </c>
      <c r="B218" s="100">
        <v>16</v>
      </c>
      <c r="C218" s="104">
        <v>0.0400639092309719</v>
      </c>
      <c r="D218" s="100" t="s">
        <v>688</v>
      </c>
      <c r="E218" s="100" t="b">
        <v>0</v>
      </c>
      <c r="F218" s="100" t="b">
        <v>0</v>
      </c>
      <c r="G218" s="100" t="b">
        <v>0</v>
      </c>
    </row>
    <row r="219" spans="1:7" ht="15">
      <c r="A219" s="102" t="s">
        <v>721</v>
      </c>
      <c r="B219" s="100">
        <v>14</v>
      </c>
      <c r="C219" s="104">
        <v>0.024751715346548492</v>
      </c>
      <c r="D219" s="100" t="s">
        <v>688</v>
      </c>
      <c r="E219" s="100" t="b">
        <v>0</v>
      </c>
      <c r="F219" s="100" t="b">
        <v>0</v>
      </c>
      <c r="G219" s="100" t="b">
        <v>0</v>
      </c>
    </row>
    <row r="220" spans="1:7" ht="15">
      <c r="A220" s="102" t="s">
        <v>724</v>
      </c>
      <c r="B220" s="100">
        <v>12</v>
      </c>
      <c r="C220" s="104">
        <v>0.023179964998044537</v>
      </c>
      <c r="D220" s="100" t="s">
        <v>688</v>
      </c>
      <c r="E220" s="100" t="b">
        <v>0</v>
      </c>
      <c r="F220" s="100" t="b">
        <v>0</v>
      </c>
      <c r="G220" s="100" t="b">
        <v>0</v>
      </c>
    </row>
    <row r="221" spans="1:7" ht="15">
      <c r="A221" s="102" t="s">
        <v>748</v>
      </c>
      <c r="B221" s="100">
        <v>7</v>
      </c>
      <c r="C221" s="104">
        <v>0.020028929114339126</v>
      </c>
      <c r="D221" s="100" t="s">
        <v>688</v>
      </c>
      <c r="E221" s="100" t="b">
        <v>0</v>
      </c>
      <c r="F221" s="100" t="b">
        <v>0</v>
      </c>
      <c r="G221" s="100" t="b">
        <v>0</v>
      </c>
    </row>
    <row r="222" spans="1:7" ht="15">
      <c r="A222" s="102" t="s">
        <v>750</v>
      </c>
      <c r="B222" s="100">
        <v>6</v>
      </c>
      <c r="C222" s="104">
        <v>0.016006070454973095</v>
      </c>
      <c r="D222" s="100" t="s">
        <v>688</v>
      </c>
      <c r="E222" s="100" t="b">
        <v>0</v>
      </c>
      <c r="F222" s="100" t="b">
        <v>1</v>
      </c>
      <c r="G222" s="100" t="b">
        <v>0</v>
      </c>
    </row>
    <row r="223" spans="1:7" ht="15">
      <c r="A223" s="102" t="s">
        <v>751</v>
      </c>
      <c r="B223" s="100">
        <v>6</v>
      </c>
      <c r="C223" s="104">
        <v>0.016006070454973095</v>
      </c>
      <c r="D223" s="100" t="s">
        <v>688</v>
      </c>
      <c r="E223" s="100" t="b">
        <v>0</v>
      </c>
      <c r="F223" s="100" t="b">
        <v>1</v>
      </c>
      <c r="G223" s="100" t="b">
        <v>0</v>
      </c>
    </row>
    <row r="224" spans="1:7" ht="15">
      <c r="A224" s="102" t="s">
        <v>752</v>
      </c>
      <c r="B224" s="100">
        <v>6</v>
      </c>
      <c r="C224" s="104">
        <v>0.016006070454973095</v>
      </c>
      <c r="D224" s="100" t="s">
        <v>688</v>
      </c>
      <c r="E224" s="100" t="b">
        <v>1</v>
      </c>
      <c r="F224" s="100" t="b">
        <v>0</v>
      </c>
      <c r="G224" s="100" t="b">
        <v>0</v>
      </c>
    </row>
    <row r="225" spans="1:7" ht="15">
      <c r="A225" s="102" t="s">
        <v>753</v>
      </c>
      <c r="B225" s="100">
        <v>6</v>
      </c>
      <c r="C225" s="104">
        <v>0.016006070454973095</v>
      </c>
      <c r="D225" s="100" t="s">
        <v>688</v>
      </c>
      <c r="E225" s="100" t="b">
        <v>0</v>
      </c>
      <c r="F225" s="100" t="b">
        <v>0</v>
      </c>
      <c r="G225" s="100" t="b">
        <v>0</v>
      </c>
    </row>
    <row r="226" spans="1:7" ht="15">
      <c r="A226" s="102" t="s">
        <v>769</v>
      </c>
      <c r="B226" s="100">
        <v>6</v>
      </c>
      <c r="C226" s="104">
        <v>0.016006070454973095</v>
      </c>
      <c r="D226" s="100" t="s">
        <v>688</v>
      </c>
      <c r="E226" s="100" t="b">
        <v>0</v>
      </c>
      <c r="F226" s="100" t="b">
        <v>0</v>
      </c>
      <c r="G226" s="100" t="b">
        <v>0</v>
      </c>
    </row>
    <row r="227" spans="1:7" ht="15">
      <c r="A227" s="102" t="s">
        <v>770</v>
      </c>
      <c r="B227" s="100">
        <v>6</v>
      </c>
      <c r="C227" s="104">
        <v>0.016006070454973095</v>
      </c>
      <c r="D227" s="100" t="s">
        <v>688</v>
      </c>
      <c r="E227" s="100" t="b">
        <v>0</v>
      </c>
      <c r="F227" s="100" t="b">
        <v>0</v>
      </c>
      <c r="G227" s="100" t="b">
        <v>0</v>
      </c>
    </row>
    <row r="228" spans="1:7" ht="15">
      <c r="A228" s="102" t="s">
        <v>771</v>
      </c>
      <c r="B228" s="100">
        <v>6</v>
      </c>
      <c r="C228" s="104">
        <v>0.016006070454973095</v>
      </c>
      <c r="D228" s="100" t="s">
        <v>688</v>
      </c>
      <c r="E228" s="100" t="b">
        <v>0</v>
      </c>
      <c r="F228" s="100" t="b">
        <v>0</v>
      </c>
      <c r="G228" s="100" t="b">
        <v>0</v>
      </c>
    </row>
    <row r="229" spans="1:7" ht="15">
      <c r="A229" s="102" t="s">
        <v>739</v>
      </c>
      <c r="B229" s="100">
        <v>6</v>
      </c>
      <c r="C229" s="104">
        <v>0.016006070454973095</v>
      </c>
      <c r="D229" s="100" t="s">
        <v>688</v>
      </c>
      <c r="E229" s="100" t="b">
        <v>0</v>
      </c>
      <c r="F229" s="100" t="b">
        <v>0</v>
      </c>
      <c r="G229" s="100" t="b">
        <v>0</v>
      </c>
    </row>
    <row r="230" spans="1:7" ht="15">
      <c r="A230" s="102" t="s">
        <v>747</v>
      </c>
      <c r="B230" s="100">
        <v>6</v>
      </c>
      <c r="C230" s="104">
        <v>0.016006070454973095</v>
      </c>
      <c r="D230" s="100" t="s">
        <v>688</v>
      </c>
      <c r="E230" s="100" t="b">
        <v>0</v>
      </c>
      <c r="F230" s="100" t="b">
        <v>0</v>
      </c>
      <c r="G230" s="100" t="b">
        <v>0</v>
      </c>
    </row>
    <row r="231" spans="1:7" ht="15">
      <c r="A231" s="102" t="s">
        <v>772</v>
      </c>
      <c r="B231" s="100">
        <v>6</v>
      </c>
      <c r="C231" s="104">
        <v>0.016006070454973095</v>
      </c>
      <c r="D231" s="100" t="s">
        <v>688</v>
      </c>
      <c r="E231" s="100" t="b">
        <v>0</v>
      </c>
      <c r="F231" s="100" t="b">
        <v>0</v>
      </c>
      <c r="G231" s="100" t="b">
        <v>0</v>
      </c>
    </row>
    <row r="232" spans="1:7" ht="15">
      <c r="A232" s="102" t="s">
        <v>768</v>
      </c>
      <c r="B232" s="100">
        <v>5</v>
      </c>
      <c r="C232" s="104">
        <v>0.014306377938813663</v>
      </c>
      <c r="D232" s="100" t="s">
        <v>688</v>
      </c>
      <c r="E232" s="100" t="b">
        <v>0</v>
      </c>
      <c r="F232" s="100" t="b">
        <v>0</v>
      </c>
      <c r="G232" s="100" t="b">
        <v>0</v>
      </c>
    </row>
    <row r="233" spans="1:7" ht="15">
      <c r="A233" s="102" t="s">
        <v>732</v>
      </c>
      <c r="B233" s="100">
        <v>5</v>
      </c>
      <c r="C233" s="104">
        <v>0.014306377938813663</v>
      </c>
      <c r="D233" s="100" t="s">
        <v>688</v>
      </c>
      <c r="E233" s="100" t="b">
        <v>0</v>
      </c>
      <c r="F233" s="100" t="b">
        <v>1</v>
      </c>
      <c r="G233" s="100" t="b">
        <v>0</v>
      </c>
    </row>
    <row r="234" spans="1:7" ht="15">
      <c r="A234" s="102" t="s">
        <v>816</v>
      </c>
      <c r="B234" s="100">
        <v>4</v>
      </c>
      <c r="C234" s="104">
        <v>0.012392877539393778</v>
      </c>
      <c r="D234" s="100" t="s">
        <v>688</v>
      </c>
      <c r="E234" s="100" t="b">
        <v>0</v>
      </c>
      <c r="F234" s="100" t="b">
        <v>0</v>
      </c>
      <c r="G234" s="100" t="b">
        <v>0</v>
      </c>
    </row>
    <row r="235" spans="1:7" ht="15">
      <c r="A235" s="102" t="s">
        <v>783</v>
      </c>
      <c r="B235" s="100">
        <v>4</v>
      </c>
      <c r="C235" s="104">
        <v>0.012392877539393778</v>
      </c>
      <c r="D235" s="100" t="s">
        <v>688</v>
      </c>
      <c r="E235" s="100" t="b">
        <v>0</v>
      </c>
      <c r="F235" s="100" t="b">
        <v>0</v>
      </c>
      <c r="G235" s="100" t="b">
        <v>0</v>
      </c>
    </row>
    <row r="236" spans="1:7" ht="15">
      <c r="A236" s="102" t="s">
        <v>740</v>
      </c>
      <c r="B236" s="100">
        <v>4</v>
      </c>
      <c r="C236" s="104">
        <v>0.012392877539393778</v>
      </c>
      <c r="D236" s="100" t="s">
        <v>688</v>
      </c>
      <c r="E236" s="100" t="b">
        <v>0</v>
      </c>
      <c r="F236" s="100" t="b">
        <v>0</v>
      </c>
      <c r="G236" s="100" t="b">
        <v>0</v>
      </c>
    </row>
    <row r="237" spans="1:7" ht="15">
      <c r="A237" s="102" t="s">
        <v>784</v>
      </c>
      <c r="B237" s="100">
        <v>4</v>
      </c>
      <c r="C237" s="104">
        <v>0.012392877539393778</v>
      </c>
      <c r="D237" s="100" t="s">
        <v>688</v>
      </c>
      <c r="E237" s="100" t="b">
        <v>1</v>
      </c>
      <c r="F237" s="100" t="b">
        <v>0</v>
      </c>
      <c r="G237" s="100" t="b">
        <v>0</v>
      </c>
    </row>
    <row r="238" spans="1:7" ht="15">
      <c r="A238" s="102" t="s">
        <v>773</v>
      </c>
      <c r="B238" s="100">
        <v>4</v>
      </c>
      <c r="C238" s="104">
        <v>0.012392877539393778</v>
      </c>
      <c r="D238" s="100" t="s">
        <v>688</v>
      </c>
      <c r="E238" s="100" t="b">
        <v>0</v>
      </c>
      <c r="F238" s="100" t="b">
        <v>0</v>
      </c>
      <c r="G238" s="100" t="b">
        <v>0</v>
      </c>
    </row>
    <row r="239" spans="1:7" ht="15">
      <c r="A239" s="102" t="s">
        <v>815</v>
      </c>
      <c r="B239" s="100">
        <v>4</v>
      </c>
      <c r="C239" s="104">
        <v>0.013614772273949279</v>
      </c>
      <c r="D239" s="100" t="s">
        <v>688</v>
      </c>
      <c r="E239" s="100" t="b">
        <v>0</v>
      </c>
      <c r="F239" s="100" t="b">
        <v>0</v>
      </c>
      <c r="G239" s="100" t="b">
        <v>0</v>
      </c>
    </row>
    <row r="240" spans="1:7" ht="15">
      <c r="A240" s="102" t="s">
        <v>744</v>
      </c>
      <c r="B240" s="100">
        <v>4</v>
      </c>
      <c r="C240" s="104">
        <v>0.012392877539393778</v>
      </c>
      <c r="D240" s="100" t="s">
        <v>688</v>
      </c>
      <c r="E240" s="100" t="b">
        <v>0</v>
      </c>
      <c r="F240" s="100" t="b">
        <v>0</v>
      </c>
      <c r="G240" s="100" t="b">
        <v>0</v>
      </c>
    </row>
    <row r="241" spans="1:7" ht="15">
      <c r="A241" s="102" t="s">
        <v>827</v>
      </c>
      <c r="B241" s="100">
        <v>3</v>
      </c>
      <c r="C241" s="104">
        <v>0.01021107920546196</v>
      </c>
      <c r="D241" s="100" t="s">
        <v>688</v>
      </c>
      <c r="E241" s="100" t="b">
        <v>0</v>
      </c>
      <c r="F241" s="100" t="b">
        <v>0</v>
      </c>
      <c r="G241" s="100" t="b">
        <v>0</v>
      </c>
    </row>
    <row r="242" spans="1:7" ht="15">
      <c r="A242" s="102" t="s">
        <v>862</v>
      </c>
      <c r="B242" s="100">
        <v>3</v>
      </c>
      <c r="C242" s="104">
        <v>0.013710746110496158</v>
      </c>
      <c r="D242" s="100" t="s">
        <v>688</v>
      </c>
      <c r="E242" s="100" t="b">
        <v>0</v>
      </c>
      <c r="F242" s="100" t="b">
        <v>0</v>
      </c>
      <c r="G242" s="100" t="b">
        <v>0</v>
      </c>
    </row>
    <row r="243" spans="1:7" ht="15">
      <c r="A243" s="102" t="s">
        <v>863</v>
      </c>
      <c r="B243" s="100">
        <v>3</v>
      </c>
      <c r="C243" s="104">
        <v>0.013710746110496158</v>
      </c>
      <c r="D243" s="100" t="s">
        <v>688</v>
      </c>
      <c r="E243" s="100" t="b">
        <v>0</v>
      </c>
      <c r="F243" s="100" t="b">
        <v>0</v>
      </c>
      <c r="G243" s="100" t="b">
        <v>0</v>
      </c>
    </row>
    <row r="244" spans="1:7" ht="15">
      <c r="A244" s="102" t="s">
        <v>864</v>
      </c>
      <c r="B244" s="100">
        <v>3</v>
      </c>
      <c r="C244" s="104">
        <v>0.013710746110496158</v>
      </c>
      <c r="D244" s="100" t="s">
        <v>688</v>
      </c>
      <c r="E244" s="100" t="b">
        <v>0</v>
      </c>
      <c r="F244" s="100" t="b">
        <v>0</v>
      </c>
      <c r="G244" s="100" t="b">
        <v>0</v>
      </c>
    </row>
    <row r="245" spans="1:7" ht="15">
      <c r="A245" s="102" t="s">
        <v>865</v>
      </c>
      <c r="B245" s="100">
        <v>3</v>
      </c>
      <c r="C245" s="104">
        <v>0.013710746110496158</v>
      </c>
      <c r="D245" s="100" t="s">
        <v>688</v>
      </c>
      <c r="E245" s="100" t="b">
        <v>0</v>
      </c>
      <c r="F245" s="100" t="b">
        <v>0</v>
      </c>
      <c r="G245" s="100" t="b">
        <v>0</v>
      </c>
    </row>
    <row r="246" spans="1:7" ht="15">
      <c r="A246" s="102" t="s">
        <v>793</v>
      </c>
      <c r="B246" s="100">
        <v>3</v>
      </c>
      <c r="C246" s="104">
        <v>0.01021107920546196</v>
      </c>
      <c r="D246" s="100" t="s">
        <v>688</v>
      </c>
      <c r="E246" s="100" t="b">
        <v>0</v>
      </c>
      <c r="F246" s="100" t="b">
        <v>0</v>
      </c>
      <c r="G246" s="100" t="b">
        <v>0</v>
      </c>
    </row>
    <row r="247" spans="1:7" ht="15">
      <c r="A247" s="102" t="s">
        <v>794</v>
      </c>
      <c r="B247" s="100">
        <v>3</v>
      </c>
      <c r="C247" s="104">
        <v>0.01021107920546196</v>
      </c>
      <c r="D247" s="100" t="s">
        <v>688</v>
      </c>
      <c r="E247" s="100" t="b">
        <v>0</v>
      </c>
      <c r="F247" s="100" t="b">
        <v>0</v>
      </c>
      <c r="G247" s="100" t="b">
        <v>0</v>
      </c>
    </row>
    <row r="248" spans="1:7" ht="15">
      <c r="A248" s="102" t="s">
        <v>720</v>
      </c>
      <c r="B248" s="100">
        <v>3</v>
      </c>
      <c r="C248" s="104">
        <v>0.01021107920546196</v>
      </c>
      <c r="D248" s="100" t="s">
        <v>688</v>
      </c>
      <c r="E248" s="100" t="b">
        <v>1</v>
      </c>
      <c r="F248" s="100" t="b">
        <v>0</v>
      </c>
      <c r="G248" s="100" t="b">
        <v>0</v>
      </c>
    </row>
    <row r="249" spans="1:7" ht="15">
      <c r="A249" s="102" t="s">
        <v>759</v>
      </c>
      <c r="B249" s="100">
        <v>3</v>
      </c>
      <c r="C249" s="104">
        <v>0.013710746110496158</v>
      </c>
      <c r="D249" s="100" t="s">
        <v>688</v>
      </c>
      <c r="E249" s="100" t="b">
        <v>0</v>
      </c>
      <c r="F249" s="100" t="b">
        <v>0</v>
      </c>
      <c r="G249" s="100" t="b">
        <v>0</v>
      </c>
    </row>
    <row r="250" spans="1:7" ht="15">
      <c r="A250" s="102" t="s">
        <v>828</v>
      </c>
      <c r="B250" s="100">
        <v>3</v>
      </c>
      <c r="C250" s="104">
        <v>0.013710746110496158</v>
      </c>
      <c r="D250" s="100" t="s">
        <v>688</v>
      </c>
      <c r="E250" s="100" t="b">
        <v>0</v>
      </c>
      <c r="F250" s="100" t="b">
        <v>0</v>
      </c>
      <c r="G250" s="100" t="b">
        <v>0</v>
      </c>
    </row>
    <row r="251" spans="1:7" ht="15">
      <c r="A251" s="102" t="s">
        <v>829</v>
      </c>
      <c r="B251" s="100">
        <v>3</v>
      </c>
      <c r="C251" s="104">
        <v>0.013710746110496158</v>
      </c>
      <c r="D251" s="100" t="s">
        <v>688</v>
      </c>
      <c r="E251" s="100" t="b">
        <v>0</v>
      </c>
      <c r="F251" s="100" t="b">
        <v>0</v>
      </c>
      <c r="G251" s="100" t="b">
        <v>0</v>
      </c>
    </row>
    <row r="252" spans="1:7" ht="15">
      <c r="A252" s="102" t="s">
        <v>801</v>
      </c>
      <c r="B252" s="100">
        <v>3</v>
      </c>
      <c r="C252" s="104">
        <v>0.01021107920546196</v>
      </c>
      <c r="D252" s="100" t="s">
        <v>688</v>
      </c>
      <c r="E252" s="100" t="b">
        <v>0</v>
      </c>
      <c r="F252" s="100" t="b">
        <v>0</v>
      </c>
      <c r="G252" s="100" t="b">
        <v>0</v>
      </c>
    </row>
    <row r="253" spans="1:7" ht="15">
      <c r="A253" s="102" t="s">
        <v>802</v>
      </c>
      <c r="B253" s="100">
        <v>3</v>
      </c>
      <c r="C253" s="104">
        <v>0.01021107920546196</v>
      </c>
      <c r="D253" s="100" t="s">
        <v>688</v>
      </c>
      <c r="E253" s="100" t="b">
        <v>0</v>
      </c>
      <c r="F253" s="100" t="b">
        <v>0</v>
      </c>
      <c r="G253" s="100" t="b">
        <v>0</v>
      </c>
    </row>
    <row r="254" spans="1:7" ht="15">
      <c r="A254" s="102" t="s">
        <v>803</v>
      </c>
      <c r="B254" s="100">
        <v>3</v>
      </c>
      <c r="C254" s="104">
        <v>0.01021107920546196</v>
      </c>
      <c r="D254" s="100" t="s">
        <v>688</v>
      </c>
      <c r="E254" s="100" t="b">
        <v>0</v>
      </c>
      <c r="F254" s="100" t="b">
        <v>0</v>
      </c>
      <c r="G254" s="100" t="b">
        <v>0</v>
      </c>
    </row>
    <row r="255" spans="1:7" ht="15">
      <c r="A255" s="102" t="s">
        <v>836</v>
      </c>
      <c r="B255" s="100">
        <v>3</v>
      </c>
      <c r="C255" s="104">
        <v>0.01021107920546196</v>
      </c>
      <c r="D255" s="100" t="s">
        <v>688</v>
      </c>
      <c r="E255" s="100" t="b">
        <v>0</v>
      </c>
      <c r="F255" s="100" t="b">
        <v>0</v>
      </c>
      <c r="G255" s="100" t="b">
        <v>0</v>
      </c>
    </row>
    <row r="256" spans="1:7" ht="15">
      <c r="A256" s="102" t="s">
        <v>764</v>
      </c>
      <c r="B256" s="100">
        <v>3</v>
      </c>
      <c r="C256" s="104">
        <v>0.013710746110496158</v>
      </c>
      <c r="D256" s="100" t="s">
        <v>688</v>
      </c>
      <c r="E256" s="100" t="b">
        <v>0</v>
      </c>
      <c r="F256" s="100" t="b">
        <v>0</v>
      </c>
      <c r="G256" s="100" t="b">
        <v>0</v>
      </c>
    </row>
    <row r="257" spans="1:7" ht="15">
      <c r="A257" s="102" t="s">
        <v>765</v>
      </c>
      <c r="B257" s="100">
        <v>3</v>
      </c>
      <c r="C257" s="104">
        <v>0.013710746110496158</v>
      </c>
      <c r="D257" s="100" t="s">
        <v>688</v>
      </c>
      <c r="E257" s="100" t="b">
        <v>0</v>
      </c>
      <c r="F257" s="100" t="b">
        <v>0</v>
      </c>
      <c r="G257" s="100" t="b">
        <v>0</v>
      </c>
    </row>
    <row r="258" spans="1:7" ht="15">
      <c r="A258" s="102" t="s">
        <v>766</v>
      </c>
      <c r="B258" s="100">
        <v>3</v>
      </c>
      <c r="C258" s="104">
        <v>0.013710746110496158</v>
      </c>
      <c r="D258" s="100" t="s">
        <v>688</v>
      </c>
      <c r="E258" s="100" t="b">
        <v>0</v>
      </c>
      <c r="F258" s="100" t="b">
        <v>0</v>
      </c>
      <c r="G258" s="100" t="b">
        <v>0</v>
      </c>
    </row>
    <row r="259" spans="1:7" ht="15">
      <c r="A259" s="102" t="s">
        <v>847</v>
      </c>
      <c r="B259" s="100">
        <v>2</v>
      </c>
      <c r="C259" s="104">
        <v>0.007668468088347164</v>
      </c>
      <c r="D259" s="100" t="s">
        <v>688</v>
      </c>
      <c r="E259" s="100" t="b">
        <v>0</v>
      </c>
      <c r="F259" s="100" t="b">
        <v>0</v>
      </c>
      <c r="G259" s="100" t="b">
        <v>0</v>
      </c>
    </row>
    <row r="260" spans="1:7" ht="15">
      <c r="A260" s="102" t="s">
        <v>746</v>
      </c>
      <c r="B260" s="100">
        <v>2</v>
      </c>
      <c r="C260" s="104">
        <v>0.007668468088347164</v>
      </c>
      <c r="D260" s="100" t="s">
        <v>688</v>
      </c>
      <c r="E260" s="100" t="b">
        <v>0</v>
      </c>
      <c r="F260" s="100" t="b">
        <v>0</v>
      </c>
      <c r="G260" s="100" t="b">
        <v>0</v>
      </c>
    </row>
    <row r="261" spans="1:7" ht="15">
      <c r="A261" s="102" t="s">
        <v>870</v>
      </c>
      <c r="B261" s="100">
        <v>2</v>
      </c>
      <c r="C261" s="104">
        <v>0.009140497406997438</v>
      </c>
      <c r="D261" s="100" t="s">
        <v>688</v>
      </c>
      <c r="E261" s="100" t="b">
        <v>0</v>
      </c>
      <c r="F261" s="100" t="b">
        <v>0</v>
      </c>
      <c r="G261" s="100" t="b">
        <v>0</v>
      </c>
    </row>
    <row r="262" spans="1:7" ht="15">
      <c r="A262" s="102" t="s">
        <v>916</v>
      </c>
      <c r="B262" s="100">
        <v>2</v>
      </c>
      <c r="C262" s="104">
        <v>0.009140497406997438</v>
      </c>
      <c r="D262" s="100" t="s">
        <v>688</v>
      </c>
      <c r="E262" s="100" t="b">
        <v>0</v>
      </c>
      <c r="F262" s="100" t="b">
        <v>0</v>
      </c>
      <c r="G262" s="100" t="b">
        <v>0</v>
      </c>
    </row>
    <row r="263" spans="1:7" ht="15">
      <c r="A263" s="102" t="s">
        <v>917</v>
      </c>
      <c r="B263" s="100">
        <v>2</v>
      </c>
      <c r="C263" s="104">
        <v>0.009140497406997438</v>
      </c>
      <c r="D263" s="100" t="s">
        <v>688</v>
      </c>
      <c r="E263" s="100" t="b">
        <v>0</v>
      </c>
      <c r="F263" s="100" t="b">
        <v>0</v>
      </c>
      <c r="G263" s="100" t="b">
        <v>0</v>
      </c>
    </row>
    <row r="264" spans="1:7" ht="15">
      <c r="A264" s="102" t="s">
        <v>918</v>
      </c>
      <c r="B264" s="100">
        <v>2</v>
      </c>
      <c r="C264" s="104">
        <v>0.009140497406997438</v>
      </c>
      <c r="D264" s="100" t="s">
        <v>688</v>
      </c>
      <c r="E264" s="100" t="b">
        <v>0</v>
      </c>
      <c r="F264" s="100" t="b">
        <v>0</v>
      </c>
      <c r="G264" s="100" t="b">
        <v>0</v>
      </c>
    </row>
    <row r="265" spans="1:7" ht="15">
      <c r="A265" s="102" t="s">
        <v>861</v>
      </c>
      <c r="B265" s="100">
        <v>2</v>
      </c>
      <c r="C265" s="104">
        <v>0.009140497406997438</v>
      </c>
      <c r="D265" s="100" t="s">
        <v>688</v>
      </c>
      <c r="E265" s="100" t="b">
        <v>0</v>
      </c>
      <c r="F265" s="100" t="b">
        <v>0</v>
      </c>
      <c r="G265" s="100" t="b">
        <v>0</v>
      </c>
    </row>
    <row r="266" spans="1:7" ht="15">
      <c r="A266" s="102" t="s">
        <v>910</v>
      </c>
      <c r="B266" s="100">
        <v>2</v>
      </c>
      <c r="C266" s="104">
        <v>0.009140497406997438</v>
      </c>
      <c r="D266" s="100" t="s">
        <v>688</v>
      </c>
      <c r="E266" s="100" t="b">
        <v>0</v>
      </c>
      <c r="F266" s="100" t="b">
        <v>0</v>
      </c>
      <c r="G266" s="100" t="b">
        <v>0</v>
      </c>
    </row>
    <row r="267" spans="1:7" ht="15">
      <c r="A267" s="102" t="s">
        <v>904</v>
      </c>
      <c r="B267" s="100">
        <v>2</v>
      </c>
      <c r="C267" s="104">
        <v>0.009140497406997438</v>
      </c>
      <c r="D267" s="100" t="s">
        <v>688</v>
      </c>
      <c r="E267" s="100" t="b">
        <v>0</v>
      </c>
      <c r="F267" s="100" t="b">
        <v>0</v>
      </c>
      <c r="G267" s="100" t="b">
        <v>0</v>
      </c>
    </row>
    <row r="268" spans="1:7" ht="15">
      <c r="A268" s="102" t="s">
        <v>905</v>
      </c>
      <c r="B268" s="100">
        <v>2</v>
      </c>
      <c r="C268" s="104">
        <v>0.009140497406997438</v>
      </c>
      <c r="D268" s="100" t="s">
        <v>688</v>
      </c>
      <c r="E268" s="100" t="b">
        <v>0</v>
      </c>
      <c r="F268" s="100" t="b">
        <v>0</v>
      </c>
      <c r="G268" s="100" t="b">
        <v>0</v>
      </c>
    </row>
    <row r="269" spans="1:7" ht="15">
      <c r="A269" s="102" t="s">
        <v>889</v>
      </c>
      <c r="B269" s="100">
        <v>2</v>
      </c>
      <c r="C269" s="104">
        <v>0.009140497406997438</v>
      </c>
      <c r="D269" s="100" t="s">
        <v>688</v>
      </c>
      <c r="E269" s="100" t="b">
        <v>0</v>
      </c>
      <c r="F269" s="100" t="b">
        <v>0</v>
      </c>
      <c r="G269" s="100" t="b">
        <v>0</v>
      </c>
    </row>
    <row r="270" spans="1:7" ht="15">
      <c r="A270" s="102" t="s">
        <v>843</v>
      </c>
      <c r="B270" s="100">
        <v>2</v>
      </c>
      <c r="C270" s="104">
        <v>0.007668468088347164</v>
      </c>
      <c r="D270" s="100" t="s">
        <v>688</v>
      </c>
      <c r="E270" s="100" t="b">
        <v>0</v>
      </c>
      <c r="F270" s="100" t="b">
        <v>0</v>
      </c>
      <c r="G270" s="100" t="b">
        <v>0</v>
      </c>
    </row>
    <row r="271" spans="1:7" ht="15">
      <c r="A271" s="102" t="s">
        <v>844</v>
      </c>
      <c r="B271" s="100">
        <v>2</v>
      </c>
      <c r="C271" s="104">
        <v>0.007668468088347164</v>
      </c>
      <c r="D271" s="100" t="s">
        <v>688</v>
      </c>
      <c r="E271" s="100" t="b">
        <v>0</v>
      </c>
      <c r="F271" s="100" t="b">
        <v>0</v>
      </c>
      <c r="G271" s="100" t="b">
        <v>0</v>
      </c>
    </row>
    <row r="272" spans="1:7" ht="15">
      <c r="A272" s="102" t="s">
        <v>749</v>
      </c>
      <c r="B272" s="100">
        <v>2</v>
      </c>
      <c r="C272" s="104">
        <v>0.009140497406997438</v>
      </c>
      <c r="D272" s="100" t="s">
        <v>688</v>
      </c>
      <c r="E272" s="100" t="b">
        <v>0</v>
      </c>
      <c r="F272" s="100" t="b">
        <v>0</v>
      </c>
      <c r="G272" s="100" t="b">
        <v>0</v>
      </c>
    </row>
    <row r="273" spans="1:7" ht="15">
      <c r="A273" s="102" t="s">
        <v>879</v>
      </c>
      <c r="B273" s="100">
        <v>2</v>
      </c>
      <c r="C273" s="104">
        <v>0.009140497406997438</v>
      </c>
      <c r="D273" s="100" t="s">
        <v>688</v>
      </c>
      <c r="E273" s="100" t="b">
        <v>0</v>
      </c>
      <c r="F273" s="100" t="b">
        <v>0</v>
      </c>
      <c r="G273" s="100" t="b">
        <v>0</v>
      </c>
    </row>
    <row r="274" spans="1:7" ht="15">
      <c r="A274" s="102" t="s">
        <v>880</v>
      </c>
      <c r="B274" s="100">
        <v>2</v>
      </c>
      <c r="C274" s="104">
        <v>0.009140497406997438</v>
      </c>
      <c r="D274" s="100" t="s">
        <v>688</v>
      </c>
      <c r="E274" s="100" t="b">
        <v>0</v>
      </c>
      <c r="F274" s="100" t="b">
        <v>0</v>
      </c>
      <c r="G274" s="100" t="b">
        <v>0</v>
      </c>
    </row>
    <row r="275" spans="1:7" ht="15">
      <c r="A275" s="102" t="s">
        <v>881</v>
      </c>
      <c r="B275" s="100">
        <v>2</v>
      </c>
      <c r="C275" s="104">
        <v>0.009140497406997438</v>
      </c>
      <c r="D275" s="100" t="s">
        <v>688</v>
      </c>
      <c r="E275" s="100" t="b">
        <v>0</v>
      </c>
      <c r="F275" s="100" t="b">
        <v>0</v>
      </c>
      <c r="G275" s="100" t="b">
        <v>0</v>
      </c>
    </row>
    <row r="276" spans="1:7" ht="15">
      <c r="A276" s="102" t="s">
        <v>882</v>
      </c>
      <c r="B276" s="100">
        <v>2</v>
      </c>
      <c r="C276" s="104">
        <v>0.009140497406997438</v>
      </c>
      <c r="D276" s="100" t="s">
        <v>688</v>
      </c>
      <c r="E276" s="100" t="b">
        <v>0</v>
      </c>
      <c r="F276" s="100" t="b">
        <v>0</v>
      </c>
      <c r="G276" s="100" t="b">
        <v>0</v>
      </c>
    </row>
    <row r="277" spans="1:7" ht="15">
      <c r="A277" s="102" t="s">
        <v>872</v>
      </c>
      <c r="B277" s="100">
        <v>2</v>
      </c>
      <c r="C277" s="104">
        <v>0.009140497406997438</v>
      </c>
      <c r="D277" s="100" t="s">
        <v>688</v>
      </c>
      <c r="E277" s="100" t="b">
        <v>0</v>
      </c>
      <c r="F277" s="100" t="b">
        <v>0</v>
      </c>
      <c r="G277" s="100" t="b">
        <v>0</v>
      </c>
    </row>
    <row r="278" spans="1:7" ht="15">
      <c r="A278" s="102" t="s">
        <v>873</v>
      </c>
      <c r="B278" s="100">
        <v>2</v>
      </c>
      <c r="C278" s="104">
        <v>0.009140497406997438</v>
      </c>
      <c r="D278" s="100" t="s">
        <v>688</v>
      </c>
      <c r="E278" s="100" t="b">
        <v>0</v>
      </c>
      <c r="F278" s="100" t="b">
        <v>0</v>
      </c>
      <c r="G278" s="100" t="b">
        <v>0</v>
      </c>
    </row>
    <row r="279" spans="1:7" ht="15">
      <c r="A279" s="102" t="s">
        <v>874</v>
      </c>
      <c r="B279" s="100">
        <v>2</v>
      </c>
      <c r="C279" s="104">
        <v>0.009140497406997438</v>
      </c>
      <c r="D279" s="100" t="s">
        <v>688</v>
      </c>
      <c r="E279" s="100" t="b">
        <v>0</v>
      </c>
      <c r="F279" s="100" t="b">
        <v>0</v>
      </c>
      <c r="G279" s="100" t="b">
        <v>0</v>
      </c>
    </row>
    <row r="280" spans="1:7" ht="15">
      <c r="A280" s="102" t="s">
        <v>875</v>
      </c>
      <c r="B280" s="100">
        <v>2</v>
      </c>
      <c r="C280" s="104">
        <v>0.009140497406997438</v>
      </c>
      <c r="D280" s="100" t="s">
        <v>688</v>
      </c>
      <c r="E280" s="100" t="b">
        <v>0</v>
      </c>
      <c r="F280" s="100" t="b">
        <v>0</v>
      </c>
      <c r="G280" s="100" t="b">
        <v>0</v>
      </c>
    </row>
    <row r="281" spans="1:7" ht="15">
      <c r="A281" s="102" t="s">
        <v>871</v>
      </c>
      <c r="B281" s="100">
        <v>2</v>
      </c>
      <c r="C281" s="104">
        <v>0.009140497406997438</v>
      </c>
      <c r="D281" s="100" t="s">
        <v>688</v>
      </c>
      <c r="E281" s="100" t="b">
        <v>0</v>
      </c>
      <c r="F281" s="100" t="b">
        <v>0</v>
      </c>
      <c r="G281" s="100" t="b">
        <v>0</v>
      </c>
    </row>
    <row r="282" spans="1:7" ht="15">
      <c r="A282" s="102" t="s">
        <v>804</v>
      </c>
      <c r="B282" s="100">
        <v>2</v>
      </c>
      <c r="C282" s="104">
        <v>0.009140497406997438</v>
      </c>
      <c r="D282" s="100" t="s">
        <v>688</v>
      </c>
      <c r="E282" s="100" t="b">
        <v>0</v>
      </c>
      <c r="F282" s="100" t="b">
        <v>0</v>
      </c>
      <c r="G282" s="100" t="b">
        <v>0</v>
      </c>
    </row>
    <row r="283" spans="1:7" ht="15">
      <c r="A283" s="102" t="s">
        <v>805</v>
      </c>
      <c r="B283" s="100">
        <v>2</v>
      </c>
      <c r="C283" s="104">
        <v>0.009140497406997438</v>
      </c>
      <c r="D283" s="100" t="s">
        <v>688</v>
      </c>
      <c r="E283" s="100" t="b">
        <v>0</v>
      </c>
      <c r="F283" s="100" t="b">
        <v>0</v>
      </c>
      <c r="G283" s="100" t="b">
        <v>0</v>
      </c>
    </row>
    <row r="284" spans="1:7" ht="15">
      <c r="A284" s="102" t="s">
        <v>908</v>
      </c>
      <c r="B284" s="100">
        <v>2</v>
      </c>
      <c r="C284" s="104">
        <v>0.007668468088347164</v>
      </c>
      <c r="D284" s="100" t="s">
        <v>688</v>
      </c>
      <c r="E284" s="100" t="b">
        <v>0</v>
      </c>
      <c r="F284" s="100" t="b">
        <v>0</v>
      </c>
      <c r="G284" s="100" t="b">
        <v>0</v>
      </c>
    </row>
    <row r="285" spans="1:7" ht="15">
      <c r="A285" s="102" t="s">
        <v>800</v>
      </c>
      <c r="B285" s="100">
        <v>2</v>
      </c>
      <c r="C285" s="104">
        <v>0.009140497406997438</v>
      </c>
      <c r="D285" s="100" t="s">
        <v>688</v>
      </c>
      <c r="E285" s="100" t="b">
        <v>0</v>
      </c>
      <c r="F285" s="100" t="b">
        <v>0</v>
      </c>
      <c r="G285" s="100" t="b">
        <v>0</v>
      </c>
    </row>
    <row r="286" spans="1:7" ht="15">
      <c r="A286" s="102" t="s">
        <v>795</v>
      </c>
      <c r="B286" s="100">
        <v>2</v>
      </c>
      <c r="C286" s="104">
        <v>0.009140497406997438</v>
      </c>
      <c r="D286" s="100" t="s">
        <v>688</v>
      </c>
      <c r="E286" s="100" t="b">
        <v>0</v>
      </c>
      <c r="F286" s="100" t="b">
        <v>0</v>
      </c>
      <c r="G286" s="100" t="b">
        <v>0</v>
      </c>
    </row>
    <row r="287" spans="1:7" ht="15">
      <c r="A287" s="102" t="s">
        <v>767</v>
      </c>
      <c r="B287" s="100">
        <v>2</v>
      </c>
      <c r="C287" s="104">
        <v>0.007668468088347164</v>
      </c>
      <c r="D287" s="100" t="s">
        <v>688</v>
      </c>
      <c r="E287" s="100" t="b">
        <v>0</v>
      </c>
      <c r="F287" s="100" t="b">
        <v>0</v>
      </c>
      <c r="G287" s="100" t="b">
        <v>0</v>
      </c>
    </row>
    <row r="288" spans="1:7" ht="15">
      <c r="A288" s="102" t="s">
        <v>809</v>
      </c>
      <c r="B288" s="100">
        <v>2</v>
      </c>
      <c r="C288" s="104">
        <v>0.007668468088347164</v>
      </c>
      <c r="D288" s="100" t="s">
        <v>688</v>
      </c>
      <c r="E288" s="100" t="b">
        <v>0</v>
      </c>
      <c r="F288" s="100" t="b">
        <v>0</v>
      </c>
      <c r="G288" s="100" t="b">
        <v>0</v>
      </c>
    </row>
    <row r="289" spans="1:7" ht="15">
      <c r="A289" s="102" t="s">
        <v>774</v>
      </c>
      <c r="B289" s="100">
        <v>2</v>
      </c>
      <c r="C289" s="104">
        <v>0.007668468088347164</v>
      </c>
      <c r="D289" s="100" t="s">
        <v>688</v>
      </c>
      <c r="E289" s="100" t="b">
        <v>0</v>
      </c>
      <c r="F289" s="100" t="b">
        <v>0</v>
      </c>
      <c r="G289" s="100" t="b">
        <v>0</v>
      </c>
    </row>
    <row r="290" spans="1:7" ht="15">
      <c r="A290" s="102" t="s">
        <v>810</v>
      </c>
      <c r="B290" s="100">
        <v>2</v>
      </c>
      <c r="C290" s="104">
        <v>0.007668468088347164</v>
      </c>
      <c r="D290" s="100" t="s">
        <v>688</v>
      </c>
      <c r="E290" s="100" t="b">
        <v>0</v>
      </c>
      <c r="F290" s="100" t="b">
        <v>0</v>
      </c>
      <c r="G290" s="100" t="b">
        <v>0</v>
      </c>
    </row>
    <row r="291" spans="1:7" ht="15">
      <c r="A291" s="102" t="s">
        <v>811</v>
      </c>
      <c r="B291" s="100">
        <v>2</v>
      </c>
      <c r="C291" s="104">
        <v>0.007668468088347164</v>
      </c>
      <c r="D291" s="100" t="s">
        <v>688</v>
      </c>
      <c r="E291" s="100" t="b">
        <v>0</v>
      </c>
      <c r="F291" s="100" t="b">
        <v>0</v>
      </c>
      <c r="G291" s="100" t="b">
        <v>0</v>
      </c>
    </row>
    <row r="292" spans="1:7" ht="15">
      <c r="A292" s="102" t="s">
        <v>890</v>
      </c>
      <c r="B292" s="100">
        <v>2</v>
      </c>
      <c r="C292" s="104">
        <v>0.007668468088347164</v>
      </c>
      <c r="D292" s="100" t="s">
        <v>688</v>
      </c>
      <c r="E292" s="100" t="b">
        <v>0</v>
      </c>
      <c r="F292" s="100" t="b">
        <v>0</v>
      </c>
      <c r="G292" s="100" t="b">
        <v>0</v>
      </c>
    </row>
    <row r="293" spans="1:7" ht="15">
      <c r="A293" s="102" t="s">
        <v>718</v>
      </c>
      <c r="B293" s="100">
        <v>22</v>
      </c>
      <c r="C293" s="104">
        <v>0.033162811697598084</v>
      </c>
      <c r="D293" s="100" t="s">
        <v>689</v>
      </c>
      <c r="E293" s="100" t="b">
        <v>0</v>
      </c>
      <c r="F293" s="100" t="b">
        <v>0</v>
      </c>
      <c r="G293" s="100" t="b">
        <v>0</v>
      </c>
    </row>
    <row r="294" spans="1:7" ht="15">
      <c r="A294" s="102" t="s">
        <v>719</v>
      </c>
      <c r="B294" s="100">
        <v>16</v>
      </c>
      <c r="C294" s="104">
        <v>0.02985116283548008</v>
      </c>
      <c r="D294" s="100" t="s">
        <v>689</v>
      </c>
      <c r="E294" s="100" t="b">
        <v>0</v>
      </c>
      <c r="F294" s="100" t="b">
        <v>0</v>
      </c>
      <c r="G294" s="100" t="b">
        <v>0</v>
      </c>
    </row>
    <row r="295" spans="1:7" ht="15">
      <c r="A295" s="102" t="s">
        <v>720</v>
      </c>
      <c r="B295" s="100">
        <v>14</v>
      </c>
      <c r="C295" s="104">
        <v>0.02822310234552075</v>
      </c>
      <c r="D295" s="100" t="s">
        <v>689</v>
      </c>
      <c r="E295" s="100" t="b">
        <v>1</v>
      </c>
      <c r="F295" s="100" t="b">
        <v>0</v>
      </c>
      <c r="G295" s="100" t="b">
        <v>0</v>
      </c>
    </row>
    <row r="296" spans="1:7" ht="15">
      <c r="A296" s="102" t="s">
        <v>745</v>
      </c>
      <c r="B296" s="100">
        <v>14</v>
      </c>
      <c r="C296" s="104">
        <v>0.02822310234552075</v>
      </c>
      <c r="D296" s="100" t="s">
        <v>689</v>
      </c>
      <c r="E296" s="100" t="b">
        <v>0</v>
      </c>
      <c r="F296" s="100" t="b">
        <v>0</v>
      </c>
      <c r="G296" s="100" t="b">
        <v>0</v>
      </c>
    </row>
    <row r="297" spans="1:7" ht="15">
      <c r="A297" s="102" t="s">
        <v>726</v>
      </c>
      <c r="B297" s="100">
        <v>12</v>
      </c>
      <c r="C297" s="104">
        <v>0.026272477927904356</v>
      </c>
      <c r="D297" s="100" t="s">
        <v>689</v>
      </c>
      <c r="E297" s="100" t="b">
        <v>0</v>
      </c>
      <c r="F297" s="100" t="b">
        <v>0</v>
      </c>
      <c r="G297" s="100" t="b">
        <v>0</v>
      </c>
    </row>
    <row r="298" spans="1:7" ht="15">
      <c r="A298" s="102" t="s">
        <v>727</v>
      </c>
      <c r="B298" s="100">
        <v>12</v>
      </c>
      <c r="C298" s="104">
        <v>0.026272477927904356</v>
      </c>
      <c r="D298" s="100" t="s">
        <v>689</v>
      </c>
      <c r="E298" s="100" t="b">
        <v>0</v>
      </c>
      <c r="F298" s="100" t="b">
        <v>0</v>
      </c>
      <c r="G298" s="100" t="b">
        <v>0</v>
      </c>
    </row>
    <row r="299" spans="1:7" ht="15">
      <c r="A299" s="102" t="s">
        <v>728</v>
      </c>
      <c r="B299" s="100">
        <v>12</v>
      </c>
      <c r="C299" s="104">
        <v>0.026272477927904356</v>
      </c>
      <c r="D299" s="100" t="s">
        <v>689</v>
      </c>
      <c r="E299" s="100" t="b">
        <v>0</v>
      </c>
      <c r="F299" s="100" t="b">
        <v>1</v>
      </c>
      <c r="G299" s="100" t="b">
        <v>0</v>
      </c>
    </row>
    <row r="300" spans="1:7" ht="15">
      <c r="A300" s="102" t="s">
        <v>729</v>
      </c>
      <c r="B300" s="100">
        <v>12</v>
      </c>
      <c r="C300" s="104">
        <v>0.026272477927904356</v>
      </c>
      <c r="D300" s="100" t="s">
        <v>689</v>
      </c>
      <c r="E300" s="100" t="b">
        <v>0</v>
      </c>
      <c r="F300" s="100" t="b">
        <v>0</v>
      </c>
      <c r="G300" s="100" t="b">
        <v>0</v>
      </c>
    </row>
    <row r="301" spans="1:7" ht="15">
      <c r="A301" s="102" t="s">
        <v>730</v>
      </c>
      <c r="B301" s="100">
        <v>12</v>
      </c>
      <c r="C301" s="104">
        <v>0.026272477927904356</v>
      </c>
      <c r="D301" s="100" t="s">
        <v>689</v>
      </c>
      <c r="E301" s="100" t="b">
        <v>0</v>
      </c>
      <c r="F301" s="100" t="b">
        <v>0</v>
      </c>
      <c r="G301" s="100" t="b">
        <v>0</v>
      </c>
    </row>
    <row r="302" spans="1:7" ht="15">
      <c r="A302" s="102" t="s">
        <v>731</v>
      </c>
      <c r="B302" s="100">
        <v>12</v>
      </c>
      <c r="C302" s="104">
        <v>0.026272477927904356</v>
      </c>
      <c r="D302" s="100" t="s">
        <v>689</v>
      </c>
      <c r="E302" s="100" t="b">
        <v>0</v>
      </c>
      <c r="F302" s="100" t="b">
        <v>0</v>
      </c>
      <c r="G302" s="100" t="b">
        <v>0</v>
      </c>
    </row>
    <row r="303" spans="1:7" ht="15">
      <c r="A303" s="102" t="s">
        <v>744</v>
      </c>
      <c r="B303" s="100">
        <v>11</v>
      </c>
      <c r="C303" s="104">
        <v>0.02515998085476742</v>
      </c>
      <c r="D303" s="100" t="s">
        <v>689</v>
      </c>
      <c r="E303" s="100" t="b">
        <v>0</v>
      </c>
      <c r="F303" s="100" t="b">
        <v>0</v>
      </c>
      <c r="G303" s="100" t="b">
        <v>0</v>
      </c>
    </row>
    <row r="304" spans="1:7" ht="15">
      <c r="A304" s="102" t="s">
        <v>740</v>
      </c>
      <c r="B304" s="100">
        <v>6</v>
      </c>
      <c r="C304" s="104">
        <v>0.017815461694480384</v>
      </c>
      <c r="D304" s="100" t="s">
        <v>689</v>
      </c>
      <c r="E304" s="100" t="b">
        <v>0</v>
      </c>
      <c r="F304" s="100" t="b">
        <v>0</v>
      </c>
      <c r="G304" s="100" t="b">
        <v>0</v>
      </c>
    </row>
    <row r="305" spans="1:7" ht="15">
      <c r="A305" s="102" t="s">
        <v>721</v>
      </c>
      <c r="B305" s="100">
        <v>6</v>
      </c>
      <c r="C305" s="104">
        <v>0.017815461694480384</v>
      </c>
      <c r="D305" s="100" t="s">
        <v>689</v>
      </c>
      <c r="E305" s="100" t="b">
        <v>0</v>
      </c>
      <c r="F305" s="100" t="b">
        <v>0</v>
      </c>
      <c r="G305" s="100" t="b">
        <v>0</v>
      </c>
    </row>
    <row r="306" spans="1:7" ht="15">
      <c r="A306" s="102" t="s">
        <v>722</v>
      </c>
      <c r="B306" s="100">
        <v>6</v>
      </c>
      <c r="C306" s="104">
        <v>0.017815461694480384</v>
      </c>
      <c r="D306" s="100" t="s">
        <v>689</v>
      </c>
      <c r="E306" s="100" t="b">
        <v>0</v>
      </c>
      <c r="F306" s="100" t="b">
        <v>0</v>
      </c>
      <c r="G306" s="100" t="b">
        <v>0</v>
      </c>
    </row>
    <row r="307" spans="1:7" ht="15">
      <c r="A307" s="102" t="s">
        <v>723</v>
      </c>
      <c r="B307" s="100">
        <v>6</v>
      </c>
      <c r="C307" s="104">
        <v>0.017815461694480384</v>
      </c>
      <c r="D307" s="100" t="s">
        <v>689</v>
      </c>
      <c r="E307" s="100" t="b">
        <v>0</v>
      </c>
      <c r="F307" s="100" t="b">
        <v>0</v>
      </c>
      <c r="G307" s="100" t="b">
        <v>0</v>
      </c>
    </row>
    <row r="308" spans="1:7" ht="15">
      <c r="A308" s="102" t="s">
        <v>764</v>
      </c>
      <c r="B308" s="100">
        <v>6</v>
      </c>
      <c r="C308" s="104">
        <v>0.025231854254889646</v>
      </c>
      <c r="D308" s="100" t="s">
        <v>689</v>
      </c>
      <c r="E308" s="100" t="b">
        <v>0</v>
      </c>
      <c r="F308" s="100" t="b">
        <v>0</v>
      </c>
      <c r="G308" s="100" t="b">
        <v>0</v>
      </c>
    </row>
    <row r="309" spans="1:7" ht="15">
      <c r="A309" s="102" t="s">
        <v>765</v>
      </c>
      <c r="B309" s="100">
        <v>6</v>
      </c>
      <c r="C309" s="104">
        <v>0.025231854254889646</v>
      </c>
      <c r="D309" s="100" t="s">
        <v>689</v>
      </c>
      <c r="E309" s="100" t="b">
        <v>0</v>
      </c>
      <c r="F309" s="100" t="b">
        <v>0</v>
      </c>
      <c r="G309" s="100" t="b">
        <v>0</v>
      </c>
    </row>
    <row r="310" spans="1:7" ht="15">
      <c r="A310" s="102" t="s">
        <v>766</v>
      </c>
      <c r="B310" s="100">
        <v>6</v>
      </c>
      <c r="C310" s="104">
        <v>0.025231854254889646</v>
      </c>
      <c r="D310" s="100" t="s">
        <v>689</v>
      </c>
      <c r="E310" s="100" t="b">
        <v>0</v>
      </c>
      <c r="F310" s="100" t="b">
        <v>0</v>
      </c>
      <c r="G310" s="100" t="b">
        <v>0</v>
      </c>
    </row>
    <row r="311" spans="1:7" ht="15">
      <c r="A311" s="102" t="s">
        <v>760</v>
      </c>
      <c r="B311" s="100">
        <v>5</v>
      </c>
      <c r="C311" s="104">
        <v>0.01587188188764071</v>
      </c>
      <c r="D311" s="100" t="s">
        <v>689</v>
      </c>
      <c r="E311" s="100" t="b">
        <v>0</v>
      </c>
      <c r="F311" s="100" t="b">
        <v>0</v>
      </c>
      <c r="G311" s="100" t="b">
        <v>0</v>
      </c>
    </row>
    <row r="312" spans="1:7" ht="15">
      <c r="A312" s="102" t="s">
        <v>761</v>
      </c>
      <c r="B312" s="100">
        <v>5</v>
      </c>
      <c r="C312" s="104">
        <v>0.01587188188764071</v>
      </c>
      <c r="D312" s="100" t="s">
        <v>689</v>
      </c>
      <c r="E312" s="100" t="b">
        <v>0</v>
      </c>
      <c r="F312" s="100" t="b">
        <v>0</v>
      </c>
      <c r="G312" s="100" t="b">
        <v>0</v>
      </c>
    </row>
    <row r="313" spans="1:7" ht="15">
      <c r="A313" s="102" t="s">
        <v>725</v>
      </c>
      <c r="B313" s="100">
        <v>5</v>
      </c>
      <c r="C313" s="104">
        <v>0.01587188188764071</v>
      </c>
      <c r="D313" s="100" t="s">
        <v>689</v>
      </c>
      <c r="E313" s="100" t="b">
        <v>0</v>
      </c>
      <c r="F313" s="100" t="b">
        <v>0</v>
      </c>
      <c r="G313" s="100" t="b">
        <v>0</v>
      </c>
    </row>
    <row r="314" spans="1:7" ht="15">
      <c r="A314" s="102" t="s">
        <v>746</v>
      </c>
      <c r="B314" s="100">
        <v>5</v>
      </c>
      <c r="C314" s="104">
        <v>0.01587188188764071</v>
      </c>
      <c r="D314" s="100" t="s">
        <v>689</v>
      </c>
      <c r="E314" s="100" t="b">
        <v>0</v>
      </c>
      <c r="F314" s="100" t="b">
        <v>0</v>
      </c>
      <c r="G314" s="100" t="b">
        <v>0</v>
      </c>
    </row>
    <row r="315" spans="1:7" ht="15">
      <c r="A315" s="102" t="s">
        <v>724</v>
      </c>
      <c r="B315" s="100">
        <v>5</v>
      </c>
      <c r="C315" s="104">
        <v>0.01587188188764071</v>
      </c>
      <c r="D315" s="100" t="s">
        <v>689</v>
      </c>
      <c r="E315" s="100" t="b">
        <v>0</v>
      </c>
      <c r="F315" s="100" t="b">
        <v>0</v>
      </c>
      <c r="G315" s="100" t="b">
        <v>0</v>
      </c>
    </row>
    <row r="316" spans="1:7" ht="15">
      <c r="A316" s="102" t="s">
        <v>742</v>
      </c>
      <c r="B316" s="100">
        <v>4</v>
      </c>
      <c r="C316" s="104">
        <v>0.013701754349574293</v>
      </c>
      <c r="D316" s="100" t="s">
        <v>689</v>
      </c>
      <c r="E316" s="100" t="b">
        <v>0</v>
      </c>
      <c r="F316" s="100" t="b">
        <v>0</v>
      </c>
      <c r="G316" s="100" t="b">
        <v>0</v>
      </c>
    </row>
    <row r="317" spans="1:7" ht="15">
      <c r="A317" s="102" t="s">
        <v>743</v>
      </c>
      <c r="B317" s="100">
        <v>4</v>
      </c>
      <c r="C317" s="104">
        <v>0.013701754349574293</v>
      </c>
      <c r="D317" s="100" t="s">
        <v>689</v>
      </c>
      <c r="E317" s="100" t="b">
        <v>0</v>
      </c>
      <c r="F317" s="100" t="b">
        <v>0</v>
      </c>
      <c r="G317" s="100" t="b">
        <v>0</v>
      </c>
    </row>
    <row r="318" spans="1:7" ht="15">
      <c r="A318" s="102" t="s">
        <v>775</v>
      </c>
      <c r="B318" s="100">
        <v>4</v>
      </c>
      <c r="C318" s="104">
        <v>0.013701754349574293</v>
      </c>
      <c r="D318" s="100" t="s">
        <v>689</v>
      </c>
      <c r="E318" s="100" t="b">
        <v>0</v>
      </c>
      <c r="F318" s="100" t="b">
        <v>0</v>
      </c>
      <c r="G318" s="100" t="b">
        <v>0</v>
      </c>
    </row>
    <row r="319" spans="1:7" ht="15">
      <c r="A319" s="102" t="s">
        <v>781</v>
      </c>
      <c r="B319" s="100">
        <v>4</v>
      </c>
      <c r="C319" s="104">
        <v>0.013701754349574293</v>
      </c>
      <c r="D319" s="100" t="s">
        <v>689</v>
      </c>
      <c r="E319" s="100" t="b">
        <v>0</v>
      </c>
      <c r="F319" s="100" t="b">
        <v>0</v>
      </c>
      <c r="G319" s="100" t="b">
        <v>0</v>
      </c>
    </row>
    <row r="320" spans="1:7" ht="15">
      <c r="A320" s="102" t="s">
        <v>822</v>
      </c>
      <c r="B320" s="100">
        <v>4</v>
      </c>
      <c r="C320" s="104">
        <v>0.013701754349574293</v>
      </c>
      <c r="D320" s="100" t="s">
        <v>689</v>
      </c>
      <c r="E320" s="100" t="b">
        <v>0</v>
      </c>
      <c r="F320" s="100" t="b">
        <v>0</v>
      </c>
      <c r="G320" s="100" t="b">
        <v>0</v>
      </c>
    </row>
    <row r="321" spans="1:7" ht="15">
      <c r="A321" s="102" t="s">
        <v>823</v>
      </c>
      <c r="B321" s="100">
        <v>4</v>
      </c>
      <c r="C321" s="104">
        <v>0.013701754349574293</v>
      </c>
      <c r="D321" s="100" t="s">
        <v>689</v>
      </c>
      <c r="E321" s="100" t="b">
        <v>0</v>
      </c>
      <c r="F321" s="100" t="b">
        <v>0</v>
      </c>
      <c r="G321" s="100" t="b">
        <v>0</v>
      </c>
    </row>
    <row r="322" spans="1:7" ht="15">
      <c r="A322" s="102" t="s">
        <v>824</v>
      </c>
      <c r="B322" s="100">
        <v>4</v>
      </c>
      <c r="C322" s="104">
        <v>0.013701754349574293</v>
      </c>
      <c r="D322" s="100" t="s">
        <v>689</v>
      </c>
      <c r="E322" s="100" t="b">
        <v>0</v>
      </c>
      <c r="F322" s="100" t="b">
        <v>1</v>
      </c>
      <c r="G322" s="100" t="b">
        <v>0</v>
      </c>
    </row>
    <row r="323" spans="1:7" ht="15">
      <c r="A323" s="102" t="s">
        <v>825</v>
      </c>
      <c r="B323" s="100">
        <v>4</v>
      </c>
      <c r="C323" s="104">
        <v>0.013701754349574293</v>
      </c>
      <c r="D323" s="100" t="s">
        <v>689</v>
      </c>
      <c r="E323" s="100" t="b">
        <v>0</v>
      </c>
      <c r="F323" s="100" t="b">
        <v>0</v>
      </c>
      <c r="G323" s="100" t="b">
        <v>0</v>
      </c>
    </row>
    <row r="324" spans="1:7" ht="15">
      <c r="A324" s="102" t="s">
        <v>739</v>
      </c>
      <c r="B324" s="100">
        <v>4</v>
      </c>
      <c r="C324" s="104">
        <v>0.01682123616992643</v>
      </c>
      <c r="D324" s="100" t="s">
        <v>689</v>
      </c>
      <c r="E324" s="100" t="b">
        <v>0</v>
      </c>
      <c r="F324" s="100" t="b">
        <v>0</v>
      </c>
      <c r="G324" s="100" t="b">
        <v>0</v>
      </c>
    </row>
    <row r="325" spans="1:7" ht="15">
      <c r="A325" s="102" t="s">
        <v>767</v>
      </c>
      <c r="B325" s="100">
        <v>3</v>
      </c>
      <c r="C325" s="104">
        <v>0.011247342212504294</v>
      </c>
      <c r="D325" s="100" t="s">
        <v>689</v>
      </c>
      <c r="E325" s="100" t="b">
        <v>0</v>
      </c>
      <c r="F325" s="100" t="b">
        <v>0</v>
      </c>
      <c r="G325" s="100" t="b">
        <v>0</v>
      </c>
    </row>
    <row r="326" spans="1:7" ht="15">
      <c r="A326" s="102" t="s">
        <v>785</v>
      </c>
      <c r="B326" s="100">
        <v>3</v>
      </c>
      <c r="C326" s="104">
        <v>0.011247342212504294</v>
      </c>
      <c r="D326" s="100" t="s">
        <v>689</v>
      </c>
      <c r="E326" s="100" t="b">
        <v>1</v>
      </c>
      <c r="F326" s="100" t="b">
        <v>0</v>
      </c>
      <c r="G326" s="100" t="b">
        <v>0</v>
      </c>
    </row>
    <row r="327" spans="1:7" ht="15">
      <c r="A327" s="102" t="s">
        <v>798</v>
      </c>
      <c r="B327" s="100">
        <v>3</v>
      </c>
      <c r="C327" s="104">
        <v>0.011247342212504294</v>
      </c>
      <c r="D327" s="100" t="s">
        <v>689</v>
      </c>
      <c r="E327" s="100" t="b">
        <v>0</v>
      </c>
      <c r="F327" s="100" t="b">
        <v>1</v>
      </c>
      <c r="G327" s="100" t="b">
        <v>0</v>
      </c>
    </row>
    <row r="328" spans="1:7" ht="15">
      <c r="A328" s="102" t="s">
        <v>789</v>
      </c>
      <c r="B328" s="100">
        <v>3</v>
      </c>
      <c r="C328" s="104">
        <v>0.011247342212504294</v>
      </c>
      <c r="D328" s="100" t="s">
        <v>689</v>
      </c>
      <c r="E328" s="100" t="b">
        <v>0</v>
      </c>
      <c r="F328" s="100" t="b">
        <v>1</v>
      </c>
      <c r="G328" s="100" t="b">
        <v>0</v>
      </c>
    </row>
    <row r="329" spans="1:7" ht="15">
      <c r="A329" s="102" t="s">
        <v>790</v>
      </c>
      <c r="B329" s="100">
        <v>3</v>
      </c>
      <c r="C329" s="104">
        <v>0.011247342212504294</v>
      </c>
      <c r="D329" s="100" t="s">
        <v>689</v>
      </c>
      <c r="E329" s="100" t="b">
        <v>0</v>
      </c>
      <c r="F329" s="100" t="b">
        <v>0</v>
      </c>
      <c r="G329" s="100" t="b">
        <v>0</v>
      </c>
    </row>
    <row r="330" spans="1:7" ht="15">
      <c r="A330" s="102" t="s">
        <v>791</v>
      </c>
      <c r="B330" s="100">
        <v>3</v>
      </c>
      <c r="C330" s="104">
        <v>0.011247342212504294</v>
      </c>
      <c r="D330" s="100" t="s">
        <v>689</v>
      </c>
      <c r="E330" s="100" t="b">
        <v>0</v>
      </c>
      <c r="F330" s="100" t="b">
        <v>0</v>
      </c>
      <c r="G330" s="100" t="b">
        <v>0</v>
      </c>
    </row>
    <row r="331" spans="1:7" ht="15">
      <c r="A331" s="102" t="s">
        <v>838</v>
      </c>
      <c r="B331" s="100">
        <v>3</v>
      </c>
      <c r="C331" s="104">
        <v>0.014955538492708923</v>
      </c>
      <c r="D331" s="100" t="s">
        <v>689</v>
      </c>
      <c r="E331" s="100" t="b">
        <v>0</v>
      </c>
      <c r="F331" s="100" t="b">
        <v>0</v>
      </c>
      <c r="G331" s="100" t="b">
        <v>0</v>
      </c>
    </row>
    <row r="332" spans="1:7" ht="15">
      <c r="A332" s="102" t="s">
        <v>796</v>
      </c>
      <c r="B332" s="100">
        <v>3</v>
      </c>
      <c r="C332" s="104">
        <v>0.011247342212504294</v>
      </c>
      <c r="D332" s="100" t="s">
        <v>689</v>
      </c>
      <c r="E332" s="100" t="b">
        <v>0</v>
      </c>
      <c r="F332" s="100" t="b">
        <v>0</v>
      </c>
      <c r="G332" s="100" t="b">
        <v>0</v>
      </c>
    </row>
    <row r="333" spans="1:7" ht="15">
      <c r="A333" s="102" t="s">
        <v>797</v>
      </c>
      <c r="B333" s="100">
        <v>3</v>
      </c>
      <c r="C333" s="104">
        <v>0.011247342212504294</v>
      </c>
      <c r="D333" s="100" t="s">
        <v>689</v>
      </c>
      <c r="E333" s="100" t="b">
        <v>1</v>
      </c>
      <c r="F333" s="100" t="b">
        <v>0</v>
      </c>
      <c r="G333" s="100" t="b">
        <v>0</v>
      </c>
    </row>
    <row r="334" spans="1:7" ht="15">
      <c r="A334" s="102" t="s">
        <v>860</v>
      </c>
      <c r="B334" s="100">
        <v>3</v>
      </c>
      <c r="C334" s="104">
        <v>0.014955538492708923</v>
      </c>
      <c r="D334" s="100" t="s">
        <v>689</v>
      </c>
      <c r="E334" s="100" t="b">
        <v>0</v>
      </c>
      <c r="F334" s="100" t="b">
        <v>0</v>
      </c>
      <c r="G334" s="100" t="b">
        <v>0</v>
      </c>
    </row>
    <row r="335" spans="1:7" ht="15">
      <c r="A335" s="102" t="s">
        <v>859</v>
      </c>
      <c r="B335" s="100">
        <v>3</v>
      </c>
      <c r="C335" s="104">
        <v>0.014955538492708923</v>
      </c>
      <c r="D335" s="100" t="s">
        <v>689</v>
      </c>
      <c r="E335" s="100" t="b">
        <v>0</v>
      </c>
      <c r="F335" s="100" t="b">
        <v>0</v>
      </c>
      <c r="G335" s="100" t="b">
        <v>0</v>
      </c>
    </row>
    <row r="336" spans="1:7" ht="15">
      <c r="A336" s="102" t="s">
        <v>462</v>
      </c>
      <c r="B336" s="100">
        <v>3</v>
      </c>
      <c r="C336" s="104">
        <v>0.011247342212504294</v>
      </c>
      <c r="D336" s="100" t="s">
        <v>689</v>
      </c>
      <c r="E336" s="100" t="b">
        <v>0</v>
      </c>
      <c r="F336" s="100" t="b">
        <v>0</v>
      </c>
      <c r="G336" s="100" t="b">
        <v>0</v>
      </c>
    </row>
    <row r="337" spans="1:7" ht="15">
      <c r="A337" s="102" t="s">
        <v>858</v>
      </c>
      <c r="B337" s="100">
        <v>2</v>
      </c>
      <c r="C337" s="104">
        <v>0.008410618084963215</v>
      </c>
      <c r="D337" s="100" t="s">
        <v>689</v>
      </c>
      <c r="E337" s="100" t="b">
        <v>0</v>
      </c>
      <c r="F337" s="100" t="b">
        <v>0</v>
      </c>
      <c r="G337" s="100" t="b">
        <v>0</v>
      </c>
    </row>
    <row r="338" spans="1:7" ht="15">
      <c r="A338" s="102" t="s">
        <v>842</v>
      </c>
      <c r="B338" s="100">
        <v>2</v>
      </c>
      <c r="C338" s="104">
        <v>0.008410618084963215</v>
      </c>
      <c r="D338" s="100" t="s">
        <v>689</v>
      </c>
      <c r="E338" s="100" t="b">
        <v>0</v>
      </c>
      <c r="F338" s="100" t="b">
        <v>0</v>
      </c>
      <c r="G338" s="100" t="b">
        <v>0</v>
      </c>
    </row>
    <row r="339" spans="1:7" ht="15">
      <c r="A339" s="102" t="s">
        <v>768</v>
      </c>
      <c r="B339" s="100">
        <v>2</v>
      </c>
      <c r="C339" s="104">
        <v>0.008410618084963215</v>
      </c>
      <c r="D339" s="100" t="s">
        <v>689</v>
      </c>
      <c r="E339" s="100" t="b">
        <v>0</v>
      </c>
      <c r="F339" s="100" t="b">
        <v>0</v>
      </c>
      <c r="G339" s="100" t="b">
        <v>0</v>
      </c>
    </row>
    <row r="340" spans="1:7" ht="15">
      <c r="A340" s="102" t="s">
        <v>780</v>
      </c>
      <c r="B340" s="100">
        <v>2</v>
      </c>
      <c r="C340" s="104">
        <v>0.008410618084963215</v>
      </c>
      <c r="D340" s="100" t="s">
        <v>689</v>
      </c>
      <c r="E340" s="100" t="b">
        <v>0</v>
      </c>
      <c r="F340" s="100" t="b">
        <v>1</v>
      </c>
      <c r="G340" s="100" t="b">
        <v>0</v>
      </c>
    </row>
    <row r="341" spans="1:7" ht="15">
      <c r="A341" s="102" t="s">
        <v>799</v>
      </c>
      <c r="B341" s="100">
        <v>2</v>
      </c>
      <c r="C341" s="104">
        <v>0.008410618084963215</v>
      </c>
      <c r="D341" s="100" t="s">
        <v>689</v>
      </c>
      <c r="E341" s="100" t="b">
        <v>0</v>
      </c>
      <c r="F341" s="100" t="b">
        <v>0</v>
      </c>
      <c r="G341" s="100" t="b">
        <v>0</v>
      </c>
    </row>
    <row r="342" spans="1:7" ht="15">
      <c r="A342" s="102" t="s">
        <v>801</v>
      </c>
      <c r="B342" s="100">
        <v>2</v>
      </c>
      <c r="C342" s="104">
        <v>0.008410618084963215</v>
      </c>
      <c r="D342" s="100" t="s">
        <v>689</v>
      </c>
      <c r="E342" s="100" t="b">
        <v>0</v>
      </c>
      <c r="F342" s="100" t="b">
        <v>0</v>
      </c>
      <c r="G342" s="100" t="b">
        <v>0</v>
      </c>
    </row>
    <row r="343" spans="1:7" ht="15">
      <c r="A343" s="102" t="s">
        <v>802</v>
      </c>
      <c r="B343" s="100">
        <v>2</v>
      </c>
      <c r="C343" s="104">
        <v>0.008410618084963215</v>
      </c>
      <c r="D343" s="100" t="s">
        <v>689</v>
      </c>
      <c r="E343" s="100" t="b">
        <v>0</v>
      </c>
      <c r="F343" s="100" t="b">
        <v>0</v>
      </c>
      <c r="G343" s="100" t="b">
        <v>0</v>
      </c>
    </row>
    <row r="344" spans="1:7" ht="15">
      <c r="A344" s="102" t="s">
        <v>803</v>
      </c>
      <c r="B344" s="100">
        <v>2</v>
      </c>
      <c r="C344" s="104">
        <v>0.008410618084963215</v>
      </c>
      <c r="D344" s="100" t="s">
        <v>689</v>
      </c>
      <c r="E344" s="100" t="b">
        <v>0</v>
      </c>
      <c r="F344" s="100" t="b">
        <v>0</v>
      </c>
      <c r="G344" s="100" t="b">
        <v>0</v>
      </c>
    </row>
    <row r="345" spans="1:7" ht="15">
      <c r="A345" s="102" t="s">
        <v>884</v>
      </c>
      <c r="B345" s="100">
        <v>2</v>
      </c>
      <c r="C345" s="104">
        <v>0.008410618084963215</v>
      </c>
      <c r="D345" s="100" t="s">
        <v>689</v>
      </c>
      <c r="E345" s="100" t="b">
        <v>0</v>
      </c>
      <c r="F345" s="100" t="b">
        <v>1</v>
      </c>
      <c r="G345" s="100" t="b">
        <v>0</v>
      </c>
    </row>
    <row r="346" spans="1:7" ht="15">
      <c r="A346" s="102" t="s">
        <v>837</v>
      </c>
      <c r="B346" s="100">
        <v>2</v>
      </c>
      <c r="C346" s="104">
        <v>0.008410618084963215</v>
      </c>
      <c r="D346" s="100" t="s">
        <v>689</v>
      </c>
      <c r="E346" s="100" t="b">
        <v>0</v>
      </c>
      <c r="F346" s="100" t="b">
        <v>0</v>
      </c>
      <c r="G346" s="100" t="b">
        <v>0</v>
      </c>
    </row>
    <row r="347" spans="1:7" ht="15">
      <c r="A347" s="102" t="s">
        <v>885</v>
      </c>
      <c r="B347" s="100">
        <v>2</v>
      </c>
      <c r="C347" s="104">
        <v>0.008410618084963215</v>
      </c>
      <c r="D347" s="100" t="s">
        <v>689</v>
      </c>
      <c r="E347" s="100" t="b">
        <v>0</v>
      </c>
      <c r="F347" s="100" t="b">
        <v>0</v>
      </c>
      <c r="G347" s="100" t="b">
        <v>0</v>
      </c>
    </row>
    <row r="348" spans="1:7" ht="15">
      <c r="A348" s="102" t="s">
        <v>841</v>
      </c>
      <c r="B348" s="100">
        <v>2</v>
      </c>
      <c r="C348" s="104">
        <v>0.008410618084963215</v>
      </c>
      <c r="D348" s="100" t="s">
        <v>689</v>
      </c>
      <c r="E348" s="100" t="b">
        <v>0</v>
      </c>
      <c r="F348" s="100" t="b">
        <v>0</v>
      </c>
      <c r="G348" s="100" t="b">
        <v>0</v>
      </c>
    </row>
    <row r="349" spans="1:7" ht="15">
      <c r="A349" s="102" t="s">
        <v>793</v>
      </c>
      <c r="B349" s="100">
        <v>2</v>
      </c>
      <c r="C349" s="104">
        <v>0.008410618084963215</v>
      </c>
      <c r="D349" s="100" t="s">
        <v>689</v>
      </c>
      <c r="E349" s="100" t="b">
        <v>0</v>
      </c>
      <c r="F349" s="100" t="b">
        <v>0</v>
      </c>
      <c r="G349" s="100" t="b">
        <v>0</v>
      </c>
    </row>
    <row r="350" spans="1:7" ht="15">
      <c r="A350" s="102" t="s">
        <v>794</v>
      </c>
      <c r="B350" s="100">
        <v>2</v>
      </c>
      <c r="C350" s="104">
        <v>0.008410618084963215</v>
      </c>
      <c r="D350" s="100" t="s">
        <v>689</v>
      </c>
      <c r="E350" s="100" t="b">
        <v>0</v>
      </c>
      <c r="F350" s="100" t="b">
        <v>0</v>
      </c>
      <c r="G350" s="100" t="b">
        <v>0</v>
      </c>
    </row>
    <row r="351" spans="1:7" ht="15">
      <c r="A351" s="102" t="s">
        <v>903</v>
      </c>
      <c r="B351" s="100">
        <v>2</v>
      </c>
      <c r="C351" s="104">
        <v>0.008410618084963215</v>
      </c>
      <c r="D351" s="100" t="s">
        <v>689</v>
      </c>
      <c r="E351" s="100" t="b">
        <v>0</v>
      </c>
      <c r="F351" s="100" t="b">
        <v>0</v>
      </c>
      <c r="G351" s="100" t="b">
        <v>0</v>
      </c>
    </row>
    <row r="352" spans="1:7" ht="15">
      <c r="A352" s="102" t="s">
        <v>888</v>
      </c>
      <c r="B352" s="100">
        <v>2</v>
      </c>
      <c r="C352" s="104">
        <v>0.008410618084963215</v>
      </c>
      <c r="D352" s="100" t="s">
        <v>689</v>
      </c>
      <c r="E352" s="100" t="b">
        <v>0</v>
      </c>
      <c r="F352" s="100" t="b">
        <v>0</v>
      </c>
      <c r="G352" s="100" t="b">
        <v>0</v>
      </c>
    </row>
    <row r="353" spans="1:7" ht="15">
      <c r="A353" s="102" t="s">
        <v>792</v>
      </c>
      <c r="B353" s="100">
        <v>2</v>
      </c>
      <c r="C353" s="104">
        <v>0.008410618084963215</v>
      </c>
      <c r="D353" s="100" t="s">
        <v>689</v>
      </c>
      <c r="E353" s="100" t="b">
        <v>0</v>
      </c>
      <c r="F353" s="100" t="b">
        <v>0</v>
      </c>
      <c r="G353" s="100" t="b">
        <v>0</v>
      </c>
    </row>
    <row r="354" spans="1:7" ht="15">
      <c r="A354" s="102" t="s">
        <v>747</v>
      </c>
      <c r="B354" s="100">
        <v>2</v>
      </c>
      <c r="C354" s="104">
        <v>0.008410618084963215</v>
      </c>
      <c r="D354" s="100" t="s">
        <v>689</v>
      </c>
      <c r="E354" s="100" t="b">
        <v>0</v>
      </c>
      <c r="F354" s="100" t="b">
        <v>0</v>
      </c>
      <c r="G354" s="100" t="b">
        <v>0</v>
      </c>
    </row>
    <row r="355" spans="1:7" ht="15">
      <c r="A355" s="102" t="s">
        <v>901</v>
      </c>
      <c r="B355" s="100">
        <v>2</v>
      </c>
      <c r="C355" s="104">
        <v>0.008410618084963215</v>
      </c>
      <c r="D355" s="100" t="s">
        <v>689</v>
      </c>
      <c r="E355" s="100" t="b">
        <v>0</v>
      </c>
      <c r="F355" s="100" t="b">
        <v>0</v>
      </c>
      <c r="G355" s="100" t="b">
        <v>0</v>
      </c>
    </row>
    <row r="356" spans="1:7" ht="15">
      <c r="A356" s="102" t="s">
        <v>819</v>
      </c>
      <c r="B356" s="100">
        <v>2</v>
      </c>
      <c r="C356" s="104">
        <v>0.008410618084963215</v>
      </c>
      <c r="D356" s="100" t="s">
        <v>689</v>
      </c>
      <c r="E356" s="100" t="b">
        <v>0</v>
      </c>
      <c r="F356" s="100" t="b">
        <v>0</v>
      </c>
      <c r="G356" s="100" t="b">
        <v>0</v>
      </c>
    </row>
    <row r="357" spans="1:7" ht="15">
      <c r="A357" s="102" t="s">
        <v>846</v>
      </c>
      <c r="B357" s="100">
        <v>2</v>
      </c>
      <c r="C357" s="104">
        <v>0.008410618084963215</v>
      </c>
      <c r="D357" s="100" t="s">
        <v>689</v>
      </c>
      <c r="E357" s="100" t="b">
        <v>0</v>
      </c>
      <c r="F357" s="100" t="b">
        <v>0</v>
      </c>
      <c r="G357" s="100" t="b">
        <v>0</v>
      </c>
    </row>
    <row r="358" spans="1:7" ht="15">
      <c r="A358" s="102" t="s">
        <v>902</v>
      </c>
      <c r="B358" s="100">
        <v>2</v>
      </c>
      <c r="C358" s="104">
        <v>0.008410618084963215</v>
      </c>
      <c r="D358" s="100" t="s">
        <v>689</v>
      </c>
      <c r="E358" s="100" t="b">
        <v>0</v>
      </c>
      <c r="F358" s="100" t="b">
        <v>0</v>
      </c>
      <c r="G358" s="100" t="b">
        <v>0</v>
      </c>
    </row>
    <row r="359" spans="1:7" ht="15">
      <c r="A359" s="102" t="s">
        <v>818</v>
      </c>
      <c r="B359" s="100">
        <v>2</v>
      </c>
      <c r="C359" s="104">
        <v>0.008410618084963215</v>
      </c>
      <c r="D359" s="100" t="s">
        <v>689</v>
      </c>
      <c r="E359" s="100" t="b">
        <v>1</v>
      </c>
      <c r="F359" s="100" t="b">
        <v>0</v>
      </c>
      <c r="G359" s="100" t="b">
        <v>0</v>
      </c>
    </row>
    <row r="360" spans="1:7" ht="15">
      <c r="A360" s="102" t="s">
        <v>912</v>
      </c>
      <c r="B360" s="100">
        <v>2</v>
      </c>
      <c r="C360" s="104">
        <v>0.008410618084963215</v>
      </c>
      <c r="D360" s="100" t="s">
        <v>689</v>
      </c>
      <c r="E360" s="100" t="b">
        <v>0</v>
      </c>
      <c r="F360" s="100" t="b">
        <v>0</v>
      </c>
      <c r="G360" s="100" t="b">
        <v>0</v>
      </c>
    </row>
    <row r="361" spans="1:7" ht="15">
      <c r="A361" s="102" t="s">
        <v>720</v>
      </c>
      <c r="B361" s="100">
        <v>9</v>
      </c>
      <c r="C361" s="104">
        <v>0.03253662085189285</v>
      </c>
      <c r="D361" s="100" t="s">
        <v>690</v>
      </c>
      <c r="E361" s="100" t="b">
        <v>1</v>
      </c>
      <c r="F361" s="100" t="b">
        <v>0</v>
      </c>
      <c r="G361" s="100" t="b">
        <v>0</v>
      </c>
    </row>
    <row r="362" spans="1:7" ht="15">
      <c r="A362" s="102" t="s">
        <v>741</v>
      </c>
      <c r="B362" s="100">
        <v>9</v>
      </c>
      <c r="C362" s="104">
        <v>0.03253662085189285</v>
      </c>
      <c r="D362" s="100" t="s">
        <v>690</v>
      </c>
      <c r="E362" s="100" t="b">
        <v>0</v>
      </c>
      <c r="F362" s="100" t="b">
        <v>0</v>
      </c>
      <c r="G362" s="100" t="b">
        <v>0</v>
      </c>
    </row>
    <row r="363" spans="1:7" ht="15">
      <c r="A363" s="102" t="s">
        <v>718</v>
      </c>
      <c r="B363" s="100">
        <v>8</v>
      </c>
      <c r="C363" s="104">
        <v>0.030842662257609222</v>
      </c>
      <c r="D363" s="100" t="s">
        <v>690</v>
      </c>
      <c r="E363" s="100" t="b">
        <v>0</v>
      </c>
      <c r="F363" s="100" t="b">
        <v>0</v>
      </c>
      <c r="G363" s="100" t="b">
        <v>0</v>
      </c>
    </row>
    <row r="364" spans="1:7" ht="15">
      <c r="A364" s="102" t="s">
        <v>726</v>
      </c>
      <c r="B364" s="100">
        <v>7</v>
      </c>
      <c r="C364" s="104">
        <v>0.02889316810847759</v>
      </c>
      <c r="D364" s="100" t="s">
        <v>690</v>
      </c>
      <c r="E364" s="100" t="b">
        <v>0</v>
      </c>
      <c r="F364" s="100" t="b">
        <v>0</v>
      </c>
      <c r="G364" s="100" t="b">
        <v>0</v>
      </c>
    </row>
    <row r="365" spans="1:7" ht="15">
      <c r="A365" s="102" t="s">
        <v>727</v>
      </c>
      <c r="B365" s="100">
        <v>7</v>
      </c>
      <c r="C365" s="104">
        <v>0.02889316810847759</v>
      </c>
      <c r="D365" s="100" t="s">
        <v>690</v>
      </c>
      <c r="E365" s="100" t="b">
        <v>0</v>
      </c>
      <c r="F365" s="100" t="b">
        <v>0</v>
      </c>
      <c r="G365" s="100" t="b">
        <v>0</v>
      </c>
    </row>
    <row r="366" spans="1:7" ht="15">
      <c r="A366" s="102" t="s">
        <v>728</v>
      </c>
      <c r="B366" s="100">
        <v>7</v>
      </c>
      <c r="C366" s="104">
        <v>0.02889316810847759</v>
      </c>
      <c r="D366" s="100" t="s">
        <v>690</v>
      </c>
      <c r="E366" s="100" t="b">
        <v>0</v>
      </c>
      <c r="F366" s="100" t="b">
        <v>1</v>
      </c>
      <c r="G366" s="100" t="b">
        <v>0</v>
      </c>
    </row>
    <row r="367" spans="1:7" ht="15">
      <c r="A367" s="102" t="s">
        <v>729</v>
      </c>
      <c r="B367" s="100">
        <v>7</v>
      </c>
      <c r="C367" s="104">
        <v>0.02889316810847759</v>
      </c>
      <c r="D367" s="100" t="s">
        <v>690</v>
      </c>
      <c r="E367" s="100" t="b">
        <v>0</v>
      </c>
      <c r="F367" s="100" t="b">
        <v>0</v>
      </c>
      <c r="G367" s="100" t="b">
        <v>0</v>
      </c>
    </row>
    <row r="368" spans="1:7" ht="15">
      <c r="A368" s="102" t="s">
        <v>730</v>
      </c>
      <c r="B368" s="100">
        <v>7</v>
      </c>
      <c r="C368" s="104">
        <v>0.02889316810847759</v>
      </c>
      <c r="D368" s="100" t="s">
        <v>690</v>
      </c>
      <c r="E368" s="100" t="b">
        <v>0</v>
      </c>
      <c r="F368" s="100" t="b">
        <v>0</v>
      </c>
      <c r="G368" s="100" t="b">
        <v>0</v>
      </c>
    </row>
    <row r="369" spans="1:7" ht="15">
      <c r="A369" s="102" t="s">
        <v>731</v>
      </c>
      <c r="B369" s="100">
        <v>7</v>
      </c>
      <c r="C369" s="104">
        <v>0.02889316810847759</v>
      </c>
      <c r="D369" s="100" t="s">
        <v>690</v>
      </c>
      <c r="E369" s="100" t="b">
        <v>0</v>
      </c>
      <c r="F369" s="100" t="b">
        <v>0</v>
      </c>
      <c r="G369" s="100" t="b">
        <v>0</v>
      </c>
    </row>
    <row r="370" spans="1:7" ht="15">
      <c r="A370" s="102" t="s">
        <v>739</v>
      </c>
      <c r="B370" s="100">
        <v>6</v>
      </c>
      <c r="C370" s="104">
        <v>0.03513111591214441</v>
      </c>
      <c r="D370" s="100" t="s">
        <v>690</v>
      </c>
      <c r="E370" s="100" t="b">
        <v>0</v>
      </c>
      <c r="F370" s="100" t="b">
        <v>0</v>
      </c>
      <c r="G370" s="100" t="b">
        <v>0</v>
      </c>
    </row>
    <row r="371" spans="1:7" ht="15">
      <c r="A371" s="102" t="s">
        <v>719</v>
      </c>
      <c r="B371" s="100">
        <v>6</v>
      </c>
      <c r="C371" s="104">
        <v>0.026651397724426634</v>
      </c>
      <c r="D371" s="100" t="s">
        <v>690</v>
      </c>
      <c r="E371" s="100" t="b">
        <v>0</v>
      </c>
      <c r="F371" s="100" t="b">
        <v>0</v>
      </c>
      <c r="G371" s="100" t="b">
        <v>0</v>
      </c>
    </row>
    <row r="372" spans="1:7" ht="15">
      <c r="A372" s="102" t="s">
        <v>734</v>
      </c>
      <c r="B372" s="100">
        <v>4</v>
      </c>
      <c r="C372" s="104">
        <v>0.02107447658728313</v>
      </c>
      <c r="D372" s="100" t="s">
        <v>690</v>
      </c>
      <c r="E372" s="100" t="b">
        <v>0</v>
      </c>
      <c r="F372" s="100" t="b">
        <v>0</v>
      </c>
      <c r="G372" s="100" t="b">
        <v>0</v>
      </c>
    </row>
    <row r="373" spans="1:7" ht="15">
      <c r="A373" s="102" t="s">
        <v>735</v>
      </c>
      <c r="B373" s="100">
        <v>4</v>
      </c>
      <c r="C373" s="104">
        <v>0.02107447658728313</v>
      </c>
      <c r="D373" s="100" t="s">
        <v>690</v>
      </c>
      <c r="E373" s="100" t="b">
        <v>0</v>
      </c>
      <c r="F373" s="100" t="b">
        <v>0</v>
      </c>
      <c r="G373" s="100" t="b">
        <v>0</v>
      </c>
    </row>
    <row r="374" spans="1:7" ht="15">
      <c r="A374" s="102" t="s">
        <v>736</v>
      </c>
      <c r="B374" s="100">
        <v>4</v>
      </c>
      <c r="C374" s="104">
        <v>0.02107447658728313</v>
      </c>
      <c r="D374" s="100" t="s">
        <v>690</v>
      </c>
      <c r="E374" s="100" t="b">
        <v>0</v>
      </c>
      <c r="F374" s="100" t="b">
        <v>0</v>
      </c>
      <c r="G374" s="100" t="b">
        <v>0</v>
      </c>
    </row>
    <row r="375" spans="1:7" ht="15">
      <c r="A375" s="102" t="s">
        <v>737</v>
      </c>
      <c r="B375" s="100">
        <v>4</v>
      </c>
      <c r="C375" s="104">
        <v>0.02107447658728313</v>
      </c>
      <c r="D375" s="100" t="s">
        <v>690</v>
      </c>
      <c r="E375" s="100" t="b">
        <v>0</v>
      </c>
      <c r="F375" s="100" t="b">
        <v>0</v>
      </c>
      <c r="G375" s="100" t="b">
        <v>0</v>
      </c>
    </row>
    <row r="376" spans="1:7" ht="15">
      <c r="A376" s="102" t="s">
        <v>738</v>
      </c>
      <c r="B376" s="100">
        <v>4</v>
      </c>
      <c r="C376" s="104">
        <v>0.02107447658728313</v>
      </c>
      <c r="D376" s="100" t="s">
        <v>690</v>
      </c>
      <c r="E376" s="100" t="b">
        <v>0</v>
      </c>
      <c r="F376" s="100" t="b">
        <v>0</v>
      </c>
      <c r="G376" s="100" t="b">
        <v>0</v>
      </c>
    </row>
    <row r="377" spans="1:7" ht="15">
      <c r="A377" s="102" t="s">
        <v>733</v>
      </c>
      <c r="B377" s="100">
        <v>4</v>
      </c>
      <c r="C377" s="104">
        <v>0.02107447658728313</v>
      </c>
      <c r="D377" s="100" t="s">
        <v>690</v>
      </c>
      <c r="E377" s="100" t="b">
        <v>0</v>
      </c>
      <c r="F377" s="100" t="b">
        <v>0</v>
      </c>
      <c r="G377" s="100" t="b">
        <v>0</v>
      </c>
    </row>
    <row r="378" spans="1:7" ht="15">
      <c r="A378" s="102" t="s">
        <v>792</v>
      </c>
      <c r="B378" s="100">
        <v>3</v>
      </c>
      <c r="C378" s="104">
        <v>0.017565557956072207</v>
      </c>
      <c r="D378" s="100" t="s">
        <v>690</v>
      </c>
      <c r="E378" s="100" t="b">
        <v>0</v>
      </c>
      <c r="F378" s="100" t="b">
        <v>0</v>
      </c>
      <c r="G378" s="100" t="b">
        <v>0</v>
      </c>
    </row>
    <row r="379" spans="1:7" ht="15">
      <c r="A379" s="102" t="s">
        <v>747</v>
      </c>
      <c r="B379" s="100">
        <v>3</v>
      </c>
      <c r="C379" s="104">
        <v>0.017565557956072207</v>
      </c>
      <c r="D379" s="100" t="s">
        <v>690</v>
      </c>
      <c r="E379" s="100" t="b">
        <v>0</v>
      </c>
      <c r="F379" s="100" t="b">
        <v>0</v>
      </c>
      <c r="G379" s="100" t="b">
        <v>0</v>
      </c>
    </row>
    <row r="380" spans="1:7" ht="15">
      <c r="A380" s="102" t="s">
        <v>754</v>
      </c>
      <c r="B380" s="100">
        <v>3</v>
      </c>
      <c r="C380" s="104">
        <v>0.017565557956072207</v>
      </c>
      <c r="D380" s="100" t="s">
        <v>690</v>
      </c>
      <c r="E380" s="100" t="b">
        <v>0</v>
      </c>
      <c r="F380" s="100" t="b">
        <v>0</v>
      </c>
      <c r="G380" s="100" t="b">
        <v>0</v>
      </c>
    </row>
    <row r="381" spans="1:7" ht="15">
      <c r="A381" s="102" t="s">
        <v>755</v>
      </c>
      <c r="B381" s="100">
        <v>3</v>
      </c>
      <c r="C381" s="104">
        <v>0.017565557956072207</v>
      </c>
      <c r="D381" s="100" t="s">
        <v>690</v>
      </c>
      <c r="E381" s="100" t="b">
        <v>0</v>
      </c>
      <c r="F381" s="100" t="b">
        <v>0</v>
      </c>
      <c r="G381" s="100" t="b">
        <v>0</v>
      </c>
    </row>
    <row r="382" spans="1:7" ht="15">
      <c r="A382" s="102" t="s">
        <v>756</v>
      </c>
      <c r="B382" s="100">
        <v>3</v>
      </c>
      <c r="C382" s="104">
        <v>0.017565557956072207</v>
      </c>
      <c r="D382" s="100" t="s">
        <v>690</v>
      </c>
      <c r="E382" s="100" t="b">
        <v>0</v>
      </c>
      <c r="F382" s="100" t="b">
        <v>0</v>
      </c>
      <c r="G382" s="100" t="b">
        <v>0</v>
      </c>
    </row>
    <row r="383" spans="1:7" ht="15">
      <c r="A383" s="102" t="s">
        <v>757</v>
      </c>
      <c r="B383" s="100">
        <v>3</v>
      </c>
      <c r="C383" s="104">
        <v>0.017565557956072207</v>
      </c>
      <c r="D383" s="100" t="s">
        <v>690</v>
      </c>
      <c r="E383" s="100" t="b">
        <v>0</v>
      </c>
      <c r="F383" s="100" t="b">
        <v>0</v>
      </c>
      <c r="G383" s="100" t="b">
        <v>0</v>
      </c>
    </row>
    <row r="384" spans="1:7" ht="15">
      <c r="A384" s="102" t="s">
        <v>721</v>
      </c>
      <c r="B384" s="100">
        <v>3</v>
      </c>
      <c r="C384" s="104">
        <v>0.017565557956072207</v>
      </c>
      <c r="D384" s="100" t="s">
        <v>690</v>
      </c>
      <c r="E384" s="100" t="b">
        <v>0</v>
      </c>
      <c r="F384" s="100" t="b">
        <v>0</v>
      </c>
      <c r="G384" s="100" t="b">
        <v>0</v>
      </c>
    </row>
    <row r="385" spans="1:7" ht="15">
      <c r="A385" s="102" t="s">
        <v>722</v>
      </c>
      <c r="B385" s="100">
        <v>3</v>
      </c>
      <c r="C385" s="104">
        <v>0.017565557956072207</v>
      </c>
      <c r="D385" s="100" t="s">
        <v>690</v>
      </c>
      <c r="E385" s="100" t="b">
        <v>0</v>
      </c>
      <c r="F385" s="100" t="b">
        <v>0</v>
      </c>
      <c r="G385" s="100" t="b">
        <v>0</v>
      </c>
    </row>
    <row r="386" spans="1:7" ht="15">
      <c r="A386" s="102" t="s">
        <v>725</v>
      </c>
      <c r="B386" s="100">
        <v>3</v>
      </c>
      <c r="C386" s="104">
        <v>0.017565557956072207</v>
      </c>
      <c r="D386" s="100" t="s">
        <v>690</v>
      </c>
      <c r="E386" s="100" t="b">
        <v>0</v>
      </c>
      <c r="F386" s="100" t="b">
        <v>0</v>
      </c>
      <c r="G386" s="100" t="b">
        <v>0</v>
      </c>
    </row>
    <row r="387" spans="1:7" ht="15">
      <c r="A387" s="102" t="s">
        <v>723</v>
      </c>
      <c r="B387" s="100">
        <v>3</v>
      </c>
      <c r="C387" s="104">
        <v>0.017565557956072207</v>
      </c>
      <c r="D387" s="100" t="s">
        <v>690</v>
      </c>
      <c r="E387" s="100" t="b">
        <v>0</v>
      </c>
      <c r="F387" s="100" t="b">
        <v>0</v>
      </c>
      <c r="G387" s="100" t="b">
        <v>0</v>
      </c>
    </row>
    <row r="388" spans="1:7" ht="15">
      <c r="A388" s="102" t="s">
        <v>848</v>
      </c>
      <c r="B388" s="100">
        <v>3</v>
      </c>
      <c r="C388" s="104">
        <v>0.024285575628180126</v>
      </c>
      <c r="D388" s="100" t="s">
        <v>690</v>
      </c>
      <c r="E388" s="100" t="b">
        <v>0</v>
      </c>
      <c r="F388" s="100" t="b">
        <v>0</v>
      </c>
      <c r="G388" s="100" t="b">
        <v>0</v>
      </c>
    </row>
    <row r="389" spans="1:7" ht="15">
      <c r="A389" s="102" t="s">
        <v>849</v>
      </c>
      <c r="B389" s="100">
        <v>3</v>
      </c>
      <c r="C389" s="104">
        <v>0.024285575628180126</v>
      </c>
      <c r="D389" s="100" t="s">
        <v>690</v>
      </c>
      <c r="E389" s="100" t="b">
        <v>0</v>
      </c>
      <c r="F389" s="100" t="b">
        <v>0</v>
      </c>
      <c r="G389" s="100" t="b">
        <v>0</v>
      </c>
    </row>
    <row r="390" spans="1:7" ht="15">
      <c r="A390" s="102" t="s">
        <v>850</v>
      </c>
      <c r="B390" s="100">
        <v>3</v>
      </c>
      <c r="C390" s="104">
        <v>0.024285575628180126</v>
      </c>
      <c r="D390" s="100" t="s">
        <v>690</v>
      </c>
      <c r="E390" s="100" t="b">
        <v>0</v>
      </c>
      <c r="F390" s="100" t="b">
        <v>0</v>
      </c>
      <c r="G390" s="100" t="b">
        <v>0</v>
      </c>
    </row>
    <row r="391" spans="1:7" ht="15">
      <c r="A391" s="102" t="s">
        <v>851</v>
      </c>
      <c r="B391" s="100">
        <v>3</v>
      </c>
      <c r="C391" s="104">
        <v>0.024285575628180126</v>
      </c>
      <c r="D391" s="100" t="s">
        <v>690</v>
      </c>
      <c r="E391" s="100" t="b">
        <v>0</v>
      </c>
      <c r="F391" s="100" t="b">
        <v>0</v>
      </c>
      <c r="G391" s="100" t="b">
        <v>0</v>
      </c>
    </row>
    <row r="392" spans="1:7" ht="15">
      <c r="A392" s="102" t="s">
        <v>852</v>
      </c>
      <c r="B392" s="100">
        <v>3</v>
      </c>
      <c r="C392" s="104">
        <v>0.024285575628180126</v>
      </c>
      <c r="D392" s="100" t="s">
        <v>690</v>
      </c>
      <c r="E392" s="100" t="b">
        <v>0</v>
      </c>
      <c r="F392" s="100" t="b">
        <v>0</v>
      </c>
      <c r="G392" s="100" t="b">
        <v>0</v>
      </c>
    </row>
    <row r="393" spans="1:7" ht="15">
      <c r="A393" s="102" t="s">
        <v>853</v>
      </c>
      <c r="B393" s="100">
        <v>3</v>
      </c>
      <c r="C393" s="104">
        <v>0.024285575628180126</v>
      </c>
      <c r="D393" s="100" t="s">
        <v>690</v>
      </c>
      <c r="E393" s="100" t="b">
        <v>0</v>
      </c>
      <c r="F393" s="100" t="b">
        <v>0</v>
      </c>
      <c r="G393" s="100" t="b">
        <v>0</v>
      </c>
    </row>
    <row r="394" spans="1:7" ht="15">
      <c r="A394" s="102" t="s">
        <v>854</v>
      </c>
      <c r="B394" s="100">
        <v>3</v>
      </c>
      <c r="C394" s="104">
        <v>0.024285575628180126</v>
      </c>
      <c r="D394" s="100" t="s">
        <v>690</v>
      </c>
      <c r="E394" s="100" t="b">
        <v>0</v>
      </c>
      <c r="F394" s="100" t="b">
        <v>0</v>
      </c>
      <c r="G394" s="100" t="b">
        <v>0</v>
      </c>
    </row>
    <row r="395" spans="1:7" ht="15">
      <c r="A395" s="102" t="s">
        <v>855</v>
      </c>
      <c r="B395" s="100">
        <v>3</v>
      </c>
      <c r="C395" s="104">
        <v>0.024285575628180126</v>
      </c>
      <c r="D395" s="100" t="s">
        <v>690</v>
      </c>
      <c r="E395" s="100" t="b">
        <v>0</v>
      </c>
      <c r="F395" s="100" t="b">
        <v>0</v>
      </c>
      <c r="G395" s="100" t="b">
        <v>0</v>
      </c>
    </row>
    <row r="396" spans="1:7" ht="15">
      <c r="A396" s="102" t="s">
        <v>785</v>
      </c>
      <c r="B396" s="100">
        <v>3</v>
      </c>
      <c r="C396" s="104">
        <v>0.017565557956072207</v>
      </c>
      <c r="D396" s="100" t="s">
        <v>690</v>
      </c>
      <c r="E396" s="100" t="b">
        <v>1</v>
      </c>
      <c r="F396" s="100" t="b">
        <v>0</v>
      </c>
      <c r="G396" s="100" t="b">
        <v>0</v>
      </c>
    </row>
    <row r="397" spans="1:7" ht="15">
      <c r="A397" s="102" t="s">
        <v>857</v>
      </c>
      <c r="B397" s="100">
        <v>3</v>
      </c>
      <c r="C397" s="104">
        <v>0.024285575628180126</v>
      </c>
      <c r="D397" s="100" t="s">
        <v>690</v>
      </c>
      <c r="E397" s="100" t="b">
        <v>0</v>
      </c>
      <c r="F397" s="100" t="b">
        <v>0</v>
      </c>
      <c r="G397" s="100" t="b">
        <v>0</v>
      </c>
    </row>
    <row r="398" spans="1:7" ht="15">
      <c r="A398" s="102" t="s">
        <v>804</v>
      </c>
      <c r="B398" s="100">
        <v>3</v>
      </c>
      <c r="C398" s="104">
        <v>0.017565557956072207</v>
      </c>
      <c r="D398" s="100" t="s">
        <v>690</v>
      </c>
      <c r="E398" s="100" t="b">
        <v>0</v>
      </c>
      <c r="F398" s="100" t="b">
        <v>0</v>
      </c>
      <c r="G398" s="100" t="b">
        <v>0</v>
      </c>
    </row>
    <row r="399" spans="1:7" ht="15">
      <c r="A399" s="102" t="s">
        <v>805</v>
      </c>
      <c r="B399" s="100">
        <v>3</v>
      </c>
      <c r="C399" s="104">
        <v>0.017565557956072207</v>
      </c>
      <c r="D399" s="100" t="s">
        <v>690</v>
      </c>
      <c r="E399" s="100" t="b">
        <v>0</v>
      </c>
      <c r="F399" s="100" t="b">
        <v>0</v>
      </c>
      <c r="G399" s="100" t="b">
        <v>0</v>
      </c>
    </row>
    <row r="400" spans="1:7" ht="15">
      <c r="A400" s="102" t="s">
        <v>767</v>
      </c>
      <c r="B400" s="100">
        <v>2</v>
      </c>
      <c r="C400" s="104">
        <v>0.013363811022880825</v>
      </c>
      <c r="D400" s="100" t="s">
        <v>690</v>
      </c>
      <c r="E400" s="100" t="b">
        <v>0</v>
      </c>
      <c r="F400" s="100" t="b">
        <v>0</v>
      </c>
      <c r="G400" s="100" t="b">
        <v>0</v>
      </c>
    </row>
    <row r="401" spans="1:7" ht="15">
      <c r="A401" s="102" t="s">
        <v>809</v>
      </c>
      <c r="B401" s="100">
        <v>2</v>
      </c>
      <c r="C401" s="104">
        <v>0.013363811022880825</v>
      </c>
      <c r="D401" s="100" t="s">
        <v>690</v>
      </c>
      <c r="E401" s="100" t="b">
        <v>0</v>
      </c>
      <c r="F401" s="100" t="b">
        <v>0</v>
      </c>
      <c r="G401" s="100" t="b">
        <v>0</v>
      </c>
    </row>
    <row r="402" spans="1:7" ht="15">
      <c r="A402" s="102" t="s">
        <v>774</v>
      </c>
      <c r="B402" s="100">
        <v>2</v>
      </c>
      <c r="C402" s="104">
        <v>0.013363811022880825</v>
      </c>
      <c r="D402" s="100" t="s">
        <v>690</v>
      </c>
      <c r="E402" s="100" t="b">
        <v>0</v>
      </c>
      <c r="F402" s="100" t="b">
        <v>0</v>
      </c>
      <c r="G402" s="100" t="b">
        <v>0</v>
      </c>
    </row>
    <row r="403" spans="1:7" ht="15">
      <c r="A403" s="102" t="s">
        <v>810</v>
      </c>
      <c r="B403" s="100">
        <v>2</v>
      </c>
      <c r="C403" s="104">
        <v>0.013363811022880825</v>
      </c>
      <c r="D403" s="100" t="s">
        <v>690</v>
      </c>
      <c r="E403" s="100" t="b">
        <v>0</v>
      </c>
      <c r="F403" s="100" t="b">
        <v>0</v>
      </c>
      <c r="G403" s="100" t="b">
        <v>0</v>
      </c>
    </row>
    <row r="404" spans="1:7" ht="15">
      <c r="A404" s="102" t="s">
        <v>811</v>
      </c>
      <c r="B404" s="100">
        <v>2</v>
      </c>
      <c r="C404" s="104">
        <v>0.013363811022880825</v>
      </c>
      <c r="D404" s="100" t="s">
        <v>690</v>
      </c>
      <c r="E404" s="100" t="b">
        <v>0</v>
      </c>
      <c r="F404" s="100" t="b">
        <v>0</v>
      </c>
      <c r="G404" s="100" t="b">
        <v>0</v>
      </c>
    </row>
    <row r="405" spans="1:7" ht="15">
      <c r="A405" s="102" t="s">
        <v>775</v>
      </c>
      <c r="B405" s="100">
        <v>2</v>
      </c>
      <c r="C405" s="104">
        <v>0.013363811022880825</v>
      </c>
      <c r="D405" s="100" t="s">
        <v>690</v>
      </c>
      <c r="E405" s="100" t="b">
        <v>0</v>
      </c>
      <c r="F405" s="100" t="b">
        <v>0</v>
      </c>
      <c r="G405" s="100" t="b">
        <v>0</v>
      </c>
    </row>
    <row r="406" spans="1:7" ht="15">
      <c r="A406" s="102" t="s">
        <v>748</v>
      </c>
      <c r="B406" s="100">
        <v>2</v>
      </c>
      <c r="C406" s="104">
        <v>0.013363811022880825</v>
      </c>
      <c r="D406" s="100" t="s">
        <v>690</v>
      </c>
      <c r="E406" s="100" t="b">
        <v>0</v>
      </c>
      <c r="F406" s="100" t="b">
        <v>0</v>
      </c>
      <c r="G406" s="100" t="b">
        <v>0</v>
      </c>
    </row>
    <row r="407" spans="1:7" ht="15">
      <c r="A407" s="102" t="s">
        <v>817</v>
      </c>
      <c r="B407" s="100">
        <v>2</v>
      </c>
      <c r="C407" s="104">
        <v>0.013363811022880825</v>
      </c>
      <c r="D407" s="100" t="s">
        <v>690</v>
      </c>
      <c r="E407" s="100" t="b">
        <v>0</v>
      </c>
      <c r="F407" s="100" t="b">
        <v>1</v>
      </c>
      <c r="G407" s="100" t="b">
        <v>0</v>
      </c>
    </row>
    <row r="408" spans="1:7" ht="15">
      <c r="A408" s="102" t="s">
        <v>758</v>
      </c>
      <c r="B408" s="100">
        <v>2</v>
      </c>
      <c r="C408" s="104">
        <v>0.013363811022880825</v>
      </c>
      <c r="D408" s="100" t="s">
        <v>690</v>
      </c>
      <c r="E408" s="100" t="b">
        <v>0</v>
      </c>
      <c r="F408" s="100" t="b">
        <v>0</v>
      </c>
      <c r="G408" s="100" t="b">
        <v>0</v>
      </c>
    </row>
    <row r="409" spans="1:7" ht="15">
      <c r="A409" s="102" t="s">
        <v>724</v>
      </c>
      <c r="B409" s="100">
        <v>2</v>
      </c>
      <c r="C409" s="104">
        <v>0.013363811022880825</v>
      </c>
      <c r="D409" s="100" t="s">
        <v>690</v>
      </c>
      <c r="E409" s="100" t="b">
        <v>0</v>
      </c>
      <c r="F409" s="100" t="b">
        <v>0</v>
      </c>
      <c r="G409" s="100" t="b">
        <v>0</v>
      </c>
    </row>
    <row r="410" spans="1:7" ht="15">
      <c r="A410" s="102" t="s">
        <v>776</v>
      </c>
      <c r="B410" s="100">
        <v>2</v>
      </c>
      <c r="C410" s="104">
        <v>0.013363811022880825</v>
      </c>
      <c r="D410" s="100" t="s">
        <v>690</v>
      </c>
      <c r="E410" s="100" t="b">
        <v>0</v>
      </c>
      <c r="F410" s="100" t="b">
        <v>0</v>
      </c>
      <c r="G410" s="100" t="b">
        <v>0</v>
      </c>
    </row>
    <row r="411" spans="1:7" ht="15">
      <c r="A411" s="102" t="s">
        <v>821</v>
      </c>
      <c r="B411" s="100">
        <v>2</v>
      </c>
      <c r="C411" s="104">
        <v>0.013363811022880825</v>
      </c>
      <c r="D411" s="100" t="s">
        <v>690</v>
      </c>
      <c r="E411" s="100" t="b">
        <v>0</v>
      </c>
      <c r="F411" s="100" t="b">
        <v>0</v>
      </c>
      <c r="G411" s="100" t="b">
        <v>0</v>
      </c>
    </row>
    <row r="412" spans="1:7" ht="15">
      <c r="A412" s="102" t="s">
        <v>742</v>
      </c>
      <c r="B412" s="100">
        <v>8</v>
      </c>
      <c r="C412" s="104">
        <v>0.026588391112446593</v>
      </c>
      <c r="D412" s="100" t="s">
        <v>691</v>
      </c>
      <c r="E412" s="100" t="b">
        <v>0</v>
      </c>
      <c r="F412" s="100" t="b">
        <v>0</v>
      </c>
      <c r="G412" s="100" t="b">
        <v>0</v>
      </c>
    </row>
    <row r="413" spans="1:7" ht="15">
      <c r="A413" s="102" t="s">
        <v>743</v>
      </c>
      <c r="B413" s="100">
        <v>8</v>
      </c>
      <c r="C413" s="104">
        <v>0.026588391112446593</v>
      </c>
      <c r="D413" s="100" t="s">
        <v>691</v>
      </c>
      <c r="E413" s="100" t="b">
        <v>0</v>
      </c>
      <c r="F413" s="100" t="b">
        <v>0</v>
      </c>
      <c r="G413" s="100" t="b">
        <v>0</v>
      </c>
    </row>
    <row r="414" spans="1:7" ht="15">
      <c r="A414" s="102" t="s">
        <v>718</v>
      </c>
      <c r="B414" s="100">
        <v>7</v>
      </c>
      <c r="C414" s="104">
        <v>0.02522592255596955</v>
      </c>
      <c r="D414" s="100" t="s">
        <v>691</v>
      </c>
      <c r="E414" s="100" t="b">
        <v>0</v>
      </c>
      <c r="F414" s="100" t="b">
        <v>0</v>
      </c>
      <c r="G414" s="100" t="b">
        <v>0</v>
      </c>
    </row>
    <row r="415" spans="1:7" ht="15">
      <c r="A415" s="102" t="s">
        <v>721</v>
      </c>
      <c r="B415" s="100">
        <v>6</v>
      </c>
      <c r="C415" s="104">
        <v>0.02356270598964799</v>
      </c>
      <c r="D415" s="100" t="s">
        <v>691</v>
      </c>
      <c r="E415" s="100" t="b">
        <v>0</v>
      </c>
      <c r="F415" s="100" t="b">
        <v>0</v>
      </c>
      <c r="G415" s="100" t="b">
        <v>0</v>
      </c>
    </row>
    <row r="416" spans="1:7" ht="15">
      <c r="A416" s="102" t="s">
        <v>722</v>
      </c>
      <c r="B416" s="100">
        <v>6</v>
      </c>
      <c r="C416" s="104">
        <v>0.02356270598964799</v>
      </c>
      <c r="D416" s="100" t="s">
        <v>691</v>
      </c>
      <c r="E416" s="100" t="b">
        <v>0</v>
      </c>
      <c r="F416" s="100" t="b">
        <v>0</v>
      </c>
      <c r="G416" s="100" t="b">
        <v>0</v>
      </c>
    </row>
    <row r="417" spans="1:7" ht="15">
      <c r="A417" s="102" t="s">
        <v>723</v>
      </c>
      <c r="B417" s="100">
        <v>6</v>
      </c>
      <c r="C417" s="104">
        <v>0.02356270598964799</v>
      </c>
      <c r="D417" s="100" t="s">
        <v>691</v>
      </c>
      <c r="E417" s="100" t="b">
        <v>0</v>
      </c>
      <c r="F417" s="100" t="b">
        <v>0</v>
      </c>
      <c r="G417" s="100" t="b">
        <v>0</v>
      </c>
    </row>
    <row r="418" spans="1:7" ht="15">
      <c r="A418" s="102" t="s">
        <v>741</v>
      </c>
      <c r="B418" s="100">
        <v>5</v>
      </c>
      <c r="C418" s="104">
        <v>0.0215481788089488</v>
      </c>
      <c r="D418" s="100" t="s">
        <v>691</v>
      </c>
      <c r="E418" s="100" t="b">
        <v>0</v>
      </c>
      <c r="F418" s="100" t="b">
        <v>0</v>
      </c>
      <c r="G418" s="100" t="b">
        <v>0</v>
      </c>
    </row>
    <row r="419" spans="1:7" ht="15">
      <c r="A419" s="102" t="s">
        <v>720</v>
      </c>
      <c r="B419" s="100">
        <v>5</v>
      </c>
      <c r="C419" s="104">
        <v>0.0215481788089488</v>
      </c>
      <c r="D419" s="100" t="s">
        <v>691</v>
      </c>
      <c r="E419" s="100" t="b">
        <v>1</v>
      </c>
      <c r="F419" s="100" t="b">
        <v>0</v>
      </c>
      <c r="G419" s="100" t="b">
        <v>0</v>
      </c>
    </row>
    <row r="420" spans="1:7" ht="15">
      <c r="A420" s="102" t="s">
        <v>734</v>
      </c>
      <c r="B420" s="100">
        <v>5</v>
      </c>
      <c r="C420" s="104">
        <v>0.0215481788089488</v>
      </c>
      <c r="D420" s="100" t="s">
        <v>691</v>
      </c>
      <c r="E420" s="100" t="b">
        <v>0</v>
      </c>
      <c r="F420" s="100" t="b">
        <v>0</v>
      </c>
      <c r="G420" s="100" t="b">
        <v>0</v>
      </c>
    </row>
    <row r="421" spans="1:7" ht="15">
      <c r="A421" s="102" t="s">
        <v>735</v>
      </c>
      <c r="B421" s="100">
        <v>5</v>
      </c>
      <c r="C421" s="104">
        <v>0.0215481788089488</v>
      </c>
      <c r="D421" s="100" t="s">
        <v>691</v>
      </c>
      <c r="E421" s="100" t="b">
        <v>0</v>
      </c>
      <c r="F421" s="100" t="b">
        <v>0</v>
      </c>
      <c r="G421" s="100" t="b">
        <v>0</v>
      </c>
    </row>
    <row r="422" spans="1:7" ht="15">
      <c r="A422" s="102" t="s">
        <v>736</v>
      </c>
      <c r="B422" s="100">
        <v>5</v>
      </c>
      <c r="C422" s="104">
        <v>0.0215481788089488</v>
      </c>
      <c r="D422" s="100" t="s">
        <v>691</v>
      </c>
      <c r="E422" s="100" t="b">
        <v>0</v>
      </c>
      <c r="F422" s="100" t="b">
        <v>0</v>
      </c>
      <c r="G422" s="100" t="b">
        <v>0</v>
      </c>
    </row>
    <row r="423" spans="1:7" ht="15">
      <c r="A423" s="102" t="s">
        <v>737</v>
      </c>
      <c r="B423" s="100">
        <v>5</v>
      </c>
      <c r="C423" s="104">
        <v>0.0215481788089488</v>
      </c>
      <c r="D423" s="100" t="s">
        <v>691</v>
      </c>
      <c r="E423" s="100" t="b">
        <v>0</v>
      </c>
      <c r="F423" s="100" t="b">
        <v>0</v>
      </c>
      <c r="G423" s="100" t="b">
        <v>0</v>
      </c>
    </row>
    <row r="424" spans="1:7" ht="15">
      <c r="A424" s="102" t="s">
        <v>738</v>
      </c>
      <c r="B424" s="100">
        <v>5</v>
      </c>
      <c r="C424" s="104">
        <v>0.0215481788089488</v>
      </c>
      <c r="D424" s="100" t="s">
        <v>691</v>
      </c>
      <c r="E424" s="100" t="b">
        <v>0</v>
      </c>
      <c r="F424" s="100" t="b">
        <v>0</v>
      </c>
      <c r="G424" s="100" t="b">
        <v>0</v>
      </c>
    </row>
    <row r="425" spans="1:7" ht="15">
      <c r="A425" s="102" t="s">
        <v>733</v>
      </c>
      <c r="B425" s="100">
        <v>5</v>
      </c>
      <c r="C425" s="104">
        <v>0.0215481788089488</v>
      </c>
      <c r="D425" s="100" t="s">
        <v>691</v>
      </c>
      <c r="E425" s="100" t="b">
        <v>0</v>
      </c>
      <c r="F425" s="100" t="b">
        <v>0</v>
      </c>
      <c r="G425" s="100" t="b">
        <v>0</v>
      </c>
    </row>
    <row r="426" spans="1:7" ht="15">
      <c r="A426" s="102" t="s">
        <v>813</v>
      </c>
      <c r="B426" s="100">
        <v>4</v>
      </c>
      <c r="C426" s="104">
        <v>0.01911120030335337</v>
      </c>
      <c r="D426" s="100" t="s">
        <v>691</v>
      </c>
      <c r="E426" s="100" t="b">
        <v>1</v>
      </c>
      <c r="F426" s="100" t="b">
        <v>0</v>
      </c>
      <c r="G426" s="100" t="b">
        <v>0</v>
      </c>
    </row>
    <row r="427" spans="1:7" ht="15">
      <c r="A427" s="102" t="s">
        <v>814</v>
      </c>
      <c r="B427" s="100">
        <v>4</v>
      </c>
      <c r="C427" s="104">
        <v>0.01911120030335337</v>
      </c>
      <c r="D427" s="100" t="s">
        <v>691</v>
      </c>
      <c r="E427" s="100" t="b">
        <v>0</v>
      </c>
      <c r="F427" s="100" t="b">
        <v>0</v>
      </c>
      <c r="G427" s="100" t="b">
        <v>0</v>
      </c>
    </row>
    <row r="428" spans="1:7" ht="15">
      <c r="A428" s="102" t="s">
        <v>812</v>
      </c>
      <c r="B428" s="100">
        <v>4</v>
      </c>
      <c r="C428" s="104">
        <v>0.01911120030335337</v>
      </c>
      <c r="D428" s="100" t="s">
        <v>691</v>
      </c>
      <c r="E428" s="100" t="b">
        <v>0</v>
      </c>
      <c r="F428" s="100" t="b">
        <v>0</v>
      </c>
      <c r="G428" s="100" t="b">
        <v>0</v>
      </c>
    </row>
    <row r="429" spans="1:7" ht="15">
      <c r="A429" s="102" t="s">
        <v>806</v>
      </c>
      <c r="B429" s="100">
        <v>4</v>
      </c>
      <c r="C429" s="104">
        <v>0.01911120030335337</v>
      </c>
      <c r="D429" s="100" t="s">
        <v>691</v>
      </c>
      <c r="E429" s="100" t="b">
        <v>0</v>
      </c>
      <c r="F429" s="100" t="b">
        <v>1</v>
      </c>
      <c r="G429" s="100" t="b">
        <v>0</v>
      </c>
    </row>
    <row r="430" spans="1:7" ht="15">
      <c r="A430" s="102" t="s">
        <v>807</v>
      </c>
      <c r="B430" s="100">
        <v>4</v>
      </c>
      <c r="C430" s="104">
        <v>0.01911120030335337</v>
      </c>
      <c r="D430" s="100" t="s">
        <v>691</v>
      </c>
      <c r="E430" s="100" t="b">
        <v>0</v>
      </c>
      <c r="F430" s="100" t="b">
        <v>0</v>
      </c>
      <c r="G430" s="100" t="b">
        <v>0</v>
      </c>
    </row>
    <row r="431" spans="1:7" ht="15">
      <c r="A431" s="102" t="s">
        <v>808</v>
      </c>
      <c r="B431" s="100">
        <v>4</v>
      </c>
      <c r="C431" s="104">
        <v>0.01911120030335337</v>
      </c>
      <c r="D431" s="100" t="s">
        <v>691</v>
      </c>
      <c r="E431" s="100" t="b">
        <v>0</v>
      </c>
      <c r="F431" s="100" t="b">
        <v>1</v>
      </c>
      <c r="G431" s="100" t="b">
        <v>0</v>
      </c>
    </row>
    <row r="432" spans="1:7" ht="15">
      <c r="A432" s="102" t="s">
        <v>749</v>
      </c>
      <c r="B432" s="100">
        <v>4</v>
      </c>
      <c r="C432" s="104">
        <v>0.02492820505048344</v>
      </c>
      <c r="D432" s="100" t="s">
        <v>691</v>
      </c>
      <c r="E432" s="100" t="b">
        <v>0</v>
      </c>
      <c r="F432" s="100" t="b">
        <v>0</v>
      </c>
      <c r="G432" s="100" t="b">
        <v>0</v>
      </c>
    </row>
    <row r="433" spans="1:7" ht="15">
      <c r="A433" s="102" t="s">
        <v>750</v>
      </c>
      <c r="B433" s="100">
        <v>3</v>
      </c>
      <c r="C433" s="104">
        <v>0.016144106555171546</v>
      </c>
      <c r="D433" s="100" t="s">
        <v>691</v>
      </c>
      <c r="E433" s="100" t="b">
        <v>0</v>
      </c>
      <c r="F433" s="100" t="b">
        <v>1</v>
      </c>
      <c r="G433" s="100" t="b">
        <v>0</v>
      </c>
    </row>
    <row r="434" spans="1:7" ht="15">
      <c r="A434" s="102" t="s">
        <v>751</v>
      </c>
      <c r="B434" s="100">
        <v>3</v>
      </c>
      <c r="C434" s="104">
        <v>0.016144106555171546</v>
      </c>
      <c r="D434" s="100" t="s">
        <v>691</v>
      </c>
      <c r="E434" s="100" t="b">
        <v>0</v>
      </c>
      <c r="F434" s="100" t="b">
        <v>1</v>
      </c>
      <c r="G434" s="100" t="b">
        <v>0</v>
      </c>
    </row>
    <row r="435" spans="1:7" ht="15">
      <c r="A435" s="102" t="s">
        <v>752</v>
      </c>
      <c r="B435" s="100">
        <v>3</v>
      </c>
      <c r="C435" s="104">
        <v>0.016144106555171546</v>
      </c>
      <c r="D435" s="100" t="s">
        <v>691</v>
      </c>
      <c r="E435" s="100" t="b">
        <v>1</v>
      </c>
      <c r="F435" s="100" t="b">
        <v>0</v>
      </c>
      <c r="G435" s="100" t="b">
        <v>0</v>
      </c>
    </row>
    <row r="436" spans="1:7" ht="15">
      <c r="A436" s="102" t="s">
        <v>753</v>
      </c>
      <c r="B436" s="100">
        <v>3</v>
      </c>
      <c r="C436" s="104">
        <v>0.016144106555171546</v>
      </c>
      <c r="D436" s="100" t="s">
        <v>691</v>
      </c>
      <c r="E436" s="100" t="b">
        <v>0</v>
      </c>
      <c r="F436" s="100" t="b">
        <v>0</v>
      </c>
      <c r="G436" s="100" t="b">
        <v>0</v>
      </c>
    </row>
    <row r="437" spans="1:7" ht="15">
      <c r="A437" s="102" t="s">
        <v>856</v>
      </c>
      <c r="B437" s="100">
        <v>3</v>
      </c>
      <c r="C437" s="104">
        <v>0.016144106555171546</v>
      </c>
      <c r="D437" s="100" t="s">
        <v>691</v>
      </c>
      <c r="E437" s="100" t="b">
        <v>0</v>
      </c>
      <c r="F437" s="100" t="b">
        <v>0</v>
      </c>
      <c r="G437" s="100" t="b">
        <v>0</v>
      </c>
    </row>
    <row r="438" spans="1:7" ht="15">
      <c r="A438" s="102" t="s">
        <v>724</v>
      </c>
      <c r="B438" s="100">
        <v>3</v>
      </c>
      <c r="C438" s="104">
        <v>0.016144106555171546</v>
      </c>
      <c r="D438" s="100" t="s">
        <v>691</v>
      </c>
      <c r="E438" s="100" t="b">
        <v>0</v>
      </c>
      <c r="F438" s="100" t="b">
        <v>0</v>
      </c>
      <c r="G438" s="100" t="b">
        <v>0</v>
      </c>
    </row>
    <row r="439" spans="1:7" ht="15">
      <c r="A439" s="102" t="s">
        <v>866</v>
      </c>
      <c r="B439" s="100">
        <v>3</v>
      </c>
      <c r="C439" s="104">
        <v>0.02305890734821013</v>
      </c>
      <c r="D439" s="100" t="s">
        <v>691</v>
      </c>
      <c r="E439" s="100" t="b">
        <v>0</v>
      </c>
      <c r="F439" s="100" t="b">
        <v>0</v>
      </c>
      <c r="G439" s="100" t="b">
        <v>0</v>
      </c>
    </row>
    <row r="440" spans="1:7" ht="15">
      <c r="A440" s="102" t="s">
        <v>867</v>
      </c>
      <c r="B440" s="100">
        <v>3</v>
      </c>
      <c r="C440" s="104">
        <v>0.02305890734821013</v>
      </c>
      <c r="D440" s="100" t="s">
        <v>691</v>
      </c>
      <c r="E440" s="100" t="b">
        <v>0</v>
      </c>
      <c r="F440" s="100" t="b">
        <v>0</v>
      </c>
      <c r="G440" s="100" t="b">
        <v>0</v>
      </c>
    </row>
    <row r="441" spans="1:7" ht="15">
      <c r="A441" s="102" t="s">
        <v>868</v>
      </c>
      <c r="B441" s="100">
        <v>3</v>
      </c>
      <c r="C441" s="104">
        <v>0.02305890734821013</v>
      </c>
      <c r="D441" s="100" t="s">
        <v>691</v>
      </c>
      <c r="E441" s="100" t="b">
        <v>0</v>
      </c>
      <c r="F441" s="100" t="b">
        <v>0</v>
      </c>
      <c r="G441" s="100" t="b">
        <v>0</v>
      </c>
    </row>
    <row r="442" spans="1:7" ht="15">
      <c r="A442" s="102" t="s">
        <v>869</v>
      </c>
      <c r="B442" s="100">
        <v>3</v>
      </c>
      <c r="C442" s="104">
        <v>0.02305890734821013</v>
      </c>
      <c r="D442" s="100" t="s">
        <v>691</v>
      </c>
      <c r="E442" s="100" t="b">
        <v>0</v>
      </c>
      <c r="F442" s="100" t="b">
        <v>0</v>
      </c>
      <c r="G442" s="100" t="b">
        <v>0</v>
      </c>
    </row>
    <row r="443" spans="1:7" ht="15">
      <c r="A443" s="102" t="s">
        <v>782</v>
      </c>
      <c r="B443" s="100">
        <v>3</v>
      </c>
      <c r="C443" s="104">
        <v>0.02305890734821013</v>
      </c>
      <c r="D443" s="100" t="s">
        <v>691</v>
      </c>
      <c r="E443" s="100" t="b">
        <v>0</v>
      </c>
      <c r="F443" s="100" t="b">
        <v>0</v>
      </c>
      <c r="G443" s="100" t="b">
        <v>0</v>
      </c>
    </row>
    <row r="444" spans="1:7" ht="15">
      <c r="A444" s="102" t="s">
        <v>826</v>
      </c>
      <c r="B444" s="100">
        <v>2</v>
      </c>
      <c r="C444" s="104">
        <v>0.01246410252524172</v>
      </c>
      <c r="D444" s="100" t="s">
        <v>691</v>
      </c>
      <c r="E444" s="100" t="b">
        <v>0</v>
      </c>
      <c r="F444" s="100" t="b">
        <v>0</v>
      </c>
      <c r="G444" s="100" t="b">
        <v>0</v>
      </c>
    </row>
    <row r="445" spans="1:7" ht="15">
      <c r="A445" s="102" t="s">
        <v>719</v>
      </c>
      <c r="B445" s="100">
        <v>2</v>
      </c>
      <c r="C445" s="104">
        <v>0.01246410252524172</v>
      </c>
      <c r="D445" s="100" t="s">
        <v>691</v>
      </c>
      <c r="E445" s="100" t="b">
        <v>0</v>
      </c>
      <c r="F445" s="100" t="b">
        <v>0</v>
      </c>
      <c r="G445" s="100" t="b">
        <v>0</v>
      </c>
    </row>
    <row r="446" spans="1:7" ht="15">
      <c r="A446" s="102" t="s">
        <v>758</v>
      </c>
      <c r="B446" s="100">
        <v>2</v>
      </c>
      <c r="C446" s="104">
        <v>0.01246410252524172</v>
      </c>
      <c r="D446" s="100" t="s">
        <v>691</v>
      </c>
      <c r="E446" s="100" t="b">
        <v>0</v>
      </c>
      <c r="F446" s="100" t="b">
        <v>0</v>
      </c>
      <c r="G446" s="100" t="b">
        <v>0</v>
      </c>
    </row>
    <row r="447" spans="1:7" ht="15">
      <c r="A447" s="102" t="s">
        <v>911</v>
      </c>
      <c r="B447" s="100">
        <v>2</v>
      </c>
      <c r="C447" s="104">
        <v>0.01246410252524172</v>
      </c>
      <c r="D447" s="100" t="s">
        <v>691</v>
      </c>
      <c r="E447" s="100" t="b">
        <v>0</v>
      </c>
      <c r="F447" s="100" t="b">
        <v>0</v>
      </c>
      <c r="G447" s="100" t="b">
        <v>0</v>
      </c>
    </row>
    <row r="448" spans="1:7" ht="15">
      <c r="A448" s="102" t="s">
        <v>887</v>
      </c>
      <c r="B448" s="100">
        <v>2</v>
      </c>
      <c r="C448" s="104">
        <v>0.01246410252524172</v>
      </c>
      <c r="D448" s="100" t="s">
        <v>691</v>
      </c>
      <c r="E448" s="100" t="b">
        <v>0</v>
      </c>
      <c r="F448" s="100" t="b">
        <v>0</v>
      </c>
      <c r="G448" s="100" t="b">
        <v>0</v>
      </c>
    </row>
    <row r="449" spans="1:7" ht="15">
      <c r="A449" s="102" t="s">
        <v>725</v>
      </c>
      <c r="B449" s="100">
        <v>2</v>
      </c>
      <c r="C449" s="104">
        <v>0.01246410252524172</v>
      </c>
      <c r="D449" s="100" t="s">
        <v>691</v>
      </c>
      <c r="E449" s="100" t="b">
        <v>0</v>
      </c>
      <c r="F449" s="100" t="b">
        <v>0</v>
      </c>
      <c r="G449" s="100" t="b">
        <v>0</v>
      </c>
    </row>
    <row r="450" spans="1:7" ht="15">
      <c r="A450" s="102" t="s">
        <v>799</v>
      </c>
      <c r="B450" s="100">
        <v>2</v>
      </c>
      <c r="C450" s="104">
        <v>0.01246410252524172</v>
      </c>
      <c r="D450" s="100" t="s">
        <v>691</v>
      </c>
      <c r="E450" s="100" t="b">
        <v>0</v>
      </c>
      <c r="F450" s="100" t="b">
        <v>0</v>
      </c>
      <c r="G450" s="100" t="b">
        <v>0</v>
      </c>
    </row>
    <row r="451" spans="1:7" ht="15">
      <c r="A451" s="102" t="s">
        <v>894</v>
      </c>
      <c r="B451" s="100">
        <v>2</v>
      </c>
      <c r="C451" s="104">
        <v>0.01246410252524172</v>
      </c>
      <c r="D451" s="100" t="s">
        <v>691</v>
      </c>
      <c r="E451" s="100" t="b">
        <v>0</v>
      </c>
      <c r="F451" s="100" t="b">
        <v>0</v>
      </c>
      <c r="G451" s="100" t="b">
        <v>0</v>
      </c>
    </row>
    <row r="452" spans="1:7" ht="15">
      <c r="A452" s="102" t="s">
        <v>895</v>
      </c>
      <c r="B452" s="100">
        <v>2</v>
      </c>
      <c r="C452" s="104">
        <v>0.015372604898806755</v>
      </c>
      <c r="D452" s="100" t="s">
        <v>691</v>
      </c>
      <c r="E452" s="100" t="b">
        <v>0</v>
      </c>
      <c r="F452" s="100" t="b">
        <v>0</v>
      </c>
      <c r="G452" s="100" t="b">
        <v>0</v>
      </c>
    </row>
    <row r="453" spans="1:7" ht="15">
      <c r="A453" s="102" t="s">
        <v>896</v>
      </c>
      <c r="B453" s="100">
        <v>2</v>
      </c>
      <c r="C453" s="104">
        <v>0.015372604898806755</v>
      </c>
      <c r="D453" s="100" t="s">
        <v>691</v>
      </c>
      <c r="E453" s="100" t="b">
        <v>0</v>
      </c>
      <c r="F453" s="100" t="b">
        <v>0</v>
      </c>
      <c r="G453" s="100" t="b">
        <v>0</v>
      </c>
    </row>
    <row r="454" spans="1:7" ht="15">
      <c r="A454" s="102" t="s">
        <v>897</v>
      </c>
      <c r="B454" s="100">
        <v>2</v>
      </c>
      <c r="C454" s="104">
        <v>0.015372604898806755</v>
      </c>
      <c r="D454" s="100" t="s">
        <v>691</v>
      </c>
      <c r="E454" s="100" t="b">
        <v>0</v>
      </c>
      <c r="F454" s="100" t="b">
        <v>0</v>
      </c>
      <c r="G454" s="100" t="b">
        <v>0</v>
      </c>
    </row>
    <row r="455" spans="1:7" ht="15">
      <c r="A455" s="102" t="s">
        <v>915</v>
      </c>
      <c r="B455" s="100">
        <v>2</v>
      </c>
      <c r="C455" s="104">
        <v>0.01246410252524172</v>
      </c>
      <c r="D455" s="100" t="s">
        <v>691</v>
      </c>
      <c r="E455" s="100" t="b">
        <v>0</v>
      </c>
      <c r="F455" s="100" t="b">
        <v>0</v>
      </c>
      <c r="G455" s="100" t="b">
        <v>0</v>
      </c>
    </row>
    <row r="456" spans="1:7" ht="15">
      <c r="A456" s="102" t="s">
        <v>919</v>
      </c>
      <c r="B456" s="100">
        <v>2</v>
      </c>
      <c r="C456" s="104">
        <v>0.01246410252524172</v>
      </c>
      <c r="D456" s="100" t="s">
        <v>691</v>
      </c>
      <c r="E456" s="100" t="b">
        <v>0</v>
      </c>
      <c r="F456" s="100" t="b">
        <v>0</v>
      </c>
      <c r="G456" s="100" t="b">
        <v>0</v>
      </c>
    </row>
    <row r="457" spans="1:7" ht="15">
      <c r="A457" s="102" t="s">
        <v>732</v>
      </c>
      <c r="B457" s="100">
        <v>2</v>
      </c>
      <c r="C457" s="104">
        <v>0.01246410252524172</v>
      </c>
      <c r="D457" s="100" t="s">
        <v>691</v>
      </c>
      <c r="E457" s="100" t="b">
        <v>0</v>
      </c>
      <c r="F457" s="100" t="b">
        <v>1</v>
      </c>
      <c r="G457" s="100" t="b">
        <v>0</v>
      </c>
    </row>
    <row r="458" spans="1:7" ht="15">
      <c r="A458" s="102" t="s">
        <v>920</v>
      </c>
      <c r="B458" s="100">
        <v>2</v>
      </c>
      <c r="C458" s="104">
        <v>0.01246410252524172</v>
      </c>
      <c r="D458" s="100" t="s">
        <v>691</v>
      </c>
      <c r="E458" s="100" t="b">
        <v>0</v>
      </c>
      <c r="F458" s="100" t="b">
        <v>0</v>
      </c>
      <c r="G458" s="100" t="b">
        <v>0</v>
      </c>
    </row>
    <row r="459" spans="1:7" ht="15">
      <c r="A459" s="102" t="s">
        <v>732</v>
      </c>
      <c r="B459" s="100">
        <v>15</v>
      </c>
      <c r="C459" s="104">
        <v>0.03618507584521622</v>
      </c>
      <c r="D459" s="100" t="s">
        <v>692</v>
      </c>
      <c r="E459" s="100" t="b">
        <v>0</v>
      </c>
      <c r="F459" s="100" t="b">
        <v>1</v>
      </c>
      <c r="G459" s="100" t="b">
        <v>0</v>
      </c>
    </row>
    <row r="460" spans="1:7" ht="15">
      <c r="A460" s="102" t="s">
        <v>733</v>
      </c>
      <c r="B460" s="100">
        <v>11</v>
      </c>
      <c r="C460" s="104">
        <v>0.035040528595807335</v>
      </c>
      <c r="D460" s="100" t="s">
        <v>692</v>
      </c>
      <c r="E460" s="100" t="b">
        <v>0</v>
      </c>
      <c r="F460" s="100" t="b">
        <v>0</v>
      </c>
      <c r="G460" s="100" t="b">
        <v>0</v>
      </c>
    </row>
    <row r="461" spans="1:7" ht="15">
      <c r="A461" s="102" t="s">
        <v>734</v>
      </c>
      <c r="B461" s="100">
        <v>10</v>
      </c>
      <c r="C461" s="104">
        <v>0.03185502599618849</v>
      </c>
      <c r="D461" s="100" t="s">
        <v>692</v>
      </c>
      <c r="E461" s="100" t="b">
        <v>0</v>
      </c>
      <c r="F461" s="100" t="b">
        <v>0</v>
      </c>
      <c r="G461" s="100" t="b">
        <v>0</v>
      </c>
    </row>
    <row r="462" spans="1:7" ht="15">
      <c r="A462" s="102" t="s">
        <v>735</v>
      </c>
      <c r="B462" s="100">
        <v>10</v>
      </c>
      <c r="C462" s="104">
        <v>0.03185502599618849</v>
      </c>
      <c r="D462" s="100" t="s">
        <v>692</v>
      </c>
      <c r="E462" s="100" t="b">
        <v>0</v>
      </c>
      <c r="F462" s="100" t="b">
        <v>0</v>
      </c>
      <c r="G462" s="100" t="b">
        <v>0</v>
      </c>
    </row>
    <row r="463" spans="1:7" ht="15">
      <c r="A463" s="102" t="s">
        <v>736</v>
      </c>
      <c r="B463" s="100">
        <v>10</v>
      </c>
      <c r="C463" s="104">
        <v>0.03185502599618849</v>
      </c>
      <c r="D463" s="100" t="s">
        <v>692</v>
      </c>
      <c r="E463" s="100" t="b">
        <v>0</v>
      </c>
      <c r="F463" s="100" t="b">
        <v>0</v>
      </c>
      <c r="G463" s="100" t="b">
        <v>0</v>
      </c>
    </row>
    <row r="464" spans="1:7" ht="15">
      <c r="A464" s="102" t="s">
        <v>737</v>
      </c>
      <c r="B464" s="100">
        <v>10</v>
      </c>
      <c r="C464" s="104">
        <v>0.03185502599618849</v>
      </c>
      <c r="D464" s="100" t="s">
        <v>692</v>
      </c>
      <c r="E464" s="100" t="b">
        <v>0</v>
      </c>
      <c r="F464" s="100" t="b">
        <v>0</v>
      </c>
      <c r="G464" s="100" t="b">
        <v>0</v>
      </c>
    </row>
    <row r="465" spans="1:7" ht="15">
      <c r="A465" s="102" t="s">
        <v>738</v>
      </c>
      <c r="B465" s="100">
        <v>10</v>
      </c>
      <c r="C465" s="104">
        <v>0.03185502599618849</v>
      </c>
      <c r="D465" s="100" t="s">
        <v>692</v>
      </c>
      <c r="E465" s="100" t="b">
        <v>0</v>
      </c>
      <c r="F465" s="100" t="b">
        <v>0</v>
      </c>
      <c r="G465" s="100" t="b">
        <v>0</v>
      </c>
    </row>
    <row r="466" spans="1:7" ht="15">
      <c r="A466" s="102" t="s">
        <v>718</v>
      </c>
      <c r="B466" s="100">
        <v>6</v>
      </c>
      <c r="C466" s="104">
        <v>0.028669523396569634</v>
      </c>
      <c r="D466" s="100" t="s">
        <v>692</v>
      </c>
      <c r="E466" s="100" t="b">
        <v>0</v>
      </c>
      <c r="F466" s="100" t="b">
        <v>0</v>
      </c>
      <c r="G466" s="100" t="b">
        <v>0</v>
      </c>
    </row>
    <row r="467" spans="1:7" ht="15">
      <c r="A467" s="102" t="s">
        <v>719</v>
      </c>
      <c r="B467" s="100">
        <v>5</v>
      </c>
      <c r="C467" s="104">
        <v>0.026455026455026454</v>
      </c>
      <c r="D467" s="100" t="s">
        <v>692</v>
      </c>
      <c r="E467" s="100" t="b">
        <v>0</v>
      </c>
      <c r="F467" s="100" t="b">
        <v>0</v>
      </c>
      <c r="G467" s="100" t="b">
        <v>0</v>
      </c>
    </row>
    <row r="468" spans="1:7" ht="15">
      <c r="A468" s="102" t="s">
        <v>754</v>
      </c>
      <c r="B468" s="100">
        <v>4</v>
      </c>
      <c r="C468" s="104">
        <v>0.021164021164021163</v>
      </c>
      <c r="D468" s="100" t="s">
        <v>692</v>
      </c>
      <c r="E468" s="100" t="b">
        <v>0</v>
      </c>
      <c r="F468" s="100" t="b">
        <v>0</v>
      </c>
      <c r="G468" s="100" t="b">
        <v>0</v>
      </c>
    </row>
    <row r="469" spans="1:7" ht="15">
      <c r="A469" s="102" t="s">
        <v>755</v>
      </c>
      <c r="B469" s="100">
        <v>4</v>
      </c>
      <c r="C469" s="104">
        <v>0.021164021164021163</v>
      </c>
      <c r="D469" s="100" t="s">
        <v>692</v>
      </c>
      <c r="E469" s="100" t="b">
        <v>0</v>
      </c>
      <c r="F469" s="100" t="b">
        <v>0</v>
      </c>
      <c r="G469" s="100" t="b">
        <v>0</v>
      </c>
    </row>
    <row r="470" spans="1:7" ht="15">
      <c r="A470" s="102" t="s">
        <v>756</v>
      </c>
      <c r="B470" s="100">
        <v>4</v>
      </c>
      <c r="C470" s="104">
        <v>0.021164021164021163</v>
      </c>
      <c r="D470" s="100" t="s">
        <v>692</v>
      </c>
      <c r="E470" s="100" t="b">
        <v>0</v>
      </c>
      <c r="F470" s="100" t="b">
        <v>0</v>
      </c>
      <c r="G470" s="100" t="b">
        <v>0</v>
      </c>
    </row>
    <row r="471" spans="1:7" ht="15">
      <c r="A471" s="102" t="s">
        <v>757</v>
      </c>
      <c r="B471" s="100">
        <v>4</v>
      </c>
      <c r="C471" s="104">
        <v>0.021164021164021163</v>
      </c>
      <c r="D471" s="100" t="s">
        <v>692</v>
      </c>
      <c r="E471" s="100" t="b">
        <v>0</v>
      </c>
      <c r="F471" s="100" t="b">
        <v>0</v>
      </c>
      <c r="G471" s="100" t="b">
        <v>0</v>
      </c>
    </row>
    <row r="472" spans="1:7" ht="15">
      <c r="A472" s="102" t="s">
        <v>724</v>
      </c>
      <c r="B472" s="100">
        <v>3</v>
      </c>
      <c r="C472" s="104">
        <v>0.017856170422353965</v>
      </c>
      <c r="D472" s="100" t="s">
        <v>692</v>
      </c>
      <c r="E472" s="100" t="b">
        <v>0</v>
      </c>
      <c r="F472" s="100" t="b">
        <v>0</v>
      </c>
      <c r="G472" s="100" t="b">
        <v>0</v>
      </c>
    </row>
    <row r="473" spans="1:7" ht="15">
      <c r="A473" s="102" t="s">
        <v>749</v>
      </c>
      <c r="B473" s="100">
        <v>3</v>
      </c>
      <c r="C473" s="104">
        <v>0.025429523671872414</v>
      </c>
      <c r="D473" s="100" t="s">
        <v>692</v>
      </c>
      <c r="E473" s="100" t="b">
        <v>0</v>
      </c>
      <c r="F473" s="100" t="b">
        <v>0</v>
      </c>
      <c r="G473" s="100" t="b">
        <v>0</v>
      </c>
    </row>
    <row r="474" spans="1:7" ht="15">
      <c r="A474" s="102" t="s">
        <v>839</v>
      </c>
      <c r="B474" s="100">
        <v>3</v>
      </c>
      <c r="C474" s="104">
        <v>0.025429523671872414</v>
      </c>
      <c r="D474" s="100" t="s">
        <v>692</v>
      </c>
      <c r="E474" s="100" t="b">
        <v>0</v>
      </c>
      <c r="F474" s="100" t="b">
        <v>0</v>
      </c>
      <c r="G474" s="100" t="b">
        <v>0</v>
      </c>
    </row>
    <row r="475" spans="1:7" ht="15">
      <c r="A475" s="102" t="s">
        <v>840</v>
      </c>
      <c r="B475" s="100">
        <v>3</v>
      </c>
      <c r="C475" s="104">
        <v>0.025429523671872414</v>
      </c>
      <c r="D475" s="100" t="s">
        <v>692</v>
      </c>
      <c r="E475" s="100" t="b">
        <v>0</v>
      </c>
      <c r="F475" s="100" t="b">
        <v>0</v>
      </c>
      <c r="G475" s="100" t="b">
        <v>0</v>
      </c>
    </row>
    <row r="476" spans="1:7" ht="15">
      <c r="A476" s="102" t="s">
        <v>774</v>
      </c>
      <c r="B476" s="100">
        <v>3</v>
      </c>
      <c r="C476" s="104">
        <v>0.020651269772444147</v>
      </c>
      <c r="D476" s="100" t="s">
        <v>692</v>
      </c>
      <c r="E476" s="100" t="b">
        <v>0</v>
      </c>
      <c r="F476" s="100" t="b">
        <v>0</v>
      </c>
      <c r="G476" s="100" t="b">
        <v>0</v>
      </c>
    </row>
    <row r="477" spans="1:7" ht="15">
      <c r="A477" s="102" t="s">
        <v>748</v>
      </c>
      <c r="B477" s="100">
        <v>2</v>
      </c>
      <c r="C477" s="104">
        <v>0.01376751318162943</v>
      </c>
      <c r="D477" s="100" t="s">
        <v>692</v>
      </c>
      <c r="E477" s="100" t="b">
        <v>0</v>
      </c>
      <c r="F477" s="100" t="b">
        <v>0</v>
      </c>
      <c r="G477" s="100" t="b">
        <v>0</v>
      </c>
    </row>
    <row r="478" spans="1:7" ht="15">
      <c r="A478" s="102" t="s">
        <v>719</v>
      </c>
      <c r="B478" s="100">
        <v>10</v>
      </c>
      <c r="C478" s="104">
        <v>0.025572959899517404</v>
      </c>
      <c r="D478" s="100" t="s">
        <v>693</v>
      </c>
      <c r="E478" s="100" t="b">
        <v>0</v>
      </c>
      <c r="F478" s="100" t="b">
        <v>0</v>
      </c>
      <c r="G478" s="100" t="b">
        <v>0</v>
      </c>
    </row>
    <row r="479" spans="1:7" ht="15">
      <c r="A479" s="102" t="s">
        <v>718</v>
      </c>
      <c r="B479" s="100">
        <v>10</v>
      </c>
      <c r="C479" s="104">
        <v>0.025572959899517404</v>
      </c>
      <c r="D479" s="100" t="s">
        <v>693</v>
      </c>
      <c r="E479" s="100" t="b">
        <v>0</v>
      </c>
      <c r="F479" s="100" t="b">
        <v>0</v>
      </c>
      <c r="G479" s="100" t="b">
        <v>0</v>
      </c>
    </row>
    <row r="480" spans="1:7" ht="15">
      <c r="A480" s="102" t="s">
        <v>762</v>
      </c>
      <c r="B480" s="100">
        <v>9</v>
      </c>
      <c r="C480" s="104">
        <v>0.02628405609247103</v>
      </c>
      <c r="D480" s="100" t="s">
        <v>693</v>
      </c>
      <c r="E480" s="100" t="b">
        <v>0</v>
      </c>
      <c r="F480" s="100" t="b">
        <v>0</v>
      </c>
      <c r="G480" s="100" t="b">
        <v>0</v>
      </c>
    </row>
    <row r="481" spans="1:7" ht="15">
      <c r="A481" s="102" t="s">
        <v>763</v>
      </c>
      <c r="B481" s="100">
        <v>9</v>
      </c>
      <c r="C481" s="104">
        <v>0.02628405609247103</v>
      </c>
      <c r="D481" s="100" t="s">
        <v>693</v>
      </c>
      <c r="E481" s="100" t="b">
        <v>0</v>
      </c>
      <c r="F481" s="100" t="b">
        <v>0</v>
      </c>
      <c r="G481" s="100" t="b">
        <v>0</v>
      </c>
    </row>
    <row r="482" spans="1:7" ht="15">
      <c r="A482" s="102" t="s">
        <v>724</v>
      </c>
      <c r="B482" s="100">
        <v>3</v>
      </c>
      <c r="C482" s="104">
        <v>0.020121381905101352</v>
      </c>
      <c r="D482" s="100" t="s">
        <v>693</v>
      </c>
      <c r="E482" s="100" t="b">
        <v>0</v>
      </c>
      <c r="F482" s="100" t="b">
        <v>0</v>
      </c>
      <c r="G482" s="100" t="b">
        <v>0</v>
      </c>
    </row>
    <row r="483" spans="1:7" ht="15">
      <c r="A483" s="102" t="s">
        <v>830</v>
      </c>
      <c r="B483" s="100">
        <v>3</v>
      </c>
      <c r="C483" s="104">
        <v>0.03148141177937903</v>
      </c>
      <c r="D483" s="100" t="s">
        <v>693</v>
      </c>
      <c r="E483" s="100" t="b">
        <v>0</v>
      </c>
      <c r="F483" s="100" t="b">
        <v>0</v>
      </c>
      <c r="G483" s="100" t="b">
        <v>0</v>
      </c>
    </row>
    <row r="484" spans="1:7" ht="15">
      <c r="A484" s="102" t="s">
        <v>831</v>
      </c>
      <c r="B484" s="100">
        <v>3</v>
      </c>
      <c r="C484" s="104">
        <v>0.03148141177937903</v>
      </c>
      <c r="D484" s="100" t="s">
        <v>693</v>
      </c>
      <c r="E484" s="100" t="b">
        <v>0</v>
      </c>
      <c r="F484" s="100" t="b">
        <v>0</v>
      </c>
      <c r="G484" s="100" t="b">
        <v>0</v>
      </c>
    </row>
    <row r="485" spans="1:7" ht="15">
      <c r="A485" s="102" t="s">
        <v>832</v>
      </c>
      <c r="B485" s="100">
        <v>3</v>
      </c>
      <c r="C485" s="104">
        <v>0.03148141177937903</v>
      </c>
      <c r="D485" s="100" t="s">
        <v>693</v>
      </c>
      <c r="E485" s="100" t="b">
        <v>0</v>
      </c>
      <c r="F485" s="100" t="b">
        <v>0</v>
      </c>
      <c r="G485" s="100" t="b">
        <v>0</v>
      </c>
    </row>
    <row r="486" spans="1:7" ht="15">
      <c r="A486" s="102" t="s">
        <v>833</v>
      </c>
      <c r="B486" s="100">
        <v>3</v>
      </c>
      <c r="C486" s="104">
        <v>0.03148141177937903</v>
      </c>
      <c r="D486" s="100" t="s">
        <v>693</v>
      </c>
      <c r="E486" s="100" t="b">
        <v>0</v>
      </c>
      <c r="F486" s="100" t="b">
        <v>0</v>
      </c>
      <c r="G486" s="100" t="b">
        <v>0</v>
      </c>
    </row>
    <row r="487" spans="1:7" ht="15">
      <c r="A487" s="102" t="s">
        <v>834</v>
      </c>
      <c r="B487" s="100">
        <v>3</v>
      </c>
      <c r="C487" s="104">
        <v>0.03148141177937903</v>
      </c>
      <c r="D487" s="100" t="s">
        <v>693</v>
      </c>
      <c r="E487" s="100" t="b">
        <v>0</v>
      </c>
      <c r="F487" s="100" t="b">
        <v>0</v>
      </c>
      <c r="G487" s="100" t="b">
        <v>0</v>
      </c>
    </row>
    <row r="488" spans="1:7" ht="15">
      <c r="A488" s="102" t="s">
        <v>835</v>
      </c>
      <c r="B488" s="100">
        <v>3</v>
      </c>
      <c r="C488" s="104">
        <v>0.03148141177937903</v>
      </c>
      <c r="D488" s="100" t="s">
        <v>693</v>
      </c>
      <c r="E488" s="100" t="b">
        <v>0</v>
      </c>
      <c r="F488" s="100" t="b">
        <v>0</v>
      </c>
      <c r="G488" s="100" t="b">
        <v>0</v>
      </c>
    </row>
    <row r="489" spans="1:7" ht="15">
      <c r="A489" s="102" t="s">
        <v>746</v>
      </c>
      <c r="B489" s="100">
        <v>3</v>
      </c>
      <c r="C489" s="104">
        <v>0.020121381905101352</v>
      </c>
      <c r="D489" s="100" t="s">
        <v>693</v>
      </c>
      <c r="E489" s="100" t="b">
        <v>0</v>
      </c>
      <c r="F489" s="100" t="b">
        <v>0</v>
      </c>
      <c r="G489" s="100" t="b">
        <v>0</v>
      </c>
    </row>
    <row r="490" spans="1:7" ht="15">
      <c r="A490" s="102" t="s">
        <v>786</v>
      </c>
      <c r="B490" s="100">
        <v>3</v>
      </c>
      <c r="C490" s="104">
        <v>0.020121381905101352</v>
      </c>
      <c r="D490" s="100" t="s">
        <v>693</v>
      </c>
      <c r="E490" s="100" t="b">
        <v>0</v>
      </c>
      <c r="F490" s="100" t="b">
        <v>0</v>
      </c>
      <c r="G490" s="100" t="b">
        <v>0</v>
      </c>
    </row>
    <row r="491" spans="1:7" ht="15">
      <c r="A491" s="102" t="s">
        <v>787</v>
      </c>
      <c r="B491" s="100">
        <v>3</v>
      </c>
      <c r="C491" s="104">
        <v>0.020121381905101352</v>
      </c>
      <c r="D491" s="100" t="s">
        <v>693</v>
      </c>
      <c r="E491" s="100" t="b">
        <v>0</v>
      </c>
      <c r="F491" s="100" t="b">
        <v>0</v>
      </c>
      <c r="G491" s="100" t="b">
        <v>0</v>
      </c>
    </row>
    <row r="492" spans="1:7" ht="15">
      <c r="A492" s="102" t="s">
        <v>788</v>
      </c>
      <c r="B492" s="100">
        <v>3</v>
      </c>
      <c r="C492" s="104">
        <v>0.020121381905101352</v>
      </c>
      <c r="D492" s="100" t="s">
        <v>693</v>
      </c>
      <c r="E492" s="100" t="b">
        <v>0</v>
      </c>
      <c r="F492" s="100" t="b">
        <v>0</v>
      </c>
      <c r="G492" s="100" t="b">
        <v>0</v>
      </c>
    </row>
    <row r="493" spans="1:7" ht="15">
      <c r="A493" s="102" t="s">
        <v>720</v>
      </c>
      <c r="B493" s="100">
        <v>3</v>
      </c>
      <c r="C493" s="104">
        <v>0.020121381905101352</v>
      </c>
      <c r="D493" s="100" t="s">
        <v>693</v>
      </c>
      <c r="E493" s="100" t="b">
        <v>1</v>
      </c>
      <c r="F493" s="100" t="b">
        <v>0</v>
      </c>
      <c r="G493" s="100" t="b">
        <v>0</v>
      </c>
    </row>
    <row r="494" spans="1:7" ht="15">
      <c r="A494" s="102" t="s">
        <v>782</v>
      </c>
      <c r="B494" s="100">
        <v>3</v>
      </c>
      <c r="C494" s="104">
        <v>0.03148141177937903</v>
      </c>
      <c r="D494" s="100" t="s">
        <v>693</v>
      </c>
      <c r="E494" s="100" t="b">
        <v>0</v>
      </c>
      <c r="F494" s="100" t="b">
        <v>0</v>
      </c>
      <c r="G494" s="100" t="b">
        <v>0</v>
      </c>
    </row>
    <row r="495" spans="1:7" ht="15">
      <c r="A495" s="102" t="s">
        <v>845</v>
      </c>
      <c r="B495" s="100">
        <v>3</v>
      </c>
      <c r="C495" s="104">
        <v>0.03148141177937903</v>
      </c>
      <c r="D495" s="100" t="s">
        <v>693</v>
      </c>
      <c r="E495" s="100" t="b">
        <v>0</v>
      </c>
      <c r="F495" s="100" t="b">
        <v>0</v>
      </c>
      <c r="G495" s="100" t="b">
        <v>0</v>
      </c>
    </row>
    <row r="496" spans="1:7" ht="15">
      <c r="A496" s="102" t="s">
        <v>742</v>
      </c>
      <c r="B496" s="100">
        <v>2</v>
      </c>
      <c r="C496" s="104">
        <v>0.01620935395349108</v>
      </c>
      <c r="D496" s="100" t="s">
        <v>693</v>
      </c>
      <c r="E496" s="100" t="b">
        <v>0</v>
      </c>
      <c r="F496" s="100" t="b">
        <v>0</v>
      </c>
      <c r="G496" s="100" t="b">
        <v>0</v>
      </c>
    </row>
    <row r="497" spans="1:7" ht="15">
      <c r="A497" s="102" t="s">
        <v>743</v>
      </c>
      <c r="B497" s="100">
        <v>2</v>
      </c>
      <c r="C497" s="104">
        <v>0.01620935395349108</v>
      </c>
      <c r="D497" s="100" t="s">
        <v>693</v>
      </c>
      <c r="E497" s="100" t="b">
        <v>0</v>
      </c>
      <c r="F497" s="100" t="b">
        <v>0</v>
      </c>
      <c r="G497" s="100" t="b">
        <v>0</v>
      </c>
    </row>
    <row r="498" spans="1:7" ht="15">
      <c r="A498" s="102" t="s">
        <v>780</v>
      </c>
      <c r="B498" s="100">
        <v>2</v>
      </c>
      <c r="C498" s="104">
        <v>0.01620935395349108</v>
      </c>
      <c r="D498" s="100" t="s">
        <v>693</v>
      </c>
      <c r="E498" s="100" t="b">
        <v>0</v>
      </c>
      <c r="F498" s="100" t="b">
        <v>1</v>
      </c>
      <c r="G498" s="100" t="b">
        <v>0</v>
      </c>
    </row>
    <row r="499" spans="1:7" ht="15">
      <c r="A499" s="102" t="s">
        <v>796</v>
      </c>
      <c r="B499" s="100">
        <v>2</v>
      </c>
      <c r="C499" s="104">
        <v>0.02098760785291935</v>
      </c>
      <c r="D499" s="100" t="s">
        <v>693</v>
      </c>
      <c r="E499" s="100" t="b">
        <v>0</v>
      </c>
      <c r="F499" s="100" t="b">
        <v>0</v>
      </c>
      <c r="G499" s="100" t="b">
        <v>0</v>
      </c>
    </row>
    <row r="500" spans="1:7" ht="15">
      <c r="A500" s="102" t="s">
        <v>720</v>
      </c>
      <c r="B500" s="100">
        <v>8</v>
      </c>
      <c r="C500" s="104">
        <v>0.04958247016493506</v>
      </c>
      <c r="D500" s="100" t="s">
        <v>694</v>
      </c>
      <c r="E500" s="100" t="b">
        <v>1</v>
      </c>
      <c r="F500" s="100" t="b">
        <v>0</v>
      </c>
      <c r="G500" s="100" t="b">
        <v>0</v>
      </c>
    </row>
    <row r="501" spans="1:7" ht="15">
      <c r="A501" s="102" t="s">
        <v>726</v>
      </c>
      <c r="B501" s="100">
        <v>4</v>
      </c>
      <c r="C501" s="104">
        <v>0.04106312673998003</v>
      </c>
      <c r="D501" s="100" t="s">
        <v>694</v>
      </c>
      <c r="E501" s="100" t="b">
        <v>0</v>
      </c>
      <c r="F501" s="100" t="b">
        <v>0</v>
      </c>
      <c r="G501" s="100" t="b">
        <v>0</v>
      </c>
    </row>
    <row r="502" spans="1:7" ht="15">
      <c r="A502" s="102" t="s">
        <v>727</v>
      </c>
      <c r="B502" s="100">
        <v>4</v>
      </c>
      <c r="C502" s="104">
        <v>0.04106312673998003</v>
      </c>
      <c r="D502" s="100" t="s">
        <v>694</v>
      </c>
      <c r="E502" s="100" t="b">
        <v>0</v>
      </c>
      <c r="F502" s="100" t="b">
        <v>0</v>
      </c>
      <c r="G502" s="100" t="b">
        <v>0</v>
      </c>
    </row>
    <row r="503" spans="1:7" ht="15">
      <c r="A503" s="102" t="s">
        <v>728</v>
      </c>
      <c r="B503" s="100">
        <v>4</v>
      </c>
      <c r="C503" s="104">
        <v>0.04106312673998003</v>
      </c>
      <c r="D503" s="100" t="s">
        <v>694</v>
      </c>
      <c r="E503" s="100" t="b">
        <v>0</v>
      </c>
      <c r="F503" s="100" t="b">
        <v>1</v>
      </c>
      <c r="G503" s="100" t="b">
        <v>0</v>
      </c>
    </row>
    <row r="504" spans="1:7" ht="15">
      <c r="A504" s="102" t="s">
        <v>729</v>
      </c>
      <c r="B504" s="100">
        <v>4</v>
      </c>
      <c r="C504" s="104">
        <v>0.04106312673998003</v>
      </c>
      <c r="D504" s="100" t="s">
        <v>694</v>
      </c>
      <c r="E504" s="100" t="b">
        <v>0</v>
      </c>
      <c r="F504" s="100" t="b">
        <v>0</v>
      </c>
      <c r="G504" s="100" t="b">
        <v>0</v>
      </c>
    </row>
    <row r="505" spans="1:7" ht="15">
      <c r="A505" s="102" t="s">
        <v>730</v>
      </c>
      <c r="B505" s="100">
        <v>4</v>
      </c>
      <c r="C505" s="104">
        <v>0.04106312673998003</v>
      </c>
      <c r="D505" s="100" t="s">
        <v>694</v>
      </c>
      <c r="E505" s="100" t="b">
        <v>0</v>
      </c>
      <c r="F505" s="100" t="b">
        <v>0</v>
      </c>
      <c r="G505" s="100" t="b">
        <v>0</v>
      </c>
    </row>
    <row r="506" spans="1:7" ht="15">
      <c r="A506" s="102" t="s">
        <v>731</v>
      </c>
      <c r="B506" s="100">
        <v>4</v>
      </c>
      <c r="C506" s="104">
        <v>0.04106312673998003</v>
      </c>
      <c r="D506" s="100" t="s">
        <v>694</v>
      </c>
      <c r="E506" s="100" t="b">
        <v>0</v>
      </c>
      <c r="F506" s="100" t="b">
        <v>0</v>
      </c>
      <c r="G506" s="100" t="b">
        <v>0</v>
      </c>
    </row>
    <row r="507" spans="1:7" ht="15">
      <c r="A507" s="102" t="s">
        <v>789</v>
      </c>
      <c r="B507" s="100">
        <v>2</v>
      </c>
      <c r="C507" s="104">
        <v>0.02866750919874626</v>
      </c>
      <c r="D507" s="100" t="s">
        <v>694</v>
      </c>
      <c r="E507" s="100" t="b">
        <v>0</v>
      </c>
      <c r="F507" s="100" t="b">
        <v>1</v>
      </c>
      <c r="G507" s="100" t="b">
        <v>0</v>
      </c>
    </row>
    <row r="508" spans="1:7" ht="15">
      <c r="A508" s="102" t="s">
        <v>790</v>
      </c>
      <c r="B508" s="100">
        <v>2</v>
      </c>
      <c r="C508" s="104">
        <v>0.02866750919874626</v>
      </c>
      <c r="D508" s="100" t="s">
        <v>694</v>
      </c>
      <c r="E508" s="100" t="b">
        <v>0</v>
      </c>
      <c r="F508" s="100" t="b">
        <v>0</v>
      </c>
      <c r="G508" s="100" t="b">
        <v>0</v>
      </c>
    </row>
    <row r="509" spans="1:7" ht="15">
      <c r="A509" s="102" t="s">
        <v>791</v>
      </c>
      <c r="B509" s="100">
        <v>2</v>
      </c>
      <c r="C509" s="104">
        <v>0.02866750919874626</v>
      </c>
      <c r="D509" s="100" t="s">
        <v>694</v>
      </c>
      <c r="E509" s="100" t="b">
        <v>0</v>
      </c>
      <c r="F509" s="100" t="b">
        <v>0</v>
      </c>
      <c r="G509" s="100" t="b">
        <v>0</v>
      </c>
    </row>
    <row r="510" spans="1:7" ht="15">
      <c r="A510" s="102" t="s">
        <v>754</v>
      </c>
      <c r="B510" s="100">
        <v>2</v>
      </c>
      <c r="C510" s="104">
        <v>0.02866750919874626</v>
      </c>
      <c r="D510" s="100" t="s">
        <v>694</v>
      </c>
      <c r="E510" s="100" t="b">
        <v>0</v>
      </c>
      <c r="F510" s="100" t="b">
        <v>0</v>
      </c>
      <c r="G510" s="100" t="b">
        <v>0</v>
      </c>
    </row>
    <row r="511" spans="1:7" ht="15">
      <c r="A511" s="102" t="s">
        <v>755</v>
      </c>
      <c r="B511" s="100">
        <v>2</v>
      </c>
      <c r="C511" s="104">
        <v>0.02866750919874626</v>
      </c>
      <c r="D511" s="100" t="s">
        <v>694</v>
      </c>
      <c r="E511" s="100" t="b">
        <v>0</v>
      </c>
      <c r="F511" s="100" t="b">
        <v>0</v>
      </c>
      <c r="G511" s="100" t="b">
        <v>0</v>
      </c>
    </row>
    <row r="512" spans="1:7" ht="15">
      <c r="A512" s="102" t="s">
        <v>756</v>
      </c>
      <c r="B512" s="100">
        <v>2</v>
      </c>
      <c r="C512" s="104">
        <v>0.02866750919874626</v>
      </c>
      <c r="D512" s="100" t="s">
        <v>694</v>
      </c>
      <c r="E512" s="100" t="b">
        <v>0</v>
      </c>
      <c r="F512" s="100" t="b">
        <v>0</v>
      </c>
      <c r="G512" s="100" t="b">
        <v>0</v>
      </c>
    </row>
    <row r="513" spans="1:7" ht="15">
      <c r="A513" s="102" t="s">
        <v>757</v>
      </c>
      <c r="B513" s="100">
        <v>2</v>
      </c>
      <c r="C513" s="104">
        <v>0.02866750919874626</v>
      </c>
      <c r="D513" s="100" t="s">
        <v>694</v>
      </c>
      <c r="E513" s="100" t="b">
        <v>0</v>
      </c>
      <c r="F513" s="100" t="b">
        <v>0</v>
      </c>
      <c r="G513" s="100" t="b">
        <v>0</v>
      </c>
    </row>
    <row r="514" spans="1:7" ht="15">
      <c r="A514" s="102" t="s">
        <v>718</v>
      </c>
      <c r="B514" s="100">
        <v>2</v>
      </c>
      <c r="C514" s="104">
        <v>0.02866750919874626</v>
      </c>
      <c r="D514" s="100" t="s">
        <v>694</v>
      </c>
      <c r="E514" s="100" t="b">
        <v>0</v>
      </c>
      <c r="F514" s="100" t="b">
        <v>0</v>
      </c>
      <c r="G514" s="100" t="b">
        <v>0</v>
      </c>
    </row>
    <row r="515" spans="1:7" ht="15">
      <c r="A515" s="102" t="s">
        <v>760</v>
      </c>
      <c r="B515" s="100">
        <v>2</v>
      </c>
      <c r="C515" s="104">
        <v>0.02866750919874626</v>
      </c>
      <c r="D515" s="100" t="s">
        <v>694</v>
      </c>
      <c r="E515" s="100" t="b">
        <v>0</v>
      </c>
      <c r="F515" s="100" t="b">
        <v>0</v>
      </c>
      <c r="G515" s="100" t="b">
        <v>0</v>
      </c>
    </row>
    <row r="516" spans="1:7" ht="15">
      <c r="A516" s="102" t="s">
        <v>740</v>
      </c>
      <c r="B516" s="100">
        <v>2</v>
      </c>
      <c r="C516" s="104">
        <v>0.02866750919874626</v>
      </c>
      <c r="D516" s="100" t="s">
        <v>694</v>
      </c>
      <c r="E516" s="100" t="b">
        <v>0</v>
      </c>
      <c r="F516" s="100" t="b">
        <v>0</v>
      </c>
      <c r="G516" s="100" t="b">
        <v>0</v>
      </c>
    </row>
    <row r="517" spans="1:7" ht="15">
      <c r="A517" s="102" t="s">
        <v>761</v>
      </c>
      <c r="B517" s="100">
        <v>2</v>
      </c>
      <c r="C517" s="104">
        <v>0.02866750919874626</v>
      </c>
      <c r="D517" s="100" t="s">
        <v>694</v>
      </c>
      <c r="E517" s="100" t="b">
        <v>0</v>
      </c>
      <c r="F517" s="100" t="b">
        <v>0</v>
      </c>
      <c r="G517" s="100" t="b">
        <v>0</v>
      </c>
    </row>
    <row r="518" spans="1:7" ht="15">
      <c r="A518" s="102" t="s">
        <v>821</v>
      </c>
      <c r="B518" s="100">
        <v>2</v>
      </c>
      <c r="C518" s="104">
        <v>0.02866750919874626</v>
      </c>
      <c r="D518" s="100" t="s">
        <v>694</v>
      </c>
      <c r="E518" s="100" t="b">
        <v>0</v>
      </c>
      <c r="F518" s="100" t="b">
        <v>0</v>
      </c>
      <c r="G518" s="100" t="b">
        <v>0</v>
      </c>
    </row>
    <row r="519" spans="1:7" ht="15">
      <c r="A519" s="102" t="s">
        <v>721</v>
      </c>
      <c r="B519" s="100">
        <v>2</v>
      </c>
      <c r="C519" s="104">
        <v>0.02866750919874626</v>
      </c>
      <c r="D519" s="100" t="s">
        <v>694</v>
      </c>
      <c r="E519" s="100" t="b">
        <v>0</v>
      </c>
      <c r="F519" s="100" t="b">
        <v>0</v>
      </c>
      <c r="G519" s="100" t="b">
        <v>0</v>
      </c>
    </row>
    <row r="520" spans="1:7" ht="15">
      <c r="A520" s="102" t="s">
        <v>820</v>
      </c>
      <c r="B520" s="100">
        <v>2</v>
      </c>
      <c r="C520" s="104">
        <v>0.02866750919874626</v>
      </c>
      <c r="D520" s="100" t="s">
        <v>694</v>
      </c>
      <c r="E520" s="100" t="b">
        <v>1</v>
      </c>
      <c r="F520" s="100" t="b">
        <v>0</v>
      </c>
      <c r="G520" s="100" t="b">
        <v>0</v>
      </c>
    </row>
    <row r="521" spans="1:7" ht="15">
      <c r="A521" s="102" t="s">
        <v>721</v>
      </c>
      <c r="B521" s="100">
        <v>3</v>
      </c>
      <c r="C521" s="104">
        <v>0.026925130631311786</v>
      </c>
      <c r="D521" s="100" t="s">
        <v>695</v>
      </c>
      <c r="E521" s="100" t="b">
        <v>0</v>
      </c>
      <c r="F521" s="100" t="b">
        <v>0</v>
      </c>
      <c r="G521" s="100" t="b">
        <v>0</v>
      </c>
    </row>
    <row r="522" spans="1:7" ht="15">
      <c r="A522" s="102" t="s">
        <v>734</v>
      </c>
      <c r="B522" s="100">
        <v>2</v>
      </c>
      <c r="C522" s="104">
        <v>0.026539904602452473</v>
      </c>
      <c r="D522" s="100" t="s">
        <v>695</v>
      </c>
      <c r="E522" s="100" t="b">
        <v>0</v>
      </c>
      <c r="F522" s="100" t="b">
        <v>0</v>
      </c>
      <c r="G522" s="100" t="b">
        <v>0</v>
      </c>
    </row>
    <row r="523" spans="1:7" ht="15">
      <c r="A523" s="102" t="s">
        <v>735</v>
      </c>
      <c r="B523" s="100">
        <v>2</v>
      </c>
      <c r="C523" s="104">
        <v>0.026539904602452473</v>
      </c>
      <c r="D523" s="100" t="s">
        <v>695</v>
      </c>
      <c r="E523" s="100" t="b">
        <v>0</v>
      </c>
      <c r="F523" s="100" t="b">
        <v>0</v>
      </c>
      <c r="G523" s="100" t="b">
        <v>0</v>
      </c>
    </row>
    <row r="524" spans="1:7" ht="15">
      <c r="A524" s="102" t="s">
        <v>736</v>
      </c>
      <c r="B524" s="100">
        <v>2</v>
      </c>
      <c r="C524" s="104">
        <v>0.026539904602452473</v>
      </c>
      <c r="D524" s="100" t="s">
        <v>695</v>
      </c>
      <c r="E524" s="100" t="b">
        <v>0</v>
      </c>
      <c r="F524" s="100" t="b">
        <v>0</v>
      </c>
      <c r="G524" s="100" t="b">
        <v>0</v>
      </c>
    </row>
    <row r="525" spans="1:7" ht="15">
      <c r="A525" s="102" t="s">
        <v>737</v>
      </c>
      <c r="B525" s="100">
        <v>2</v>
      </c>
      <c r="C525" s="104">
        <v>0.026539904602452473</v>
      </c>
      <c r="D525" s="100" t="s">
        <v>695</v>
      </c>
      <c r="E525" s="100" t="b">
        <v>0</v>
      </c>
      <c r="F525" s="100" t="b">
        <v>0</v>
      </c>
      <c r="G525" s="100" t="b">
        <v>0</v>
      </c>
    </row>
    <row r="526" spans="1:7" ht="15">
      <c r="A526" s="102" t="s">
        <v>738</v>
      </c>
      <c r="B526" s="100">
        <v>2</v>
      </c>
      <c r="C526" s="104">
        <v>0.026539904602452473</v>
      </c>
      <c r="D526" s="100" t="s">
        <v>695</v>
      </c>
      <c r="E526" s="100" t="b">
        <v>0</v>
      </c>
      <c r="F526" s="100" t="b">
        <v>0</v>
      </c>
      <c r="G526" s="100" t="b">
        <v>0</v>
      </c>
    </row>
    <row r="527" spans="1:7" ht="15">
      <c r="A527" s="102" t="s">
        <v>733</v>
      </c>
      <c r="B527" s="100">
        <v>2</v>
      </c>
      <c r="C527" s="104">
        <v>0.026539904602452473</v>
      </c>
      <c r="D527" s="100" t="s">
        <v>695</v>
      </c>
      <c r="E527" s="100" t="b">
        <v>0</v>
      </c>
      <c r="F527" s="100" t="b">
        <v>0</v>
      </c>
      <c r="G527" s="100" t="b">
        <v>0</v>
      </c>
    </row>
    <row r="528" spans="1:7" ht="15">
      <c r="A528" s="102" t="s">
        <v>722</v>
      </c>
      <c r="B528" s="100">
        <v>2</v>
      </c>
      <c r="C528" s="104">
        <v>0.026539904602452473</v>
      </c>
      <c r="D528" s="100" t="s">
        <v>695</v>
      </c>
      <c r="E528" s="100" t="b">
        <v>0</v>
      </c>
      <c r="F528" s="100" t="b">
        <v>0</v>
      </c>
      <c r="G528" s="100" t="b">
        <v>0</v>
      </c>
    </row>
    <row r="529" spans="1:7" ht="15">
      <c r="A529" s="102" t="s">
        <v>795</v>
      </c>
      <c r="B529" s="100">
        <v>2</v>
      </c>
      <c r="C529" s="104">
        <v>0.026539904602452473</v>
      </c>
      <c r="D529" s="100" t="s">
        <v>695</v>
      </c>
      <c r="E529" s="100" t="b">
        <v>0</v>
      </c>
      <c r="F529" s="100" t="b">
        <v>0</v>
      </c>
      <c r="G529" s="100" t="b">
        <v>0</v>
      </c>
    </row>
    <row r="530" spans="1:7" ht="15">
      <c r="A530" s="102" t="s">
        <v>725</v>
      </c>
      <c r="B530" s="100">
        <v>2</v>
      </c>
      <c r="C530" s="104">
        <v>0.026539904602452473</v>
      </c>
      <c r="D530" s="100" t="s">
        <v>695</v>
      </c>
      <c r="E530" s="100" t="b">
        <v>0</v>
      </c>
      <c r="F530" s="100" t="b">
        <v>0</v>
      </c>
      <c r="G530" s="100" t="b">
        <v>0</v>
      </c>
    </row>
    <row r="531" spans="1:7" ht="15">
      <c r="A531" s="102" t="s">
        <v>723</v>
      </c>
      <c r="B531" s="100">
        <v>2</v>
      </c>
      <c r="C531" s="104">
        <v>0.026539904602452473</v>
      </c>
      <c r="D531" s="100" t="s">
        <v>695</v>
      </c>
      <c r="E531" s="100" t="b">
        <v>0</v>
      </c>
      <c r="F531" s="100" t="b">
        <v>0</v>
      </c>
      <c r="G531" s="100" t="b">
        <v>0</v>
      </c>
    </row>
    <row r="532" spans="1:7" ht="15">
      <c r="A532" s="102" t="s">
        <v>900</v>
      </c>
      <c r="B532" s="100">
        <v>2</v>
      </c>
      <c r="C532" s="104">
        <v>0.0412242946348418</v>
      </c>
      <c r="D532" s="100" t="s">
        <v>695</v>
      </c>
      <c r="E532" s="100" t="b">
        <v>0</v>
      </c>
      <c r="F532" s="100" t="b">
        <v>0</v>
      </c>
      <c r="G532" s="100" t="b">
        <v>0</v>
      </c>
    </row>
    <row r="533" spans="1:7" ht="15">
      <c r="A533" s="102" t="s">
        <v>777</v>
      </c>
      <c r="B533" s="100">
        <v>6</v>
      </c>
      <c r="C533" s="104">
        <v>0</v>
      </c>
      <c r="D533" s="100" t="s">
        <v>696</v>
      </c>
      <c r="E533" s="100" t="b">
        <v>0</v>
      </c>
      <c r="F533" s="100" t="b">
        <v>0</v>
      </c>
      <c r="G533" s="100" t="b">
        <v>0</v>
      </c>
    </row>
    <row r="534" spans="1:7" ht="15">
      <c r="A534" s="102" t="s">
        <v>778</v>
      </c>
      <c r="B534" s="100">
        <v>6</v>
      </c>
      <c r="C534" s="104">
        <v>0</v>
      </c>
      <c r="D534" s="100" t="s">
        <v>696</v>
      </c>
      <c r="E534" s="100" t="b">
        <v>0</v>
      </c>
      <c r="F534" s="100" t="b">
        <v>0</v>
      </c>
      <c r="G534" s="100" t="b">
        <v>0</v>
      </c>
    </row>
    <row r="535" spans="1:7" ht="15">
      <c r="A535" s="102" t="s">
        <v>759</v>
      </c>
      <c r="B535" s="100">
        <v>6</v>
      </c>
      <c r="C535" s="104">
        <v>0</v>
      </c>
      <c r="D535" s="100" t="s">
        <v>696</v>
      </c>
      <c r="E535" s="100" t="b">
        <v>0</v>
      </c>
      <c r="F535" s="100" t="b">
        <v>0</v>
      </c>
      <c r="G535" s="100" t="b">
        <v>0</v>
      </c>
    </row>
    <row r="536" spans="1:7" ht="15">
      <c r="A536" s="102" t="s">
        <v>779</v>
      </c>
      <c r="B536" s="100">
        <v>6</v>
      </c>
      <c r="C536" s="104">
        <v>0</v>
      </c>
      <c r="D536" s="100" t="s">
        <v>696</v>
      </c>
      <c r="E536" s="100" t="b">
        <v>0</v>
      </c>
      <c r="F536" s="100" t="b">
        <v>0</v>
      </c>
      <c r="G536" s="100" t="b">
        <v>0</v>
      </c>
    </row>
    <row r="537" spans="1:7" ht="15">
      <c r="A537" s="102" t="s">
        <v>758</v>
      </c>
      <c r="B537" s="100">
        <v>2</v>
      </c>
      <c r="C537" s="104">
        <v>0</v>
      </c>
      <c r="D537" s="100" t="s">
        <v>696</v>
      </c>
      <c r="E537" s="100" t="b">
        <v>0</v>
      </c>
      <c r="F537" s="100" t="b">
        <v>0</v>
      </c>
      <c r="G537" s="100" t="b">
        <v>0</v>
      </c>
    </row>
    <row r="538" spans="1:7" ht="15">
      <c r="A538" s="102" t="s">
        <v>724</v>
      </c>
      <c r="B538" s="100">
        <v>2</v>
      </c>
      <c r="C538" s="104">
        <v>0</v>
      </c>
      <c r="D538" s="100" t="s">
        <v>696</v>
      </c>
      <c r="E538" s="100" t="b">
        <v>0</v>
      </c>
      <c r="F538" s="100" t="b">
        <v>0</v>
      </c>
      <c r="G538" s="100" t="b">
        <v>0</v>
      </c>
    </row>
    <row r="539" spans="1:7" ht="15">
      <c r="A539" s="102" t="s">
        <v>883</v>
      </c>
      <c r="B539" s="100">
        <v>2</v>
      </c>
      <c r="C539" s="104">
        <v>0.018244242161453407</v>
      </c>
      <c r="D539" s="100" t="s">
        <v>696</v>
      </c>
      <c r="E539" s="100" t="b">
        <v>0</v>
      </c>
      <c r="F539" s="100" t="b">
        <v>0</v>
      </c>
      <c r="G539" s="10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60CA4-547C-4DB3-8881-0CBF62708FE2}">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100" t="s">
        <v>719</v>
      </c>
      <c r="B2" s="100" t="s">
        <v>718</v>
      </c>
      <c r="C2" s="100">
        <v>55</v>
      </c>
      <c r="D2" s="104">
        <v>0.028912090789456783</v>
      </c>
      <c r="E2" s="104">
        <v>1.3610872835682803</v>
      </c>
      <c r="F2" s="100" t="s">
        <v>926</v>
      </c>
      <c r="G2" s="100" t="b">
        <v>0</v>
      </c>
      <c r="H2" s="100" t="b">
        <v>0</v>
      </c>
      <c r="I2" s="100" t="b">
        <v>0</v>
      </c>
      <c r="J2" s="100" t="b">
        <v>0</v>
      </c>
      <c r="K2" s="100" t="b">
        <v>0</v>
      </c>
      <c r="L2" s="100" t="b">
        <v>0</v>
      </c>
    </row>
    <row r="3" spans="1:12" ht="15">
      <c r="A3" s="102" t="s">
        <v>721</v>
      </c>
      <c r="B3" s="100" t="s">
        <v>722</v>
      </c>
      <c r="C3" s="100">
        <v>31</v>
      </c>
      <c r="D3" s="104">
        <v>0.019285998338774396</v>
      </c>
      <c r="E3" s="104">
        <v>1.5477540276521664</v>
      </c>
      <c r="F3" s="100" t="s">
        <v>926</v>
      </c>
      <c r="G3" s="100" t="b">
        <v>0</v>
      </c>
      <c r="H3" s="100" t="b">
        <v>0</v>
      </c>
      <c r="I3" s="100" t="b">
        <v>0</v>
      </c>
      <c r="J3" s="100" t="b">
        <v>0</v>
      </c>
      <c r="K3" s="100" t="b">
        <v>0</v>
      </c>
      <c r="L3" s="100" t="b">
        <v>0</v>
      </c>
    </row>
    <row r="4" spans="1:12" ht="15">
      <c r="A4" s="102" t="s">
        <v>725</v>
      </c>
      <c r="B4" s="100" t="s">
        <v>723</v>
      </c>
      <c r="C4" s="100">
        <v>29</v>
      </c>
      <c r="D4" s="104">
        <v>0.019361920375498585</v>
      </c>
      <c r="E4" s="104">
        <v>1.6004603781681694</v>
      </c>
      <c r="F4" s="100" t="s">
        <v>926</v>
      </c>
      <c r="G4" s="100" t="b">
        <v>0</v>
      </c>
      <c r="H4" s="100" t="b">
        <v>0</v>
      </c>
      <c r="I4" s="100" t="b">
        <v>0</v>
      </c>
      <c r="J4" s="100" t="b">
        <v>0</v>
      </c>
      <c r="K4" s="100" t="b">
        <v>0</v>
      </c>
      <c r="L4" s="100" t="b">
        <v>0</v>
      </c>
    </row>
    <row r="5" spans="1:12" ht="15">
      <c r="A5" s="102" t="s">
        <v>726</v>
      </c>
      <c r="B5" s="100" t="s">
        <v>727</v>
      </c>
      <c r="C5" s="100">
        <v>25</v>
      </c>
      <c r="D5" s="104">
        <v>0.01694508509193583</v>
      </c>
      <c r="E5" s="104">
        <v>1.7339992865383869</v>
      </c>
      <c r="F5" s="100" t="s">
        <v>926</v>
      </c>
      <c r="G5" s="100" t="b">
        <v>0</v>
      </c>
      <c r="H5" s="100" t="b">
        <v>0</v>
      </c>
      <c r="I5" s="100" t="b">
        <v>0</v>
      </c>
      <c r="J5" s="100" t="b">
        <v>0</v>
      </c>
      <c r="K5" s="100" t="b">
        <v>0</v>
      </c>
      <c r="L5" s="100" t="b">
        <v>0</v>
      </c>
    </row>
    <row r="6" spans="1:12" ht="15">
      <c r="A6" s="102" t="s">
        <v>727</v>
      </c>
      <c r="B6" s="100" t="s">
        <v>720</v>
      </c>
      <c r="C6" s="100">
        <v>25</v>
      </c>
      <c r="D6" s="104">
        <v>0.01694508509193583</v>
      </c>
      <c r="E6" s="104">
        <v>1.640577601376152</v>
      </c>
      <c r="F6" s="100" t="s">
        <v>926</v>
      </c>
      <c r="G6" s="100" t="b">
        <v>0</v>
      </c>
      <c r="H6" s="100" t="b">
        <v>0</v>
      </c>
      <c r="I6" s="100" t="b">
        <v>0</v>
      </c>
      <c r="J6" s="100" t="b">
        <v>1</v>
      </c>
      <c r="K6" s="100" t="b">
        <v>0</v>
      </c>
      <c r="L6" s="100" t="b">
        <v>0</v>
      </c>
    </row>
    <row r="7" spans="1:12" ht="15">
      <c r="A7" s="102" t="s">
        <v>720</v>
      </c>
      <c r="B7" s="100" t="s">
        <v>728</v>
      </c>
      <c r="C7" s="100">
        <v>25</v>
      </c>
      <c r="D7" s="104">
        <v>0.01694508509193583</v>
      </c>
      <c r="E7" s="104">
        <v>1.5521556985936145</v>
      </c>
      <c r="F7" s="100" t="s">
        <v>926</v>
      </c>
      <c r="G7" s="100" t="b">
        <v>1</v>
      </c>
      <c r="H7" s="100" t="b">
        <v>0</v>
      </c>
      <c r="I7" s="100" t="b">
        <v>0</v>
      </c>
      <c r="J7" s="100" t="b">
        <v>0</v>
      </c>
      <c r="K7" s="100" t="b">
        <v>1</v>
      </c>
      <c r="L7" s="100" t="b">
        <v>0</v>
      </c>
    </row>
    <row r="8" spans="1:12" ht="15">
      <c r="A8" s="102" t="s">
        <v>728</v>
      </c>
      <c r="B8" s="100" t="s">
        <v>729</v>
      </c>
      <c r="C8" s="100">
        <v>25</v>
      </c>
      <c r="D8" s="104">
        <v>0.01694508509193583</v>
      </c>
      <c r="E8" s="104">
        <v>1.7339992865383869</v>
      </c>
      <c r="F8" s="100" t="s">
        <v>926</v>
      </c>
      <c r="G8" s="100" t="b">
        <v>0</v>
      </c>
      <c r="H8" s="100" t="b">
        <v>1</v>
      </c>
      <c r="I8" s="100" t="b">
        <v>0</v>
      </c>
      <c r="J8" s="100" t="b">
        <v>0</v>
      </c>
      <c r="K8" s="100" t="b">
        <v>0</v>
      </c>
      <c r="L8" s="100" t="b">
        <v>0</v>
      </c>
    </row>
    <row r="9" spans="1:12" ht="15">
      <c r="A9" s="102" t="s">
        <v>729</v>
      </c>
      <c r="B9" s="100" t="s">
        <v>730</v>
      </c>
      <c r="C9" s="100">
        <v>25</v>
      </c>
      <c r="D9" s="104">
        <v>0.01694508509193583</v>
      </c>
      <c r="E9" s="104">
        <v>1.7339992865383869</v>
      </c>
      <c r="F9" s="100" t="s">
        <v>926</v>
      </c>
      <c r="G9" s="100" t="b">
        <v>0</v>
      </c>
      <c r="H9" s="100" t="b">
        <v>0</v>
      </c>
      <c r="I9" s="100" t="b">
        <v>0</v>
      </c>
      <c r="J9" s="100" t="b">
        <v>0</v>
      </c>
      <c r="K9" s="100" t="b">
        <v>0</v>
      </c>
      <c r="L9" s="100" t="b">
        <v>0</v>
      </c>
    </row>
    <row r="10" spans="1:12" ht="15">
      <c r="A10" s="102" t="s">
        <v>730</v>
      </c>
      <c r="B10" s="100" t="s">
        <v>731</v>
      </c>
      <c r="C10" s="100">
        <v>25</v>
      </c>
      <c r="D10" s="104">
        <v>0.01694508509193583</v>
      </c>
      <c r="E10" s="104">
        <v>1.7339992865383869</v>
      </c>
      <c r="F10" s="100" t="s">
        <v>926</v>
      </c>
      <c r="G10" s="100" t="b">
        <v>0</v>
      </c>
      <c r="H10" s="100" t="b">
        <v>0</v>
      </c>
      <c r="I10" s="100" t="b">
        <v>0</v>
      </c>
      <c r="J10" s="100" t="b">
        <v>0</v>
      </c>
      <c r="K10" s="100" t="b">
        <v>0</v>
      </c>
      <c r="L10" s="100" t="b">
        <v>0</v>
      </c>
    </row>
    <row r="11" spans="1:12" ht="15">
      <c r="A11" s="102" t="s">
        <v>734</v>
      </c>
      <c r="B11" s="100" t="s">
        <v>735</v>
      </c>
      <c r="C11" s="100">
        <v>22</v>
      </c>
      <c r="D11" s="104">
        <v>0.015639554030305373</v>
      </c>
      <c r="E11" s="104">
        <v>1.7895166143882184</v>
      </c>
      <c r="F11" s="100" t="s">
        <v>926</v>
      </c>
      <c r="G11" s="100" t="b">
        <v>0</v>
      </c>
      <c r="H11" s="100" t="b">
        <v>0</v>
      </c>
      <c r="I11" s="100" t="b">
        <v>0</v>
      </c>
      <c r="J11" s="100" t="b">
        <v>0</v>
      </c>
      <c r="K11" s="100" t="b">
        <v>0</v>
      </c>
      <c r="L11" s="100" t="b">
        <v>0</v>
      </c>
    </row>
    <row r="12" spans="1:12" ht="15">
      <c r="A12" s="102" t="s">
        <v>735</v>
      </c>
      <c r="B12" s="100" t="s">
        <v>736</v>
      </c>
      <c r="C12" s="100">
        <v>22</v>
      </c>
      <c r="D12" s="104">
        <v>0.015639554030305373</v>
      </c>
      <c r="E12" s="104">
        <v>1.7895166143882184</v>
      </c>
      <c r="F12" s="100" t="s">
        <v>926</v>
      </c>
      <c r="G12" s="100" t="b">
        <v>0</v>
      </c>
      <c r="H12" s="100" t="b">
        <v>0</v>
      </c>
      <c r="I12" s="100" t="b">
        <v>0</v>
      </c>
      <c r="J12" s="100" t="b">
        <v>0</v>
      </c>
      <c r="K12" s="100" t="b">
        <v>0</v>
      </c>
      <c r="L12" s="100" t="b">
        <v>0</v>
      </c>
    </row>
    <row r="13" spans="1:12" ht="15">
      <c r="A13" s="102" t="s">
        <v>736</v>
      </c>
      <c r="B13" s="100" t="s">
        <v>737</v>
      </c>
      <c r="C13" s="100">
        <v>22</v>
      </c>
      <c r="D13" s="104">
        <v>0.015639554030305373</v>
      </c>
      <c r="E13" s="104">
        <v>1.7895166143882184</v>
      </c>
      <c r="F13" s="100" t="s">
        <v>926</v>
      </c>
      <c r="G13" s="100" t="b">
        <v>0</v>
      </c>
      <c r="H13" s="100" t="b">
        <v>0</v>
      </c>
      <c r="I13" s="100" t="b">
        <v>0</v>
      </c>
      <c r="J13" s="100" t="b">
        <v>0</v>
      </c>
      <c r="K13" s="100" t="b">
        <v>0</v>
      </c>
      <c r="L13" s="100" t="b">
        <v>0</v>
      </c>
    </row>
    <row r="14" spans="1:12" ht="15">
      <c r="A14" s="102" t="s">
        <v>737</v>
      </c>
      <c r="B14" s="100" t="s">
        <v>738</v>
      </c>
      <c r="C14" s="100">
        <v>22</v>
      </c>
      <c r="D14" s="104">
        <v>0.015639554030305373</v>
      </c>
      <c r="E14" s="104">
        <v>1.7895166143882184</v>
      </c>
      <c r="F14" s="100" t="s">
        <v>926</v>
      </c>
      <c r="G14" s="100" t="b">
        <v>0</v>
      </c>
      <c r="H14" s="100" t="b">
        <v>0</v>
      </c>
      <c r="I14" s="100" t="b">
        <v>0</v>
      </c>
      <c r="J14" s="100" t="b">
        <v>0</v>
      </c>
      <c r="K14" s="100" t="b">
        <v>0</v>
      </c>
      <c r="L14" s="100" t="b">
        <v>0</v>
      </c>
    </row>
    <row r="15" spans="1:12" ht="15">
      <c r="A15" s="102" t="s">
        <v>738</v>
      </c>
      <c r="B15" s="100" t="s">
        <v>733</v>
      </c>
      <c r="C15" s="100">
        <v>22</v>
      </c>
      <c r="D15" s="104">
        <v>0.015639554030305373</v>
      </c>
      <c r="E15" s="104">
        <v>1.7702114591928317</v>
      </c>
      <c r="F15" s="100" t="s">
        <v>926</v>
      </c>
      <c r="G15" s="100" t="b">
        <v>0</v>
      </c>
      <c r="H15" s="100" t="b">
        <v>0</v>
      </c>
      <c r="I15" s="100" t="b">
        <v>0</v>
      </c>
      <c r="J15" s="100" t="b">
        <v>0</v>
      </c>
      <c r="K15" s="100" t="b">
        <v>0</v>
      </c>
      <c r="L15" s="100" t="b">
        <v>0</v>
      </c>
    </row>
    <row r="16" spans="1:12" ht="15">
      <c r="A16" s="102" t="s">
        <v>742</v>
      </c>
      <c r="B16" s="100" t="s">
        <v>743</v>
      </c>
      <c r="C16" s="100">
        <v>15</v>
      </c>
      <c r="D16" s="104">
        <v>0.012150204359240965</v>
      </c>
      <c r="E16" s="104">
        <v>1.9558480361547432</v>
      </c>
      <c r="F16" s="100" t="s">
        <v>926</v>
      </c>
      <c r="G16" s="100" t="b">
        <v>0</v>
      </c>
      <c r="H16" s="100" t="b">
        <v>0</v>
      </c>
      <c r="I16" s="100" t="b">
        <v>0</v>
      </c>
      <c r="J16" s="100" t="b">
        <v>0</v>
      </c>
      <c r="K16" s="100" t="b">
        <v>0</v>
      </c>
      <c r="L16" s="100" t="b">
        <v>0</v>
      </c>
    </row>
    <row r="17" spans="1:12" ht="15">
      <c r="A17" s="102" t="s">
        <v>718</v>
      </c>
      <c r="B17" s="100" t="s">
        <v>744</v>
      </c>
      <c r="C17" s="100">
        <v>15</v>
      </c>
      <c r="D17" s="104">
        <v>0.012150204359240965</v>
      </c>
      <c r="E17" s="104">
        <v>1.2568780318187245</v>
      </c>
      <c r="F17" s="100" t="s">
        <v>926</v>
      </c>
      <c r="G17" s="100" t="b">
        <v>0</v>
      </c>
      <c r="H17" s="100" t="b">
        <v>0</v>
      </c>
      <c r="I17" s="100" t="b">
        <v>0</v>
      </c>
      <c r="J17" s="100" t="b">
        <v>0</v>
      </c>
      <c r="K17" s="100" t="b">
        <v>0</v>
      </c>
      <c r="L17" s="100" t="b">
        <v>0</v>
      </c>
    </row>
    <row r="18" spans="1:12" ht="15">
      <c r="A18" s="102" t="s">
        <v>739</v>
      </c>
      <c r="B18" s="100" t="s">
        <v>747</v>
      </c>
      <c r="C18" s="100">
        <v>12</v>
      </c>
      <c r="D18" s="104">
        <v>0.01041320291295694</v>
      </c>
      <c r="E18" s="104">
        <v>1.9014903738321507</v>
      </c>
      <c r="F18" s="100" t="s">
        <v>926</v>
      </c>
      <c r="G18" s="100" t="b">
        <v>0</v>
      </c>
      <c r="H18" s="100" t="b">
        <v>0</v>
      </c>
      <c r="I18" s="100" t="b">
        <v>0</v>
      </c>
      <c r="J18" s="100" t="b">
        <v>0</v>
      </c>
      <c r="K18" s="100" t="b">
        <v>0</v>
      </c>
      <c r="L18" s="100" t="b">
        <v>0</v>
      </c>
    </row>
    <row r="19" spans="1:12" ht="15">
      <c r="A19" s="102" t="s">
        <v>750</v>
      </c>
      <c r="B19" s="100" t="s">
        <v>751</v>
      </c>
      <c r="C19" s="100">
        <v>10</v>
      </c>
      <c r="D19" s="104">
        <v>0.00914954779524893</v>
      </c>
      <c r="E19" s="104">
        <v>2.1319392952104246</v>
      </c>
      <c r="F19" s="100" t="s">
        <v>926</v>
      </c>
      <c r="G19" s="100" t="b">
        <v>0</v>
      </c>
      <c r="H19" s="100" t="b">
        <v>1</v>
      </c>
      <c r="I19" s="100" t="b">
        <v>0</v>
      </c>
      <c r="J19" s="100" t="b">
        <v>0</v>
      </c>
      <c r="K19" s="100" t="b">
        <v>1</v>
      </c>
      <c r="L19" s="100" t="b">
        <v>0</v>
      </c>
    </row>
    <row r="20" spans="1:12" ht="15">
      <c r="A20" s="102" t="s">
        <v>751</v>
      </c>
      <c r="B20" s="100" t="s">
        <v>752</v>
      </c>
      <c r="C20" s="100">
        <v>10</v>
      </c>
      <c r="D20" s="104">
        <v>0.00914954779524893</v>
      </c>
      <c r="E20" s="104">
        <v>2.1319392952104246</v>
      </c>
      <c r="F20" s="100" t="s">
        <v>926</v>
      </c>
      <c r="G20" s="100" t="b">
        <v>0</v>
      </c>
      <c r="H20" s="100" t="b">
        <v>1</v>
      </c>
      <c r="I20" s="100" t="b">
        <v>0</v>
      </c>
      <c r="J20" s="100" t="b">
        <v>1</v>
      </c>
      <c r="K20" s="100" t="b">
        <v>0</v>
      </c>
      <c r="L20" s="100" t="b">
        <v>0</v>
      </c>
    </row>
    <row r="21" spans="1:12" ht="15">
      <c r="A21" s="102" t="s">
        <v>752</v>
      </c>
      <c r="B21" s="100" t="s">
        <v>753</v>
      </c>
      <c r="C21" s="100">
        <v>10</v>
      </c>
      <c r="D21" s="104">
        <v>0.00914954779524893</v>
      </c>
      <c r="E21" s="104">
        <v>2.1319392952104246</v>
      </c>
      <c r="F21" s="100" t="s">
        <v>926</v>
      </c>
      <c r="G21" s="100" t="b">
        <v>1</v>
      </c>
      <c r="H21" s="100" t="b">
        <v>0</v>
      </c>
      <c r="I21" s="100" t="b">
        <v>0</v>
      </c>
      <c r="J21" s="100" t="b">
        <v>0</v>
      </c>
      <c r="K21" s="100" t="b">
        <v>0</v>
      </c>
      <c r="L21" s="100" t="b">
        <v>0</v>
      </c>
    </row>
    <row r="22" spans="1:12" ht="15">
      <c r="A22" s="102" t="s">
        <v>754</v>
      </c>
      <c r="B22" s="100" t="s">
        <v>755</v>
      </c>
      <c r="C22" s="100">
        <v>10</v>
      </c>
      <c r="D22" s="104">
        <v>0.00914954779524893</v>
      </c>
      <c r="E22" s="104">
        <v>2.1319392952104246</v>
      </c>
      <c r="F22" s="100" t="s">
        <v>926</v>
      </c>
      <c r="G22" s="100" t="b">
        <v>0</v>
      </c>
      <c r="H22" s="100" t="b">
        <v>0</v>
      </c>
      <c r="I22" s="100" t="b">
        <v>0</v>
      </c>
      <c r="J22" s="100" t="b">
        <v>0</v>
      </c>
      <c r="K22" s="100" t="b">
        <v>0</v>
      </c>
      <c r="L22" s="100" t="b">
        <v>0</v>
      </c>
    </row>
    <row r="23" spans="1:12" ht="15">
      <c r="A23" s="102" t="s">
        <v>755</v>
      </c>
      <c r="B23" s="100" t="s">
        <v>756</v>
      </c>
      <c r="C23" s="100">
        <v>10</v>
      </c>
      <c r="D23" s="104">
        <v>0.00914954779524893</v>
      </c>
      <c r="E23" s="104">
        <v>2.1319392952104246</v>
      </c>
      <c r="F23" s="100" t="s">
        <v>926</v>
      </c>
      <c r="G23" s="100" t="b">
        <v>0</v>
      </c>
      <c r="H23" s="100" t="b">
        <v>0</v>
      </c>
      <c r="I23" s="100" t="b">
        <v>0</v>
      </c>
      <c r="J23" s="100" t="b">
        <v>0</v>
      </c>
      <c r="K23" s="100" t="b">
        <v>0</v>
      </c>
      <c r="L23" s="100" t="b">
        <v>0</v>
      </c>
    </row>
    <row r="24" spans="1:12" ht="15">
      <c r="A24" s="102" t="s">
        <v>756</v>
      </c>
      <c r="B24" s="100" t="s">
        <v>757</v>
      </c>
      <c r="C24" s="100">
        <v>10</v>
      </c>
      <c r="D24" s="104">
        <v>0.00914954779524893</v>
      </c>
      <c r="E24" s="104">
        <v>2.1319392952104246</v>
      </c>
      <c r="F24" s="100" t="s">
        <v>926</v>
      </c>
      <c r="G24" s="100" t="b">
        <v>0</v>
      </c>
      <c r="H24" s="100" t="b">
        <v>0</v>
      </c>
      <c r="I24" s="100" t="b">
        <v>0</v>
      </c>
      <c r="J24" s="100" t="b">
        <v>0</v>
      </c>
      <c r="K24" s="100" t="b">
        <v>0</v>
      </c>
      <c r="L24" s="100" t="b">
        <v>0</v>
      </c>
    </row>
    <row r="25" spans="1:12" ht="15">
      <c r="A25" s="102" t="s">
        <v>758</v>
      </c>
      <c r="B25" s="100" t="s">
        <v>724</v>
      </c>
      <c r="C25" s="100">
        <v>9</v>
      </c>
      <c r="D25" s="104">
        <v>0.00848001459799226</v>
      </c>
      <c r="E25" s="104">
        <v>1.7005755310514372</v>
      </c>
      <c r="F25" s="100" t="s">
        <v>926</v>
      </c>
      <c r="G25" s="100" t="b">
        <v>0</v>
      </c>
      <c r="H25" s="100" t="b">
        <v>0</v>
      </c>
      <c r="I25" s="100" t="b">
        <v>0</v>
      </c>
      <c r="J25" s="100" t="b">
        <v>0</v>
      </c>
      <c r="K25" s="100" t="b">
        <v>0</v>
      </c>
      <c r="L25" s="100" t="b">
        <v>0</v>
      </c>
    </row>
    <row r="26" spans="1:12" ht="15">
      <c r="A26" s="102" t="s">
        <v>718</v>
      </c>
      <c r="B26" s="100" t="s">
        <v>760</v>
      </c>
      <c r="C26" s="100">
        <v>9</v>
      </c>
      <c r="D26" s="104">
        <v>0.00848001459799226</v>
      </c>
      <c r="E26" s="104">
        <v>1.2568780318187245</v>
      </c>
      <c r="F26" s="100" t="s">
        <v>926</v>
      </c>
      <c r="G26" s="100" t="b">
        <v>0</v>
      </c>
      <c r="H26" s="100" t="b">
        <v>0</v>
      </c>
      <c r="I26" s="100" t="b">
        <v>0</v>
      </c>
      <c r="J26" s="100" t="b">
        <v>0</v>
      </c>
      <c r="K26" s="100" t="b">
        <v>0</v>
      </c>
      <c r="L26" s="100" t="b">
        <v>0</v>
      </c>
    </row>
    <row r="27" spans="1:12" ht="15">
      <c r="A27" s="102" t="s">
        <v>760</v>
      </c>
      <c r="B27" s="100" t="s">
        <v>740</v>
      </c>
      <c r="C27" s="100">
        <v>9</v>
      </c>
      <c r="D27" s="104">
        <v>0.00848001459799226</v>
      </c>
      <c r="E27" s="104">
        <v>1.9278193125544998</v>
      </c>
      <c r="F27" s="100" t="s">
        <v>926</v>
      </c>
      <c r="G27" s="100" t="b">
        <v>0</v>
      </c>
      <c r="H27" s="100" t="b">
        <v>0</v>
      </c>
      <c r="I27" s="100" t="b">
        <v>0</v>
      </c>
      <c r="J27" s="100" t="b">
        <v>0</v>
      </c>
      <c r="K27" s="100" t="b">
        <v>0</v>
      </c>
      <c r="L27" s="100" t="b">
        <v>0</v>
      </c>
    </row>
    <row r="28" spans="1:12" ht="15">
      <c r="A28" s="102" t="s">
        <v>740</v>
      </c>
      <c r="B28" s="100" t="s">
        <v>761</v>
      </c>
      <c r="C28" s="100">
        <v>9</v>
      </c>
      <c r="D28" s="104">
        <v>0.00848001459799226</v>
      </c>
      <c r="E28" s="104">
        <v>1.9558480361547432</v>
      </c>
      <c r="F28" s="100" t="s">
        <v>926</v>
      </c>
      <c r="G28" s="100" t="b">
        <v>0</v>
      </c>
      <c r="H28" s="100" t="b">
        <v>0</v>
      </c>
      <c r="I28" s="100" t="b">
        <v>0</v>
      </c>
      <c r="J28" s="100" t="b">
        <v>0</v>
      </c>
      <c r="K28" s="100" t="b">
        <v>0</v>
      </c>
      <c r="L28" s="100" t="b">
        <v>0</v>
      </c>
    </row>
    <row r="29" spans="1:12" ht="15">
      <c r="A29" s="102" t="s">
        <v>718</v>
      </c>
      <c r="B29" s="100" t="s">
        <v>762</v>
      </c>
      <c r="C29" s="100">
        <v>9</v>
      </c>
      <c r="D29" s="104">
        <v>0.00848001459799226</v>
      </c>
      <c r="E29" s="104">
        <v>1.2568780318187245</v>
      </c>
      <c r="F29" s="100" t="s">
        <v>926</v>
      </c>
      <c r="G29" s="100" t="b">
        <v>0</v>
      </c>
      <c r="H29" s="100" t="b">
        <v>0</v>
      </c>
      <c r="I29" s="100" t="b">
        <v>0</v>
      </c>
      <c r="J29" s="100" t="b">
        <v>0</v>
      </c>
      <c r="K29" s="100" t="b">
        <v>0</v>
      </c>
      <c r="L29" s="100" t="b">
        <v>0</v>
      </c>
    </row>
    <row r="30" spans="1:12" ht="15">
      <c r="A30" s="102" t="s">
        <v>762</v>
      </c>
      <c r="B30" s="100" t="s">
        <v>763</v>
      </c>
      <c r="C30" s="100">
        <v>9</v>
      </c>
      <c r="D30" s="104">
        <v>0.00848001459799226</v>
      </c>
      <c r="E30" s="104">
        <v>2.1776967857711</v>
      </c>
      <c r="F30" s="100" t="s">
        <v>926</v>
      </c>
      <c r="G30" s="100" t="b">
        <v>0</v>
      </c>
      <c r="H30" s="100" t="b">
        <v>0</v>
      </c>
      <c r="I30" s="100" t="b">
        <v>0</v>
      </c>
      <c r="J30" s="100" t="b">
        <v>0</v>
      </c>
      <c r="K30" s="100" t="b">
        <v>0</v>
      </c>
      <c r="L30" s="100" t="b">
        <v>0</v>
      </c>
    </row>
    <row r="31" spans="1:12" ht="15">
      <c r="A31" s="102" t="s">
        <v>744</v>
      </c>
      <c r="B31" s="100" t="s">
        <v>745</v>
      </c>
      <c r="C31" s="100">
        <v>9</v>
      </c>
      <c r="D31" s="104">
        <v>0.00848001459799226</v>
      </c>
      <c r="E31" s="104">
        <v>1.9858112595321864</v>
      </c>
      <c r="F31" s="100" t="s">
        <v>926</v>
      </c>
      <c r="G31" s="100" t="b">
        <v>0</v>
      </c>
      <c r="H31" s="100" t="b">
        <v>0</v>
      </c>
      <c r="I31" s="100" t="b">
        <v>0</v>
      </c>
      <c r="J31" s="100" t="b">
        <v>0</v>
      </c>
      <c r="K31" s="100" t="b">
        <v>0</v>
      </c>
      <c r="L31" s="100" t="b">
        <v>0</v>
      </c>
    </row>
    <row r="32" spans="1:12" ht="15">
      <c r="A32" s="102" t="s">
        <v>764</v>
      </c>
      <c r="B32" s="100" t="s">
        <v>765</v>
      </c>
      <c r="C32" s="100">
        <v>9</v>
      </c>
      <c r="D32" s="104">
        <v>0.01103906781162573</v>
      </c>
      <c r="E32" s="104">
        <v>2.1776967857711</v>
      </c>
      <c r="F32" s="100" t="s">
        <v>926</v>
      </c>
      <c r="G32" s="100" t="b">
        <v>0</v>
      </c>
      <c r="H32" s="100" t="b">
        <v>0</v>
      </c>
      <c r="I32" s="100" t="b">
        <v>0</v>
      </c>
      <c r="J32" s="100" t="b">
        <v>0</v>
      </c>
      <c r="K32" s="100" t="b">
        <v>0</v>
      </c>
      <c r="L32" s="100" t="b">
        <v>0</v>
      </c>
    </row>
    <row r="33" spans="1:12" ht="15">
      <c r="A33" s="102" t="s">
        <v>765</v>
      </c>
      <c r="B33" s="100" t="s">
        <v>766</v>
      </c>
      <c r="C33" s="100">
        <v>9</v>
      </c>
      <c r="D33" s="104">
        <v>0.01103906781162573</v>
      </c>
      <c r="E33" s="104">
        <v>2.1776967857711</v>
      </c>
      <c r="F33" s="100" t="s">
        <v>926</v>
      </c>
      <c r="G33" s="100" t="b">
        <v>0</v>
      </c>
      <c r="H33" s="100" t="b">
        <v>0</v>
      </c>
      <c r="I33" s="100" t="b">
        <v>0</v>
      </c>
      <c r="J33" s="100" t="b">
        <v>0</v>
      </c>
      <c r="K33" s="100" t="b">
        <v>0</v>
      </c>
      <c r="L33" s="100" t="b">
        <v>0</v>
      </c>
    </row>
    <row r="34" spans="1:12" ht="15">
      <c r="A34" s="102" t="s">
        <v>718</v>
      </c>
      <c r="B34" s="100" t="s">
        <v>767</v>
      </c>
      <c r="C34" s="100">
        <v>8</v>
      </c>
      <c r="D34" s="104">
        <v>0.007781664519908591</v>
      </c>
      <c r="E34" s="104">
        <v>1.2568780318187245</v>
      </c>
      <c r="F34" s="100" t="s">
        <v>926</v>
      </c>
      <c r="G34" s="100" t="b">
        <v>0</v>
      </c>
      <c r="H34" s="100" t="b">
        <v>0</v>
      </c>
      <c r="I34" s="100" t="b">
        <v>0</v>
      </c>
      <c r="J34" s="100" t="b">
        <v>0</v>
      </c>
      <c r="K34" s="100" t="b">
        <v>0</v>
      </c>
      <c r="L34" s="100" t="b">
        <v>0</v>
      </c>
    </row>
    <row r="35" spans="1:12" ht="15">
      <c r="A35" s="102" t="s">
        <v>722</v>
      </c>
      <c r="B35" s="100" t="s">
        <v>768</v>
      </c>
      <c r="C35" s="100">
        <v>7</v>
      </c>
      <c r="D35" s="104">
        <v>0.007050877568652918</v>
      </c>
      <c r="E35" s="104">
        <v>1.6004603781681694</v>
      </c>
      <c r="F35" s="100" t="s">
        <v>926</v>
      </c>
      <c r="G35" s="100" t="b">
        <v>0</v>
      </c>
      <c r="H35" s="100" t="b">
        <v>0</v>
      </c>
      <c r="I35" s="100" t="b">
        <v>0</v>
      </c>
      <c r="J35" s="100" t="b">
        <v>0</v>
      </c>
      <c r="K35" s="100" t="b">
        <v>0</v>
      </c>
      <c r="L35" s="100" t="b">
        <v>0</v>
      </c>
    </row>
    <row r="36" spans="1:12" ht="15">
      <c r="A36" s="102" t="s">
        <v>768</v>
      </c>
      <c r="B36" s="100" t="s">
        <v>725</v>
      </c>
      <c r="C36" s="100">
        <v>7</v>
      </c>
      <c r="D36" s="104">
        <v>0.007050877568652918</v>
      </c>
      <c r="E36" s="104">
        <v>1.6695412973114685</v>
      </c>
      <c r="F36" s="100" t="s">
        <v>926</v>
      </c>
      <c r="G36" s="100" t="b">
        <v>0</v>
      </c>
      <c r="H36" s="100" t="b">
        <v>0</v>
      </c>
      <c r="I36" s="100" t="b">
        <v>0</v>
      </c>
      <c r="J36" s="100" t="b">
        <v>0</v>
      </c>
      <c r="K36" s="100" t="b">
        <v>0</v>
      </c>
      <c r="L36" s="100" t="b">
        <v>0</v>
      </c>
    </row>
    <row r="37" spans="1:12" ht="15">
      <c r="A37" s="102" t="s">
        <v>769</v>
      </c>
      <c r="B37" s="100" t="s">
        <v>770</v>
      </c>
      <c r="C37" s="100">
        <v>7</v>
      </c>
      <c r="D37" s="104">
        <v>0.007050877568652918</v>
      </c>
      <c r="E37" s="104">
        <v>2.2868412551961677</v>
      </c>
      <c r="F37" s="100" t="s">
        <v>926</v>
      </c>
      <c r="G37" s="100" t="b">
        <v>0</v>
      </c>
      <c r="H37" s="100" t="b">
        <v>0</v>
      </c>
      <c r="I37" s="100" t="b">
        <v>0</v>
      </c>
      <c r="J37" s="100" t="b">
        <v>0</v>
      </c>
      <c r="K37" s="100" t="b">
        <v>0</v>
      </c>
      <c r="L37" s="100" t="b">
        <v>0</v>
      </c>
    </row>
    <row r="38" spans="1:12" ht="15">
      <c r="A38" s="102" t="s">
        <v>770</v>
      </c>
      <c r="B38" s="100" t="s">
        <v>771</v>
      </c>
      <c r="C38" s="100">
        <v>7</v>
      </c>
      <c r="D38" s="104">
        <v>0.007050877568652918</v>
      </c>
      <c r="E38" s="104">
        <v>2.2868412551961677</v>
      </c>
      <c r="F38" s="100" t="s">
        <v>926</v>
      </c>
      <c r="G38" s="100" t="b">
        <v>0</v>
      </c>
      <c r="H38" s="100" t="b">
        <v>0</v>
      </c>
      <c r="I38" s="100" t="b">
        <v>0</v>
      </c>
      <c r="J38" s="100" t="b">
        <v>0</v>
      </c>
      <c r="K38" s="100" t="b">
        <v>0</v>
      </c>
      <c r="L38" s="100" t="b">
        <v>0</v>
      </c>
    </row>
    <row r="39" spans="1:12" ht="15">
      <c r="A39" s="102" t="s">
        <v>771</v>
      </c>
      <c r="B39" s="100" t="s">
        <v>739</v>
      </c>
      <c r="C39" s="100">
        <v>7</v>
      </c>
      <c r="D39" s="104">
        <v>0.007050877568652918</v>
      </c>
      <c r="E39" s="104">
        <v>1.9014903738321507</v>
      </c>
      <c r="F39" s="100" t="s">
        <v>926</v>
      </c>
      <c r="G39" s="100" t="b">
        <v>0</v>
      </c>
      <c r="H39" s="100" t="b">
        <v>0</v>
      </c>
      <c r="I39" s="100" t="b">
        <v>0</v>
      </c>
      <c r="J39" s="100" t="b">
        <v>0</v>
      </c>
      <c r="K39" s="100" t="b">
        <v>0</v>
      </c>
      <c r="L39" s="100" t="b">
        <v>0</v>
      </c>
    </row>
    <row r="40" spans="1:12" ht="15">
      <c r="A40" s="102" t="s">
        <v>747</v>
      </c>
      <c r="B40" s="100" t="s">
        <v>724</v>
      </c>
      <c r="C40" s="100">
        <v>7</v>
      </c>
      <c r="D40" s="104">
        <v>0.007050877568652918</v>
      </c>
      <c r="E40" s="104">
        <v>1.4664923250180693</v>
      </c>
      <c r="F40" s="100" t="s">
        <v>926</v>
      </c>
      <c r="G40" s="100" t="b">
        <v>0</v>
      </c>
      <c r="H40" s="100" t="b">
        <v>0</v>
      </c>
      <c r="I40" s="100" t="b">
        <v>0</v>
      </c>
      <c r="J40" s="100" t="b">
        <v>0</v>
      </c>
      <c r="K40" s="100" t="b">
        <v>0</v>
      </c>
      <c r="L40" s="100" t="b">
        <v>0</v>
      </c>
    </row>
    <row r="41" spans="1:12" ht="15">
      <c r="A41" s="102" t="s">
        <v>724</v>
      </c>
      <c r="B41" s="100" t="s">
        <v>772</v>
      </c>
      <c r="C41" s="100">
        <v>7</v>
      </c>
      <c r="D41" s="104">
        <v>0.007050877568652918</v>
      </c>
      <c r="E41" s="104">
        <v>1.6548180404907622</v>
      </c>
      <c r="F41" s="100" t="s">
        <v>926</v>
      </c>
      <c r="G41" s="100" t="b">
        <v>0</v>
      </c>
      <c r="H41" s="100" t="b">
        <v>0</v>
      </c>
      <c r="I41" s="100" t="b">
        <v>0</v>
      </c>
      <c r="J41" s="100" t="b">
        <v>0</v>
      </c>
      <c r="K41" s="100" t="b">
        <v>0</v>
      </c>
      <c r="L41" s="100" t="b">
        <v>0</v>
      </c>
    </row>
    <row r="42" spans="1:12" ht="15">
      <c r="A42" s="102" t="s">
        <v>724</v>
      </c>
      <c r="B42" s="100" t="s">
        <v>776</v>
      </c>
      <c r="C42" s="100">
        <v>6</v>
      </c>
      <c r="D42" s="104">
        <v>0.006282989998781145</v>
      </c>
      <c r="E42" s="104">
        <v>1.6548180404907622</v>
      </c>
      <c r="F42" s="100" t="s">
        <v>926</v>
      </c>
      <c r="G42" s="100" t="b">
        <v>0</v>
      </c>
      <c r="H42" s="100" t="b">
        <v>0</v>
      </c>
      <c r="I42" s="100" t="b">
        <v>0</v>
      </c>
      <c r="J42" s="100" t="b">
        <v>0</v>
      </c>
      <c r="K42" s="100" t="b">
        <v>0</v>
      </c>
      <c r="L42" s="100" t="b">
        <v>0</v>
      </c>
    </row>
    <row r="43" spans="1:12" ht="15">
      <c r="A43" s="102" t="s">
        <v>777</v>
      </c>
      <c r="B43" s="100" t="s">
        <v>778</v>
      </c>
      <c r="C43" s="100">
        <v>6</v>
      </c>
      <c r="D43" s="104">
        <v>0.007989025474536792</v>
      </c>
      <c r="E43" s="104">
        <v>2.3537880448267807</v>
      </c>
      <c r="F43" s="100" t="s">
        <v>926</v>
      </c>
      <c r="G43" s="100" t="b">
        <v>0</v>
      </c>
      <c r="H43" s="100" t="b">
        <v>0</v>
      </c>
      <c r="I43" s="100" t="b">
        <v>0</v>
      </c>
      <c r="J43" s="100" t="b">
        <v>0</v>
      </c>
      <c r="K43" s="100" t="b">
        <v>0</v>
      </c>
      <c r="L43" s="100" t="b">
        <v>0</v>
      </c>
    </row>
    <row r="44" spans="1:12" ht="15">
      <c r="A44" s="102" t="s">
        <v>778</v>
      </c>
      <c r="B44" s="100" t="s">
        <v>759</v>
      </c>
      <c r="C44" s="100">
        <v>6</v>
      </c>
      <c r="D44" s="104">
        <v>0.007989025474536792</v>
      </c>
      <c r="E44" s="104">
        <v>2.1776967857711</v>
      </c>
      <c r="F44" s="100" t="s">
        <v>926</v>
      </c>
      <c r="G44" s="100" t="b">
        <v>0</v>
      </c>
      <c r="H44" s="100" t="b">
        <v>0</v>
      </c>
      <c r="I44" s="100" t="b">
        <v>0</v>
      </c>
      <c r="J44" s="100" t="b">
        <v>0</v>
      </c>
      <c r="K44" s="100" t="b">
        <v>0</v>
      </c>
      <c r="L44" s="100" t="b">
        <v>0</v>
      </c>
    </row>
    <row r="45" spans="1:12" ht="15">
      <c r="A45" s="102" t="s">
        <v>759</v>
      </c>
      <c r="B45" s="100" t="s">
        <v>779</v>
      </c>
      <c r="C45" s="100">
        <v>6</v>
      </c>
      <c r="D45" s="104">
        <v>0.007989025474536792</v>
      </c>
      <c r="E45" s="104">
        <v>2.1776967857711</v>
      </c>
      <c r="F45" s="100" t="s">
        <v>926</v>
      </c>
      <c r="G45" s="100" t="b">
        <v>0</v>
      </c>
      <c r="H45" s="100" t="b">
        <v>0</v>
      </c>
      <c r="I45" s="100" t="b">
        <v>0</v>
      </c>
      <c r="J45" s="100" t="b">
        <v>0</v>
      </c>
      <c r="K45" s="100" t="b">
        <v>0</v>
      </c>
      <c r="L45" s="100" t="b">
        <v>0</v>
      </c>
    </row>
    <row r="46" spans="1:12" ht="15">
      <c r="A46" s="102" t="s">
        <v>780</v>
      </c>
      <c r="B46" s="100" t="s">
        <v>746</v>
      </c>
      <c r="C46" s="100">
        <v>6</v>
      </c>
      <c r="D46" s="104">
        <v>0.006282989998781145</v>
      </c>
      <c r="E46" s="104">
        <v>2.0527580491628</v>
      </c>
      <c r="F46" s="100" t="s">
        <v>926</v>
      </c>
      <c r="G46" s="100" t="b">
        <v>0</v>
      </c>
      <c r="H46" s="100" t="b">
        <v>1</v>
      </c>
      <c r="I46" s="100" t="b">
        <v>0</v>
      </c>
      <c r="J46" s="100" t="b">
        <v>0</v>
      </c>
      <c r="K46" s="100" t="b">
        <v>0</v>
      </c>
      <c r="L46" s="100" t="b">
        <v>0</v>
      </c>
    </row>
    <row r="47" spans="1:12" ht="15">
      <c r="A47" s="102" t="s">
        <v>723</v>
      </c>
      <c r="B47" s="100" t="s">
        <v>719</v>
      </c>
      <c r="C47" s="100">
        <v>6</v>
      </c>
      <c r="D47" s="104">
        <v>0.007359378541083819</v>
      </c>
      <c r="E47" s="104">
        <v>1.3660225012437925</v>
      </c>
      <c r="F47" s="100" t="s">
        <v>926</v>
      </c>
      <c r="G47" s="100" t="b">
        <v>0</v>
      </c>
      <c r="H47" s="100" t="b">
        <v>0</v>
      </c>
      <c r="I47" s="100" t="b">
        <v>0</v>
      </c>
      <c r="J47" s="100" t="b">
        <v>0</v>
      </c>
      <c r="K47" s="100" t="b">
        <v>0</v>
      </c>
      <c r="L47" s="100" t="b">
        <v>0</v>
      </c>
    </row>
    <row r="48" spans="1:12" ht="15">
      <c r="A48" s="102" t="s">
        <v>722</v>
      </c>
      <c r="B48" s="100" t="s">
        <v>725</v>
      </c>
      <c r="C48" s="100">
        <v>6</v>
      </c>
      <c r="D48" s="104">
        <v>0.006566117219452032</v>
      </c>
      <c r="E48" s="104">
        <v>0.9162136306528569</v>
      </c>
      <c r="F48" s="100" t="s">
        <v>926</v>
      </c>
      <c r="G48" s="100" t="b">
        <v>0</v>
      </c>
      <c r="H48" s="100" t="b">
        <v>0</v>
      </c>
      <c r="I48" s="100" t="b">
        <v>0</v>
      </c>
      <c r="J48" s="100" t="b">
        <v>0</v>
      </c>
      <c r="K48" s="100" t="b">
        <v>0</v>
      </c>
      <c r="L48" s="100" t="b">
        <v>0</v>
      </c>
    </row>
    <row r="49" spans="1:12" ht="15">
      <c r="A49" s="102" t="s">
        <v>766</v>
      </c>
      <c r="B49" s="100" t="s">
        <v>764</v>
      </c>
      <c r="C49" s="100">
        <v>6</v>
      </c>
      <c r="D49" s="104">
        <v>0.007359378541083819</v>
      </c>
      <c r="E49" s="104">
        <v>2.0527580491628</v>
      </c>
      <c r="F49" s="100" t="s">
        <v>926</v>
      </c>
      <c r="G49" s="100" t="b">
        <v>0</v>
      </c>
      <c r="H49" s="100" t="b">
        <v>0</v>
      </c>
      <c r="I49" s="100" t="b">
        <v>0</v>
      </c>
      <c r="J49" s="100" t="b">
        <v>0</v>
      </c>
      <c r="K49" s="100" t="b">
        <v>0</v>
      </c>
      <c r="L49" s="100" t="b">
        <v>0</v>
      </c>
    </row>
    <row r="50" spans="1:12" ht="15">
      <c r="A50" s="102" t="s">
        <v>718</v>
      </c>
      <c r="B50" s="100" t="s">
        <v>783</v>
      </c>
      <c r="C50" s="100">
        <v>6</v>
      </c>
      <c r="D50" s="104">
        <v>0.006282989998781145</v>
      </c>
      <c r="E50" s="104">
        <v>1.2568780318187245</v>
      </c>
      <c r="F50" s="100" t="s">
        <v>926</v>
      </c>
      <c r="G50" s="100" t="b">
        <v>0</v>
      </c>
      <c r="H50" s="100" t="b">
        <v>0</v>
      </c>
      <c r="I50" s="100" t="b">
        <v>0</v>
      </c>
      <c r="J50" s="100" t="b">
        <v>0</v>
      </c>
      <c r="K50" s="100" t="b">
        <v>0</v>
      </c>
      <c r="L50" s="100" t="b">
        <v>0</v>
      </c>
    </row>
    <row r="51" spans="1:12" ht="15">
      <c r="A51" s="102" t="s">
        <v>783</v>
      </c>
      <c r="B51" s="100" t="s">
        <v>740</v>
      </c>
      <c r="C51" s="100">
        <v>6</v>
      </c>
      <c r="D51" s="104">
        <v>0.006282989998781145</v>
      </c>
      <c r="E51" s="104">
        <v>1.9278193125544998</v>
      </c>
      <c r="F51" s="100" t="s">
        <v>926</v>
      </c>
      <c r="G51" s="100" t="b">
        <v>0</v>
      </c>
      <c r="H51" s="100" t="b">
        <v>0</v>
      </c>
      <c r="I51" s="100" t="b">
        <v>0</v>
      </c>
      <c r="J51" s="100" t="b">
        <v>0</v>
      </c>
      <c r="K51" s="100" t="b">
        <v>0</v>
      </c>
      <c r="L51" s="100" t="b">
        <v>0</v>
      </c>
    </row>
    <row r="52" spans="1:12" ht="15">
      <c r="A52" s="102" t="s">
        <v>740</v>
      </c>
      <c r="B52" s="100" t="s">
        <v>784</v>
      </c>
      <c r="C52" s="100">
        <v>6</v>
      </c>
      <c r="D52" s="104">
        <v>0.006282989998781145</v>
      </c>
      <c r="E52" s="104">
        <v>1.9558480361547432</v>
      </c>
      <c r="F52" s="100" t="s">
        <v>926</v>
      </c>
      <c r="G52" s="100" t="b">
        <v>0</v>
      </c>
      <c r="H52" s="100" t="b">
        <v>0</v>
      </c>
      <c r="I52" s="100" t="b">
        <v>0</v>
      </c>
      <c r="J52" s="100" t="b">
        <v>1</v>
      </c>
      <c r="K52" s="100" t="b">
        <v>0</v>
      </c>
      <c r="L52" s="100" t="b">
        <v>0</v>
      </c>
    </row>
    <row r="53" spans="1:12" ht="15">
      <c r="A53" s="102" t="s">
        <v>784</v>
      </c>
      <c r="B53" s="100" t="s">
        <v>773</v>
      </c>
      <c r="C53" s="100">
        <v>6</v>
      </c>
      <c r="D53" s="104">
        <v>0.006282989998781145</v>
      </c>
      <c r="E53" s="104">
        <v>2.2868412551961677</v>
      </c>
      <c r="F53" s="100" t="s">
        <v>926</v>
      </c>
      <c r="G53" s="100" t="b">
        <v>1</v>
      </c>
      <c r="H53" s="100" t="b">
        <v>0</v>
      </c>
      <c r="I53" s="100" t="b">
        <v>0</v>
      </c>
      <c r="J53" s="100" t="b">
        <v>0</v>
      </c>
      <c r="K53" s="100" t="b">
        <v>0</v>
      </c>
      <c r="L53" s="100" t="b">
        <v>0</v>
      </c>
    </row>
    <row r="54" spans="1:12" ht="15">
      <c r="A54" s="102" t="s">
        <v>786</v>
      </c>
      <c r="B54" s="100" t="s">
        <v>787</v>
      </c>
      <c r="C54" s="100">
        <v>5</v>
      </c>
      <c r="D54" s="104">
        <v>0.00547176434954336</v>
      </c>
      <c r="E54" s="104">
        <v>2.432969290874406</v>
      </c>
      <c r="F54" s="100" t="s">
        <v>926</v>
      </c>
      <c r="G54" s="100" t="b">
        <v>0</v>
      </c>
      <c r="H54" s="100" t="b">
        <v>0</v>
      </c>
      <c r="I54" s="100" t="b">
        <v>0</v>
      </c>
      <c r="J54" s="100" t="b">
        <v>0</v>
      </c>
      <c r="K54" s="100" t="b">
        <v>0</v>
      </c>
      <c r="L54" s="100" t="b">
        <v>0</v>
      </c>
    </row>
    <row r="55" spans="1:12" ht="15">
      <c r="A55" s="102" t="s">
        <v>787</v>
      </c>
      <c r="B55" s="100" t="s">
        <v>788</v>
      </c>
      <c r="C55" s="100">
        <v>5</v>
      </c>
      <c r="D55" s="104">
        <v>0.00547176434954336</v>
      </c>
      <c r="E55" s="104">
        <v>2.432969290874406</v>
      </c>
      <c r="F55" s="100" t="s">
        <v>926</v>
      </c>
      <c r="G55" s="100" t="b">
        <v>0</v>
      </c>
      <c r="H55" s="100" t="b">
        <v>0</v>
      </c>
      <c r="I55" s="100" t="b">
        <v>0</v>
      </c>
      <c r="J55" s="100" t="b">
        <v>0</v>
      </c>
      <c r="K55" s="100" t="b">
        <v>0</v>
      </c>
      <c r="L55" s="100" t="b">
        <v>0</v>
      </c>
    </row>
    <row r="56" spans="1:12" ht="15">
      <c r="A56" s="102" t="s">
        <v>788</v>
      </c>
      <c r="B56" s="100" t="s">
        <v>720</v>
      </c>
      <c r="C56" s="100">
        <v>5</v>
      </c>
      <c r="D56" s="104">
        <v>0.00547176434954336</v>
      </c>
      <c r="E56" s="104">
        <v>1.640577601376152</v>
      </c>
      <c r="F56" s="100" t="s">
        <v>926</v>
      </c>
      <c r="G56" s="100" t="b">
        <v>0</v>
      </c>
      <c r="H56" s="100" t="b">
        <v>0</v>
      </c>
      <c r="I56" s="100" t="b">
        <v>0</v>
      </c>
      <c r="J56" s="100" t="b">
        <v>1</v>
      </c>
      <c r="K56" s="100" t="b">
        <v>0</v>
      </c>
      <c r="L56" s="100" t="b">
        <v>0</v>
      </c>
    </row>
    <row r="57" spans="1:12" ht="15">
      <c r="A57" s="102" t="s">
        <v>789</v>
      </c>
      <c r="B57" s="100" t="s">
        <v>790</v>
      </c>
      <c r="C57" s="100">
        <v>5</v>
      </c>
      <c r="D57" s="104">
        <v>0.00547176434954336</v>
      </c>
      <c r="E57" s="104">
        <v>2.432969290874406</v>
      </c>
      <c r="F57" s="100" t="s">
        <v>926</v>
      </c>
      <c r="G57" s="100" t="b">
        <v>0</v>
      </c>
      <c r="H57" s="100" t="b">
        <v>1</v>
      </c>
      <c r="I57" s="100" t="b">
        <v>0</v>
      </c>
      <c r="J57" s="100" t="b">
        <v>0</v>
      </c>
      <c r="K57" s="100" t="b">
        <v>0</v>
      </c>
      <c r="L57" s="100" t="b">
        <v>0</v>
      </c>
    </row>
    <row r="58" spans="1:12" ht="15">
      <c r="A58" s="102" t="s">
        <v>790</v>
      </c>
      <c r="B58" s="100" t="s">
        <v>791</v>
      </c>
      <c r="C58" s="100">
        <v>5</v>
      </c>
      <c r="D58" s="104">
        <v>0.00547176434954336</v>
      </c>
      <c r="E58" s="104">
        <v>2.432969290874406</v>
      </c>
      <c r="F58" s="100" t="s">
        <v>926</v>
      </c>
      <c r="G58" s="100" t="b">
        <v>0</v>
      </c>
      <c r="H58" s="100" t="b">
        <v>0</v>
      </c>
      <c r="I58" s="100" t="b">
        <v>0</v>
      </c>
      <c r="J58" s="100" t="b">
        <v>0</v>
      </c>
      <c r="K58" s="100" t="b">
        <v>0</v>
      </c>
      <c r="L58" s="100" t="b">
        <v>0</v>
      </c>
    </row>
    <row r="59" spans="1:12" ht="15">
      <c r="A59" s="102" t="s">
        <v>792</v>
      </c>
      <c r="B59" s="100" t="s">
        <v>739</v>
      </c>
      <c r="C59" s="100">
        <v>5</v>
      </c>
      <c r="D59" s="104">
        <v>0.00547176434954336</v>
      </c>
      <c r="E59" s="104">
        <v>1.9014903738321507</v>
      </c>
      <c r="F59" s="100" t="s">
        <v>926</v>
      </c>
      <c r="G59" s="100" t="b">
        <v>0</v>
      </c>
      <c r="H59" s="100" t="b">
        <v>0</v>
      </c>
      <c r="I59" s="100" t="b">
        <v>0</v>
      </c>
      <c r="J59" s="100" t="b">
        <v>0</v>
      </c>
      <c r="K59" s="100" t="b">
        <v>0</v>
      </c>
      <c r="L59" s="100" t="b">
        <v>0</v>
      </c>
    </row>
    <row r="60" spans="1:12" ht="15">
      <c r="A60" s="102" t="s">
        <v>739</v>
      </c>
      <c r="B60" s="100" t="s">
        <v>739</v>
      </c>
      <c r="C60" s="100">
        <v>5</v>
      </c>
      <c r="D60" s="104">
        <v>0.00547176434954336</v>
      </c>
      <c r="E60" s="104">
        <v>1.3700114567898953</v>
      </c>
      <c r="F60" s="100" t="s">
        <v>926</v>
      </c>
      <c r="G60" s="100" t="b">
        <v>0</v>
      </c>
      <c r="H60" s="100" t="b">
        <v>0</v>
      </c>
      <c r="I60" s="100" t="b">
        <v>0</v>
      </c>
      <c r="J60" s="100" t="b">
        <v>0</v>
      </c>
      <c r="K60" s="100" t="b">
        <v>0</v>
      </c>
      <c r="L60" s="100" t="b">
        <v>0</v>
      </c>
    </row>
    <row r="61" spans="1:12" ht="15">
      <c r="A61" s="102" t="s">
        <v>747</v>
      </c>
      <c r="B61" s="100" t="s">
        <v>719</v>
      </c>
      <c r="C61" s="100">
        <v>5</v>
      </c>
      <c r="D61" s="104">
        <v>0.00547176434954336</v>
      </c>
      <c r="E61" s="104">
        <v>1.353788044826781</v>
      </c>
      <c r="F61" s="100" t="s">
        <v>926</v>
      </c>
      <c r="G61" s="100" t="b">
        <v>0</v>
      </c>
      <c r="H61" s="100" t="b">
        <v>0</v>
      </c>
      <c r="I61" s="100" t="b">
        <v>0</v>
      </c>
      <c r="J61" s="100" t="b">
        <v>0</v>
      </c>
      <c r="K61" s="100" t="b">
        <v>0</v>
      </c>
      <c r="L61" s="100" t="b">
        <v>0</v>
      </c>
    </row>
    <row r="62" spans="1:12" ht="15">
      <c r="A62" s="102" t="s">
        <v>793</v>
      </c>
      <c r="B62" s="100" t="s">
        <v>794</v>
      </c>
      <c r="C62" s="100">
        <v>5</v>
      </c>
      <c r="D62" s="104">
        <v>0.00547176434954336</v>
      </c>
      <c r="E62" s="104">
        <v>2.432969290874406</v>
      </c>
      <c r="F62" s="100" t="s">
        <v>926</v>
      </c>
      <c r="G62" s="100" t="b">
        <v>0</v>
      </c>
      <c r="H62" s="100" t="b">
        <v>0</v>
      </c>
      <c r="I62" s="100" t="b">
        <v>0</v>
      </c>
      <c r="J62" s="100" t="b">
        <v>0</v>
      </c>
      <c r="K62" s="100" t="b">
        <v>0</v>
      </c>
      <c r="L62" s="100" t="b">
        <v>0</v>
      </c>
    </row>
    <row r="63" spans="1:12" ht="15">
      <c r="A63" s="102" t="s">
        <v>749</v>
      </c>
      <c r="B63" s="100" t="s">
        <v>749</v>
      </c>
      <c r="C63" s="100">
        <v>5</v>
      </c>
      <c r="D63" s="104">
        <v>0.006132815450903183</v>
      </c>
      <c r="E63" s="104">
        <v>1.8766667901071183</v>
      </c>
      <c r="F63" s="100" t="s">
        <v>926</v>
      </c>
      <c r="G63" s="100" t="b">
        <v>0</v>
      </c>
      <c r="H63" s="100" t="b">
        <v>0</v>
      </c>
      <c r="I63" s="100" t="b">
        <v>0</v>
      </c>
      <c r="J63" s="100" t="b">
        <v>0</v>
      </c>
      <c r="K63" s="100" t="b">
        <v>0</v>
      </c>
      <c r="L63" s="100" t="b">
        <v>0</v>
      </c>
    </row>
    <row r="64" spans="1:12" ht="15">
      <c r="A64" s="102" t="s">
        <v>797</v>
      </c>
      <c r="B64" s="100" t="s">
        <v>746</v>
      </c>
      <c r="C64" s="100">
        <v>5</v>
      </c>
      <c r="D64" s="104">
        <v>0.00547176434954336</v>
      </c>
      <c r="E64" s="104">
        <v>2.0527580491628</v>
      </c>
      <c r="F64" s="100" t="s">
        <v>926</v>
      </c>
      <c r="G64" s="100" t="b">
        <v>1</v>
      </c>
      <c r="H64" s="100" t="b">
        <v>0</v>
      </c>
      <c r="I64" s="100" t="b">
        <v>0</v>
      </c>
      <c r="J64" s="100" t="b">
        <v>0</v>
      </c>
      <c r="K64" s="100" t="b">
        <v>0</v>
      </c>
      <c r="L64" s="100" t="b">
        <v>0</v>
      </c>
    </row>
    <row r="65" spans="1:12" ht="15">
      <c r="A65" s="102" t="s">
        <v>798</v>
      </c>
      <c r="B65" s="100" t="s">
        <v>781</v>
      </c>
      <c r="C65" s="100">
        <v>5</v>
      </c>
      <c r="D65" s="104">
        <v>0.00547176434954336</v>
      </c>
      <c r="E65" s="104">
        <v>2.3537880448267807</v>
      </c>
      <c r="F65" s="100" t="s">
        <v>926</v>
      </c>
      <c r="G65" s="100" t="b">
        <v>0</v>
      </c>
      <c r="H65" s="100" t="b">
        <v>1</v>
      </c>
      <c r="I65" s="100" t="b">
        <v>0</v>
      </c>
      <c r="J65" s="100" t="b">
        <v>0</v>
      </c>
      <c r="K65" s="100" t="b">
        <v>0</v>
      </c>
      <c r="L65" s="100" t="b">
        <v>0</v>
      </c>
    </row>
    <row r="66" spans="1:12" ht="15">
      <c r="A66" s="102" t="s">
        <v>801</v>
      </c>
      <c r="B66" s="100" t="s">
        <v>802</v>
      </c>
      <c r="C66" s="100">
        <v>5</v>
      </c>
      <c r="D66" s="104">
        <v>0.00547176434954336</v>
      </c>
      <c r="E66" s="104">
        <v>2.432969290874406</v>
      </c>
      <c r="F66" s="100" t="s">
        <v>926</v>
      </c>
      <c r="G66" s="100" t="b">
        <v>0</v>
      </c>
      <c r="H66" s="100" t="b">
        <v>0</v>
      </c>
      <c r="I66" s="100" t="b">
        <v>0</v>
      </c>
      <c r="J66" s="100" t="b">
        <v>0</v>
      </c>
      <c r="K66" s="100" t="b">
        <v>0</v>
      </c>
      <c r="L66" s="100" t="b">
        <v>0</v>
      </c>
    </row>
    <row r="67" spans="1:12" ht="15">
      <c r="A67" s="102" t="s">
        <v>802</v>
      </c>
      <c r="B67" s="100" t="s">
        <v>803</v>
      </c>
      <c r="C67" s="100">
        <v>5</v>
      </c>
      <c r="D67" s="104">
        <v>0.00547176434954336</v>
      </c>
      <c r="E67" s="104">
        <v>2.432969290874406</v>
      </c>
      <c r="F67" s="100" t="s">
        <v>926</v>
      </c>
      <c r="G67" s="100" t="b">
        <v>0</v>
      </c>
      <c r="H67" s="100" t="b">
        <v>0</v>
      </c>
      <c r="I67" s="100" t="b">
        <v>0</v>
      </c>
      <c r="J67" s="100" t="b">
        <v>0</v>
      </c>
      <c r="K67" s="100" t="b">
        <v>0</v>
      </c>
      <c r="L67" s="100" t="b">
        <v>0</v>
      </c>
    </row>
    <row r="68" spans="1:12" ht="15">
      <c r="A68" s="102" t="s">
        <v>804</v>
      </c>
      <c r="B68" s="100" t="s">
        <v>719</v>
      </c>
      <c r="C68" s="100">
        <v>5</v>
      </c>
      <c r="D68" s="104">
        <v>0.005760530776861764</v>
      </c>
      <c r="E68" s="104">
        <v>1.7339992865383869</v>
      </c>
      <c r="F68" s="100" t="s">
        <v>926</v>
      </c>
      <c r="G68" s="100" t="b">
        <v>0</v>
      </c>
      <c r="H68" s="100" t="b">
        <v>0</v>
      </c>
      <c r="I68" s="100" t="b">
        <v>0</v>
      </c>
      <c r="J68" s="100" t="b">
        <v>0</v>
      </c>
      <c r="K68" s="100" t="b">
        <v>0</v>
      </c>
      <c r="L68" s="100" t="b">
        <v>0</v>
      </c>
    </row>
    <row r="69" spans="1:12" ht="15">
      <c r="A69" s="102" t="s">
        <v>718</v>
      </c>
      <c r="B69" s="100" t="s">
        <v>805</v>
      </c>
      <c r="C69" s="100">
        <v>5</v>
      </c>
      <c r="D69" s="104">
        <v>0.005760530776861764</v>
      </c>
      <c r="E69" s="104">
        <v>1.2568780318187245</v>
      </c>
      <c r="F69" s="100" t="s">
        <v>926</v>
      </c>
      <c r="G69" s="100" t="b">
        <v>0</v>
      </c>
      <c r="H69" s="100" t="b">
        <v>0</v>
      </c>
      <c r="I69" s="100" t="b">
        <v>0</v>
      </c>
      <c r="J69" s="100" t="b">
        <v>0</v>
      </c>
      <c r="K69" s="100" t="b">
        <v>0</v>
      </c>
      <c r="L69" s="100" t="b">
        <v>0</v>
      </c>
    </row>
    <row r="70" spans="1:12" ht="15">
      <c r="A70" s="102" t="s">
        <v>718</v>
      </c>
      <c r="B70" s="100" t="s">
        <v>806</v>
      </c>
      <c r="C70" s="100">
        <v>5</v>
      </c>
      <c r="D70" s="104">
        <v>0.00547176434954336</v>
      </c>
      <c r="E70" s="104">
        <v>1.2568780318187245</v>
      </c>
      <c r="F70" s="100" t="s">
        <v>926</v>
      </c>
      <c r="G70" s="100" t="b">
        <v>0</v>
      </c>
      <c r="H70" s="100" t="b">
        <v>0</v>
      </c>
      <c r="I70" s="100" t="b">
        <v>0</v>
      </c>
      <c r="J70" s="100" t="b">
        <v>0</v>
      </c>
      <c r="K70" s="100" t="b">
        <v>1</v>
      </c>
      <c r="L70" s="100" t="b">
        <v>0</v>
      </c>
    </row>
    <row r="71" spans="1:12" ht="15">
      <c r="A71" s="102" t="s">
        <v>806</v>
      </c>
      <c r="B71" s="100" t="s">
        <v>807</v>
      </c>
      <c r="C71" s="100">
        <v>5</v>
      </c>
      <c r="D71" s="104">
        <v>0.00547176434954336</v>
      </c>
      <c r="E71" s="104">
        <v>2.432969290874406</v>
      </c>
      <c r="F71" s="100" t="s">
        <v>926</v>
      </c>
      <c r="G71" s="100" t="b">
        <v>0</v>
      </c>
      <c r="H71" s="100" t="b">
        <v>1</v>
      </c>
      <c r="I71" s="100" t="b">
        <v>0</v>
      </c>
      <c r="J71" s="100" t="b">
        <v>0</v>
      </c>
      <c r="K71" s="100" t="b">
        <v>0</v>
      </c>
      <c r="L71" s="100" t="b">
        <v>0</v>
      </c>
    </row>
    <row r="72" spans="1:12" ht="15">
      <c r="A72" s="102" t="s">
        <v>807</v>
      </c>
      <c r="B72" s="100" t="s">
        <v>808</v>
      </c>
      <c r="C72" s="100">
        <v>5</v>
      </c>
      <c r="D72" s="104">
        <v>0.00547176434954336</v>
      </c>
      <c r="E72" s="104">
        <v>2.432969290874406</v>
      </c>
      <c r="F72" s="100" t="s">
        <v>926</v>
      </c>
      <c r="G72" s="100" t="b">
        <v>0</v>
      </c>
      <c r="H72" s="100" t="b">
        <v>0</v>
      </c>
      <c r="I72" s="100" t="b">
        <v>0</v>
      </c>
      <c r="J72" s="100" t="b">
        <v>0</v>
      </c>
      <c r="K72" s="100" t="b">
        <v>1</v>
      </c>
      <c r="L72" s="100" t="b">
        <v>0</v>
      </c>
    </row>
    <row r="73" spans="1:12" ht="15">
      <c r="A73" s="102" t="s">
        <v>809</v>
      </c>
      <c r="B73" s="100" t="s">
        <v>774</v>
      </c>
      <c r="C73" s="100">
        <v>5</v>
      </c>
      <c r="D73" s="104">
        <v>0.00547176434954336</v>
      </c>
      <c r="E73" s="104">
        <v>2.2868412551961677</v>
      </c>
      <c r="F73" s="100" t="s">
        <v>926</v>
      </c>
      <c r="G73" s="100" t="b">
        <v>0</v>
      </c>
      <c r="H73" s="100" t="b">
        <v>0</v>
      </c>
      <c r="I73" s="100" t="b">
        <v>0</v>
      </c>
      <c r="J73" s="100" t="b">
        <v>0</v>
      </c>
      <c r="K73" s="100" t="b">
        <v>0</v>
      </c>
      <c r="L73" s="100" t="b">
        <v>0</v>
      </c>
    </row>
    <row r="74" spans="1:12" ht="15">
      <c r="A74" s="102" t="s">
        <v>774</v>
      </c>
      <c r="B74" s="100" t="s">
        <v>810</v>
      </c>
      <c r="C74" s="100">
        <v>5</v>
      </c>
      <c r="D74" s="104">
        <v>0.00547176434954336</v>
      </c>
      <c r="E74" s="104">
        <v>2.3537880448267807</v>
      </c>
      <c r="F74" s="100" t="s">
        <v>926</v>
      </c>
      <c r="G74" s="100" t="b">
        <v>0</v>
      </c>
      <c r="H74" s="100" t="b">
        <v>0</v>
      </c>
      <c r="I74" s="100" t="b">
        <v>0</v>
      </c>
      <c r="J74" s="100" t="b">
        <v>0</v>
      </c>
      <c r="K74" s="100" t="b">
        <v>0</v>
      </c>
      <c r="L74" s="100" t="b">
        <v>0</v>
      </c>
    </row>
    <row r="75" spans="1:12" ht="15">
      <c r="A75" s="102" t="s">
        <v>810</v>
      </c>
      <c r="B75" s="100" t="s">
        <v>811</v>
      </c>
      <c r="C75" s="100">
        <v>5</v>
      </c>
      <c r="D75" s="104">
        <v>0.00547176434954336</v>
      </c>
      <c r="E75" s="104">
        <v>2.432969290874406</v>
      </c>
      <c r="F75" s="100" t="s">
        <v>926</v>
      </c>
      <c r="G75" s="100" t="b">
        <v>0</v>
      </c>
      <c r="H75" s="100" t="b">
        <v>0</v>
      </c>
      <c r="I75" s="100" t="b">
        <v>0</v>
      </c>
      <c r="J75" s="100" t="b">
        <v>0</v>
      </c>
      <c r="K75" s="100" t="b">
        <v>0</v>
      </c>
      <c r="L75" s="100" t="b">
        <v>0</v>
      </c>
    </row>
    <row r="76" spans="1:12" ht="15">
      <c r="A76" s="102" t="s">
        <v>812</v>
      </c>
      <c r="B76" s="100" t="s">
        <v>723</v>
      </c>
      <c r="C76" s="100">
        <v>5</v>
      </c>
      <c r="D76" s="104">
        <v>0.00547176434954336</v>
      </c>
      <c r="E76" s="104">
        <v>1.6004603781681694</v>
      </c>
      <c r="F76" s="100" t="s">
        <v>926</v>
      </c>
      <c r="G76" s="100" t="b">
        <v>0</v>
      </c>
      <c r="H76" s="100" t="b">
        <v>0</v>
      </c>
      <c r="I76" s="100" t="b">
        <v>0</v>
      </c>
      <c r="J76" s="100" t="b">
        <v>0</v>
      </c>
      <c r="K76" s="100" t="b">
        <v>0</v>
      </c>
      <c r="L76" s="100" t="b">
        <v>0</v>
      </c>
    </row>
    <row r="77" spans="1:12" ht="15">
      <c r="A77" s="102" t="s">
        <v>720</v>
      </c>
      <c r="B77" s="100" t="s">
        <v>813</v>
      </c>
      <c r="C77" s="100">
        <v>5</v>
      </c>
      <c r="D77" s="104">
        <v>0.00547176434954336</v>
      </c>
      <c r="E77" s="104">
        <v>1.5521556985936145</v>
      </c>
      <c r="F77" s="100" t="s">
        <v>926</v>
      </c>
      <c r="G77" s="100" t="b">
        <v>1</v>
      </c>
      <c r="H77" s="100" t="b">
        <v>0</v>
      </c>
      <c r="I77" s="100" t="b">
        <v>0</v>
      </c>
      <c r="J77" s="100" t="b">
        <v>1</v>
      </c>
      <c r="K77" s="100" t="b">
        <v>0</v>
      </c>
      <c r="L77" s="100" t="b">
        <v>0</v>
      </c>
    </row>
    <row r="78" spans="1:12" ht="15">
      <c r="A78" s="102" t="s">
        <v>813</v>
      </c>
      <c r="B78" s="100" t="s">
        <v>814</v>
      </c>
      <c r="C78" s="100">
        <v>5</v>
      </c>
      <c r="D78" s="104">
        <v>0.00547176434954336</v>
      </c>
      <c r="E78" s="104">
        <v>2.432969290874406</v>
      </c>
      <c r="F78" s="100" t="s">
        <v>926</v>
      </c>
      <c r="G78" s="100" t="b">
        <v>1</v>
      </c>
      <c r="H78" s="100" t="b">
        <v>0</v>
      </c>
      <c r="I78" s="100" t="b">
        <v>0</v>
      </c>
      <c r="J78" s="100" t="b">
        <v>0</v>
      </c>
      <c r="K78" s="100" t="b">
        <v>0</v>
      </c>
      <c r="L78" s="100" t="b">
        <v>0</v>
      </c>
    </row>
    <row r="79" spans="1:12" ht="15">
      <c r="A79" s="102" t="s">
        <v>722</v>
      </c>
      <c r="B79" s="100" t="s">
        <v>815</v>
      </c>
      <c r="C79" s="100">
        <v>4</v>
      </c>
      <c r="D79" s="104">
        <v>0.004906252360722546</v>
      </c>
      <c r="E79" s="104">
        <v>1.6004603781681694</v>
      </c>
      <c r="F79" s="100" t="s">
        <v>926</v>
      </c>
      <c r="G79" s="100" t="b">
        <v>0</v>
      </c>
      <c r="H79" s="100" t="b">
        <v>0</v>
      </c>
      <c r="I79" s="100" t="b">
        <v>0</v>
      </c>
      <c r="J79" s="100" t="b">
        <v>0</v>
      </c>
      <c r="K79" s="100" t="b">
        <v>0</v>
      </c>
      <c r="L79" s="100" t="b">
        <v>0</v>
      </c>
    </row>
    <row r="80" spans="1:12" ht="15">
      <c r="A80" s="102" t="s">
        <v>815</v>
      </c>
      <c r="B80" s="100" t="s">
        <v>725</v>
      </c>
      <c r="C80" s="100">
        <v>4</v>
      </c>
      <c r="D80" s="104">
        <v>0.004906252360722546</v>
      </c>
      <c r="E80" s="104">
        <v>1.6695412973114685</v>
      </c>
      <c r="F80" s="100" t="s">
        <v>926</v>
      </c>
      <c r="G80" s="100" t="b">
        <v>0</v>
      </c>
      <c r="H80" s="100" t="b">
        <v>0</v>
      </c>
      <c r="I80" s="100" t="b">
        <v>0</v>
      </c>
      <c r="J80" s="100" t="b">
        <v>0</v>
      </c>
      <c r="K80" s="100" t="b">
        <v>0</v>
      </c>
      <c r="L80" s="100" t="b">
        <v>0</v>
      </c>
    </row>
    <row r="81" spans="1:12" ht="15">
      <c r="A81" s="102" t="s">
        <v>718</v>
      </c>
      <c r="B81" s="100" t="s">
        <v>816</v>
      </c>
      <c r="C81" s="100">
        <v>4</v>
      </c>
      <c r="D81" s="104">
        <v>0.004608424621489411</v>
      </c>
      <c r="E81" s="104">
        <v>1.2568780318187245</v>
      </c>
      <c r="F81" s="100" t="s">
        <v>926</v>
      </c>
      <c r="G81" s="100" t="b">
        <v>0</v>
      </c>
      <c r="H81" s="100" t="b">
        <v>0</v>
      </c>
      <c r="I81" s="100" t="b">
        <v>0</v>
      </c>
      <c r="J81" s="100" t="b">
        <v>0</v>
      </c>
      <c r="K81" s="100" t="b">
        <v>0</v>
      </c>
      <c r="L81" s="100" t="b">
        <v>0</v>
      </c>
    </row>
    <row r="82" spans="1:12" ht="15">
      <c r="A82" s="102" t="s">
        <v>722</v>
      </c>
      <c r="B82" s="100" t="s">
        <v>748</v>
      </c>
      <c r="C82" s="100">
        <v>4</v>
      </c>
      <c r="D82" s="104">
        <v>0.004608424621489411</v>
      </c>
      <c r="E82" s="104">
        <v>1.1611276843379068</v>
      </c>
      <c r="F82" s="100" t="s">
        <v>926</v>
      </c>
      <c r="G82" s="100" t="b">
        <v>0</v>
      </c>
      <c r="H82" s="100" t="b">
        <v>0</v>
      </c>
      <c r="I82" s="100" t="b">
        <v>0</v>
      </c>
      <c r="J82" s="100" t="b">
        <v>0</v>
      </c>
      <c r="K82" s="100" t="b">
        <v>0</v>
      </c>
      <c r="L82" s="100" t="b">
        <v>0</v>
      </c>
    </row>
    <row r="83" spans="1:12" ht="15">
      <c r="A83" s="102" t="s">
        <v>748</v>
      </c>
      <c r="B83" s="100" t="s">
        <v>725</v>
      </c>
      <c r="C83" s="100">
        <v>4</v>
      </c>
      <c r="D83" s="104">
        <v>0.004608424621489411</v>
      </c>
      <c r="E83" s="104">
        <v>1.3173587792001058</v>
      </c>
      <c r="F83" s="100" t="s">
        <v>926</v>
      </c>
      <c r="G83" s="100" t="b">
        <v>0</v>
      </c>
      <c r="H83" s="100" t="b">
        <v>0</v>
      </c>
      <c r="I83" s="100" t="b">
        <v>0</v>
      </c>
      <c r="J83" s="100" t="b">
        <v>0</v>
      </c>
      <c r="K83" s="100" t="b">
        <v>0</v>
      </c>
      <c r="L83" s="100" t="b">
        <v>0</v>
      </c>
    </row>
    <row r="84" spans="1:12" ht="15">
      <c r="A84" s="102" t="s">
        <v>779</v>
      </c>
      <c r="B84" s="100" t="s">
        <v>777</v>
      </c>
      <c r="C84" s="100">
        <v>4</v>
      </c>
      <c r="D84" s="104">
        <v>0.0053260169830245275</v>
      </c>
      <c r="E84" s="104">
        <v>2.1776967857711</v>
      </c>
      <c r="F84" s="100" t="s">
        <v>926</v>
      </c>
      <c r="G84" s="100" t="b">
        <v>0</v>
      </c>
      <c r="H84" s="100" t="b">
        <v>0</v>
      </c>
      <c r="I84" s="100" t="b">
        <v>0</v>
      </c>
      <c r="J84" s="100" t="b">
        <v>0</v>
      </c>
      <c r="K84" s="100" t="b">
        <v>0</v>
      </c>
      <c r="L84" s="100" t="b">
        <v>0</v>
      </c>
    </row>
    <row r="85" spans="1:12" ht="15">
      <c r="A85" s="102" t="s">
        <v>782</v>
      </c>
      <c r="B85" s="100" t="s">
        <v>782</v>
      </c>
      <c r="C85" s="100">
        <v>4</v>
      </c>
      <c r="D85" s="104">
        <v>0.0053260169830245275</v>
      </c>
      <c r="E85" s="104">
        <v>2.1776967857711</v>
      </c>
      <c r="F85" s="100" t="s">
        <v>926</v>
      </c>
      <c r="G85" s="100" t="b">
        <v>0</v>
      </c>
      <c r="H85" s="100" t="b">
        <v>0</v>
      </c>
      <c r="I85" s="100" t="b">
        <v>0</v>
      </c>
      <c r="J85" s="100" t="b">
        <v>0</v>
      </c>
      <c r="K85" s="100" t="b">
        <v>0</v>
      </c>
      <c r="L85" s="100" t="b">
        <v>0</v>
      </c>
    </row>
    <row r="86" spans="1:12" ht="15">
      <c r="A86" s="102" t="s">
        <v>720</v>
      </c>
      <c r="B86" s="100" t="s">
        <v>800</v>
      </c>
      <c r="C86" s="100">
        <v>4</v>
      </c>
      <c r="D86" s="104">
        <v>0.004608424621489411</v>
      </c>
      <c r="E86" s="104">
        <v>1.455245685585558</v>
      </c>
      <c r="F86" s="100" t="s">
        <v>926</v>
      </c>
      <c r="G86" s="100" t="b">
        <v>1</v>
      </c>
      <c r="H86" s="100" t="b">
        <v>0</v>
      </c>
      <c r="I86" s="100" t="b">
        <v>0</v>
      </c>
      <c r="J86" s="100" t="b">
        <v>0</v>
      </c>
      <c r="K86" s="100" t="b">
        <v>0</v>
      </c>
      <c r="L86" s="100" t="b">
        <v>0</v>
      </c>
    </row>
    <row r="87" spans="1:12" ht="15">
      <c r="A87" s="102" t="s">
        <v>721</v>
      </c>
      <c r="B87" s="100" t="s">
        <v>820</v>
      </c>
      <c r="C87" s="100">
        <v>4</v>
      </c>
      <c r="D87" s="104">
        <v>0.004608424621489411</v>
      </c>
      <c r="E87" s="104">
        <v>1.587871250860149</v>
      </c>
      <c r="F87" s="100" t="s">
        <v>926</v>
      </c>
      <c r="G87" s="100" t="b">
        <v>0</v>
      </c>
      <c r="H87" s="100" t="b">
        <v>0</v>
      </c>
      <c r="I87" s="100" t="b">
        <v>0</v>
      </c>
      <c r="J87" s="100" t="b">
        <v>1</v>
      </c>
      <c r="K87" s="100" t="b">
        <v>0</v>
      </c>
      <c r="L87" s="100" t="b">
        <v>0</v>
      </c>
    </row>
    <row r="88" spans="1:12" ht="15">
      <c r="A88" s="102" t="s">
        <v>722</v>
      </c>
      <c r="B88" s="100" t="s">
        <v>795</v>
      </c>
      <c r="C88" s="100">
        <v>4</v>
      </c>
      <c r="D88" s="104">
        <v>0.004906252360722546</v>
      </c>
      <c r="E88" s="104">
        <v>1.503550365160113</v>
      </c>
      <c r="F88" s="100" t="s">
        <v>926</v>
      </c>
      <c r="G88" s="100" t="b">
        <v>0</v>
      </c>
      <c r="H88" s="100" t="b">
        <v>0</v>
      </c>
      <c r="I88" s="100" t="b">
        <v>0</v>
      </c>
      <c r="J88" s="100" t="b">
        <v>0</v>
      </c>
      <c r="K88" s="100" t="b">
        <v>0</v>
      </c>
      <c r="L88" s="100" t="b">
        <v>0</v>
      </c>
    </row>
    <row r="89" spans="1:12" ht="15">
      <c r="A89" s="102" t="s">
        <v>795</v>
      </c>
      <c r="B89" s="100" t="s">
        <v>725</v>
      </c>
      <c r="C89" s="100">
        <v>4</v>
      </c>
      <c r="D89" s="104">
        <v>0.004906252360722546</v>
      </c>
      <c r="E89" s="104">
        <v>1.6695412973114685</v>
      </c>
      <c r="F89" s="100" t="s">
        <v>926</v>
      </c>
      <c r="G89" s="100" t="b">
        <v>0</v>
      </c>
      <c r="H89" s="100" t="b">
        <v>0</v>
      </c>
      <c r="I89" s="100" t="b">
        <v>0</v>
      </c>
      <c r="J89" s="100" t="b">
        <v>0</v>
      </c>
      <c r="K89" s="100" t="b">
        <v>0</v>
      </c>
      <c r="L89" s="100" t="b">
        <v>0</v>
      </c>
    </row>
    <row r="90" spans="1:12" ht="15">
      <c r="A90" s="102" t="s">
        <v>720</v>
      </c>
      <c r="B90" s="100" t="s">
        <v>821</v>
      </c>
      <c r="C90" s="100">
        <v>4</v>
      </c>
      <c r="D90" s="104">
        <v>0.004608424621489411</v>
      </c>
      <c r="E90" s="104">
        <v>1.5521556985936145</v>
      </c>
      <c r="F90" s="100" t="s">
        <v>926</v>
      </c>
      <c r="G90" s="100" t="b">
        <v>1</v>
      </c>
      <c r="H90" s="100" t="b">
        <v>0</v>
      </c>
      <c r="I90" s="100" t="b">
        <v>0</v>
      </c>
      <c r="J90" s="100" t="b">
        <v>0</v>
      </c>
      <c r="K90" s="100" t="b">
        <v>0</v>
      </c>
      <c r="L90" s="100" t="b">
        <v>0</v>
      </c>
    </row>
    <row r="91" spans="1:12" ht="15">
      <c r="A91" s="102" t="s">
        <v>822</v>
      </c>
      <c r="B91" s="100" t="s">
        <v>823</v>
      </c>
      <c r="C91" s="100">
        <v>4</v>
      </c>
      <c r="D91" s="104">
        <v>0.004608424621489411</v>
      </c>
      <c r="E91" s="104">
        <v>2.529879303882462</v>
      </c>
      <c r="F91" s="100" t="s">
        <v>926</v>
      </c>
      <c r="G91" s="100" t="b">
        <v>0</v>
      </c>
      <c r="H91" s="100" t="b">
        <v>0</v>
      </c>
      <c r="I91" s="100" t="b">
        <v>0</v>
      </c>
      <c r="J91" s="100" t="b">
        <v>0</v>
      </c>
      <c r="K91" s="100" t="b">
        <v>0</v>
      </c>
      <c r="L91" s="100" t="b">
        <v>0</v>
      </c>
    </row>
    <row r="92" spans="1:12" ht="15">
      <c r="A92" s="102" t="s">
        <v>823</v>
      </c>
      <c r="B92" s="100" t="s">
        <v>824</v>
      </c>
      <c r="C92" s="100">
        <v>4</v>
      </c>
      <c r="D92" s="104">
        <v>0.004608424621489411</v>
      </c>
      <c r="E92" s="104">
        <v>2.529879303882462</v>
      </c>
      <c r="F92" s="100" t="s">
        <v>926</v>
      </c>
      <c r="G92" s="100" t="b">
        <v>0</v>
      </c>
      <c r="H92" s="100" t="b">
        <v>0</v>
      </c>
      <c r="I92" s="100" t="b">
        <v>0</v>
      </c>
      <c r="J92" s="100" t="b">
        <v>0</v>
      </c>
      <c r="K92" s="100" t="b">
        <v>1</v>
      </c>
      <c r="L92" s="100" t="b">
        <v>0</v>
      </c>
    </row>
    <row r="93" spans="1:12" ht="15">
      <c r="A93" s="102" t="s">
        <v>824</v>
      </c>
      <c r="B93" s="100" t="s">
        <v>825</v>
      </c>
      <c r="C93" s="100">
        <v>4</v>
      </c>
      <c r="D93" s="104">
        <v>0.004608424621489411</v>
      </c>
      <c r="E93" s="104">
        <v>2.529879303882462</v>
      </c>
      <c r="F93" s="100" t="s">
        <v>926</v>
      </c>
      <c r="G93" s="100" t="b">
        <v>0</v>
      </c>
      <c r="H93" s="100" t="b">
        <v>1</v>
      </c>
      <c r="I93" s="100" t="b">
        <v>0</v>
      </c>
      <c r="J93" s="100" t="b">
        <v>0</v>
      </c>
      <c r="K93" s="100" t="b">
        <v>0</v>
      </c>
      <c r="L93" s="100" t="b">
        <v>0</v>
      </c>
    </row>
    <row r="94" spans="1:12" ht="15">
      <c r="A94" s="102" t="s">
        <v>741</v>
      </c>
      <c r="B94" s="100" t="s">
        <v>826</v>
      </c>
      <c r="C94" s="100">
        <v>3</v>
      </c>
      <c r="D94" s="104">
        <v>0.0036796892705419095</v>
      </c>
      <c r="E94" s="104">
        <v>2.529879303882462</v>
      </c>
      <c r="F94" s="100" t="s">
        <v>926</v>
      </c>
      <c r="G94" s="100" t="b">
        <v>0</v>
      </c>
      <c r="H94" s="100" t="b">
        <v>0</v>
      </c>
      <c r="I94" s="100" t="b">
        <v>0</v>
      </c>
      <c r="J94" s="100" t="b">
        <v>0</v>
      </c>
      <c r="K94" s="100" t="b">
        <v>0</v>
      </c>
      <c r="L94" s="100" t="b">
        <v>0</v>
      </c>
    </row>
    <row r="95" spans="1:12" ht="15">
      <c r="A95" s="102" t="s">
        <v>759</v>
      </c>
      <c r="B95" s="100" t="s">
        <v>828</v>
      </c>
      <c r="C95" s="100">
        <v>3</v>
      </c>
      <c r="D95" s="104">
        <v>0.004532707008419732</v>
      </c>
      <c r="E95" s="104">
        <v>2.1776967857711</v>
      </c>
      <c r="F95" s="100" t="s">
        <v>926</v>
      </c>
      <c r="G95" s="100" t="b">
        <v>0</v>
      </c>
      <c r="H95" s="100" t="b">
        <v>0</v>
      </c>
      <c r="I95" s="100" t="b">
        <v>0</v>
      </c>
      <c r="J95" s="100" t="b">
        <v>0</v>
      </c>
      <c r="K95" s="100" t="b">
        <v>0</v>
      </c>
      <c r="L95" s="100" t="b">
        <v>0</v>
      </c>
    </row>
    <row r="96" spans="1:12" ht="15">
      <c r="A96" s="102" t="s">
        <v>828</v>
      </c>
      <c r="B96" s="100" t="s">
        <v>829</v>
      </c>
      <c r="C96" s="100">
        <v>3</v>
      </c>
      <c r="D96" s="104">
        <v>0.004532707008419732</v>
      </c>
      <c r="E96" s="104">
        <v>2.654818040490762</v>
      </c>
      <c r="F96" s="100" t="s">
        <v>926</v>
      </c>
      <c r="G96" s="100" t="b">
        <v>0</v>
      </c>
      <c r="H96" s="100" t="b">
        <v>0</v>
      </c>
      <c r="I96" s="100" t="b">
        <v>0</v>
      </c>
      <c r="J96" s="100" t="b">
        <v>0</v>
      </c>
      <c r="K96" s="100" t="b">
        <v>0</v>
      </c>
      <c r="L96" s="100" t="b">
        <v>0</v>
      </c>
    </row>
    <row r="97" spans="1:12" ht="15">
      <c r="A97" s="102" t="s">
        <v>829</v>
      </c>
      <c r="B97" s="100" t="s">
        <v>748</v>
      </c>
      <c r="C97" s="100">
        <v>3</v>
      </c>
      <c r="D97" s="104">
        <v>0.004532707008419732</v>
      </c>
      <c r="E97" s="104">
        <v>2.0905466100521997</v>
      </c>
      <c r="F97" s="100" t="s">
        <v>926</v>
      </c>
      <c r="G97" s="100" t="b">
        <v>0</v>
      </c>
      <c r="H97" s="100" t="b">
        <v>0</v>
      </c>
      <c r="I97" s="100" t="b">
        <v>0</v>
      </c>
      <c r="J97" s="100" t="b">
        <v>0</v>
      </c>
      <c r="K97" s="100" t="b">
        <v>0</v>
      </c>
      <c r="L97" s="100" t="b">
        <v>0</v>
      </c>
    </row>
    <row r="98" spans="1:12" ht="15">
      <c r="A98" s="102" t="s">
        <v>830</v>
      </c>
      <c r="B98" s="100" t="s">
        <v>831</v>
      </c>
      <c r="C98" s="100">
        <v>3</v>
      </c>
      <c r="D98" s="104">
        <v>0.004532707008419732</v>
      </c>
      <c r="E98" s="104">
        <v>2.654818040490762</v>
      </c>
      <c r="F98" s="100" t="s">
        <v>926</v>
      </c>
      <c r="G98" s="100" t="b">
        <v>0</v>
      </c>
      <c r="H98" s="100" t="b">
        <v>0</v>
      </c>
      <c r="I98" s="100" t="b">
        <v>0</v>
      </c>
      <c r="J98" s="100" t="b">
        <v>0</v>
      </c>
      <c r="K98" s="100" t="b">
        <v>0</v>
      </c>
      <c r="L98" s="100" t="b">
        <v>0</v>
      </c>
    </row>
    <row r="99" spans="1:12" ht="15">
      <c r="A99" s="102" t="s">
        <v>831</v>
      </c>
      <c r="B99" s="100" t="s">
        <v>832</v>
      </c>
      <c r="C99" s="100">
        <v>3</v>
      </c>
      <c r="D99" s="104">
        <v>0.004532707008419732</v>
      </c>
      <c r="E99" s="104">
        <v>2.654818040490762</v>
      </c>
      <c r="F99" s="100" t="s">
        <v>926</v>
      </c>
      <c r="G99" s="100" t="b">
        <v>0</v>
      </c>
      <c r="H99" s="100" t="b">
        <v>0</v>
      </c>
      <c r="I99" s="100" t="b">
        <v>0</v>
      </c>
      <c r="J99" s="100" t="b">
        <v>0</v>
      </c>
      <c r="K99" s="100" t="b">
        <v>0</v>
      </c>
      <c r="L99" s="100" t="b">
        <v>0</v>
      </c>
    </row>
    <row r="100" spans="1:12" ht="15">
      <c r="A100" s="102" t="s">
        <v>832</v>
      </c>
      <c r="B100" s="100" t="s">
        <v>833</v>
      </c>
      <c r="C100" s="100">
        <v>3</v>
      </c>
      <c r="D100" s="104">
        <v>0.004532707008419732</v>
      </c>
      <c r="E100" s="104">
        <v>2.654818040490762</v>
      </c>
      <c r="F100" s="100" t="s">
        <v>926</v>
      </c>
      <c r="G100" s="100" t="b">
        <v>0</v>
      </c>
      <c r="H100" s="100" t="b">
        <v>0</v>
      </c>
      <c r="I100" s="100" t="b">
        <v>0</v>
      </c>
      <c r="J100" s="100" t="b">
        <v>0</v>
      </c>
      <c r="K100" s="100" t="b">
        <v>0</v>
      </c>
      <c r="L100" s="100" t="b">
        <v>0</v>
      </c>
    </row>
    <row r="101" spans="1:12" ht="15">
      <c r="A101" s="102" t="s">
        <v>833</v>
      </c>
      <c r="B101" s="100" t="s">
        <v>834</v>
      </c>
      <c r="C101" s="100">
        <v>3</v>
      </c>
      <c r="D101" s="104">
        <v>0.004532707008419732</v>
      </c>
      <c r="E101" s="104">
        <v>2.654818040490762</v>
      </c>
      <c r="F101" s="100" t="s">
        <v>926</v>
      </c>
      <c r="G101" s="100" t="b">
        <v>0</v>
      </c>
      <c r="H101" s="100" t="b">
        <v>0</v>
      </c>
      <c r="I101" s="100" t="b">
        <v>0</v>
      </c>
      <c r="J101" s="100" t="b">
        <v>0</v>
      </c>
      <c r="K101" s="100" t="b">
        <v>0</v>
      </c>
      <c r="L101" s="100" t="b">
        <v>0</v>
      </c>
    </row>
    <row r="102" spans="1:12" ht="15">
      <c r="A102" s="102" t="s">
        <v>834</v>
      </c>
      <c r="B102" s="100" t="s">
        <v>835</v>
      </c>
      <c r="C102" s="100">
        <v>3</v>
      </c>
      <c r="D102" s="104">
        <v>0.004532707008419732</v>
      </c>
      <c r="E102" s="104">
        <v>2.654818040490762</v>
      </c>
      <c r="F102" s="100" t="s">
        <v>926</v>
      </c>
      <c r="G102" s="100" t="b">
        <v>0</v>
      </c>
      <c r="H102" s="100" t="b">
        <v>0</v>
      </c>
      <c r="I102" s="100" t="b">
        <v>0</v>
      </c>
      <c r="J102" s="100" t="b">
        <v>0</v>
      </c>
      <c r="K102" s="100" t="b">
        <v>0</v>
      </c>
      <c r="L102" s="100" t="b">
        <v>0</v>
      </c>
    </row>
    <row r="103" spans="1:12" ht="15">
      <c r="A103" s="102" t="s">
        <v>767</v>
      </c>
      <c r="B103" s="100" t="s">
        <v>745</v>
      </c>
      <c r="C103" s="100">
        <v>3</v>
      </c>
      <c r="D103" s="104">
        <v>0.0036796892705419095</v>
      </c>
      <c r="E103" s="104">
        <v>1.9858112595321864</v>
      </c>
      <c r="F103" s="100" t="s">
        <v>926</v>
      </c>
      <c r="G103" s="100" t="b">
        <v>0</v>
      </c>
      <c r="H103" s="100" t="b">
        <v>0</v>
      </c>
      <c r="I103" s="100" t="b">
        <v>0</v>
      </c>
      <c r="J103" s="100" t="b">
        <v>0</v>
      </c>
      <c r="K103" s="100" t="b">
        <v>0</v>
      </c>
      <c r="L103" s="100" t="b">
        <v>0</v>
      </c>
    </row>
    <row r="104" spans="1:12" ht="15">
      <c r="A104" s="102" t="s">
        <v>839</v>
      </c>
      <c r="B104" s="100" t="s">
        <v>840</v>
      </c>
      <c r="C104" s="100">
        <v>3</v>
      </c>
      <c r="D104" s="104">
        <v>0.004532707008419732</v>
      </c>
      <c r="E104" s="104">
        <v>2.654818040490762</v>
      </c>
      <c r="F104" s="100" t="s">
        <v>926</v>
      </c>
      <c r="G104" s="100" t="b">
        <v>0</v>
      </c>
      <c r="H104" s="100" t="b">
        <v>0</v>
      </c>
      <c r="I104" s="100" t="b">
        <v>0</v>
      </c>
      <c r="J104" s="100" t="b">
        <v>0</v>
      </c>
      <c r="K104" s="100" t="b">
        <v>0</v>
      </c>
      <c r="L104" s="100" t="b">
        <v>0</v>
      </c>
    </row>
    <row r="105" spans="1:12" ht="15">
      <c r="A105" s="102" t="s">
        <v>842</v>
      </c>
      <c r="B105" s="100" t="s">
        <v>721</v>
      </c>
      <c r="C105" s="100">
        <v>3</v>
      </c>
      <c r="D105" s="104">
        <v>0.0036796892705419095</v>
      </c>
      <c r="E105" s="104">
        <v>2.2868412551961677</v>
      </c>
      <c r="F105" s="100" t="s">
        <v>926</v>
      </c>
      <c r="G105" s="100" t="b">
        <v>0</v>
      </c>
      <c r="H105" s="100" t="b">
        <v>0</v>
      </c>
      <c r="I105" s="100" t="b">
        <v>0</v>
      </c>
      <c r="J105" s="100" t="b">
        <v>0</v>
      </c>
      <c r="K105" s="100" t="b">
        <v>0</v>
      </c>
      <c r="L105" s="100" t="b">
        <v>0</v>
      </c>
    </row>
    <row r="106" spans="1:12" ht="15">
      <c r="A106" s="102" t="s">
        <v>723</v>
      </c>
      <c r="B106" s="100" t="s">
        <v>798</v>
      </c>
      <c r="C106" s="100">
        <v>3</v>
      </c>
      <c r="D106" s="104">
        <v>0.0036796892705419095</v>
      </c>
      <c r="E106" s="104">
        <v>1.8608725229238865</v>
      </c>
      <c r="F106" s="100" t="s">
        <v>926</v>
      </c>
      <c r="G106" s="100" t="b">
        <v>0</v>
      </c>
      <c r="H106" s="100" t="b">
        <v>0</v>
      </c>
      <c r="I106" s="100" t="b">
        <v>0</v>
      </c>
      <c r="J106" s="100" t="b">
        <v>0</v>
      </c>
      <c r="K106" s="100" t="b">
        <v>1</v>
      </c>
      <c r="L106" s="100" t="b">
        <v>0</v>
      </c>
    </row>
    <row r="107" spans="1:12" ht="15">
      <c r="A107" s="102" t="s">
        <v>843</v>
      </c>
      <c r="B107" s="100" t="s">
        <v>844</v>
      </c>
      <c r="C107" s="100">
        <v>3</v>
      </c>
      <c r="D107" s="104">
        <v>0.0036796892705419095</v>
      </c>
      <c r="E107" s="104">
        <v>2.654818040490762</v>
      </c>
      <c r="F107" s="100" t="s">
        <v>926</v>
      </c>
      <c r="G107" s="100" t="b">
        <v>0</v>
      </c>
      <c r="H107" s="100" t="b">
        <v>0</v>
      </c>
      <c r="I107" s="100" t="b">
        <v>0</v>
      </c>
      <c r="J107" s="100" t="b">
        <v>0</v>
      </c>
      <c r="K107" s="100" t="b">
        <v>0</v>
      </c>
      <c r="L107" s="100" t="b">
        <v>0</v>
      </c>
    </row>
    <row r="108" spans="1:12" ht="15">
      <c r="A108" s="102" t="s">
        <v>847</v>
      </c>
      <c r="B108" s="100" t="s">
        <v>748</v>
      </c>
      <c r="C108" s="100">
        <v>3</v>
      </c>
      <c r="D108" s="104">
        <v>0.0036796892705419095</v>
      </c>
      <c r="E108" s="104">
        <v>2.0905466100521997</v>
      </c>
      <c r="F108" s="100" t="s">
        <v>926</v>
      </c>
      <c r="G108" s="100" t="b">
        <v>0</v>
      </c>
      <c r="H108" s="100" t="b">
        <v>0</v>
      </c>
      <c r="I108" s="100" t="b">
        <v>0</v>
      </c>
      <c r="J108" s="100" t="b">
        <v>0</v>
      </c>
      <c r="K108" s="100" t="b">
        <v>0</v>
      </c>
      <c r="L108" s="100" t="b">
        <v>0</v>
      </c>
    </row>
    <row r="109" spans="1:12" ht="15">
      <c r="A109" s="102" t="s">
        <v>848</v>
      </c>
      <c r="B109" s="100" t="s">
        <v>849</v>
      </c>
      <c r="C109" s="100">
        <v>3</v>
      </c>
      <c r="D109" s="104">
        <v>0.004532707008419732</v>
      </c>
      <c r="E109" s="104">
        <v>2.654818040490762</v>
      </c>
      <c r="F109" s="100" t="s">
        <v>926</v>
      </c>
      <c r="G109" s="100" t="b">
        <v>0</v>
      </c>
      <c r="H109" s="100" t="b">
        <v>0</v>
      </c>
      <c r="I109" s="100" t="b">
        <v>0</v>
      </c>
      <c r="J109" s="100" t="b">
        <v>0</v>
      </c>
      <c r="K109" s="100" t="b">
        <v>0</v>
      </c>
      <c r="L109" s="100" t="b">
        <v>0</v>
      </c>
    </row>
    <row r="110" spans="1:12" ht="15">
      <c r="A110" s="102" t="s">
        <v>849</v>
      </c>
      <c r="B110" s="100" t="s">
        <v>850</v>
      </c>
      <c r="C110" s="100">
        <v>3</v>
      </c>
      <c r="D110" s="104">
        <v>0.004532707008419732</v>
      </c>
      <c r="E110" s="104">
        <v>2.654818040490762</v>
      </c>
      <c r="F110" s="100" t="s">
        <v>926</v>
      </c>
      <c r="G110" s="100" t="b">
        <v>0</v>
      </c>
      <c r="H110" s="100" t="b">
        <v>0</v>
      </c>
      <c r="I110" s="100" t="b">
        <v>0</v>
      </c>
      <c r="J110" s="100" t="b">
        <v>0</v>
      </c>
      <c r="K110" s="100" t="b">
        <v>0</v>
      </c>
      <c r="L110" s="100" t="b">
        <v>0</v>
      </c>
    </row>
    <row r="111" spans="1:12" ht="15">
      <c r="A111" s="102" t="s">
        <v>850</v>
      </c>
      <c r="B111" s="100" t="s">
        <v>851</v>
      </c>
      <c r="C111" s="100">
        <v>3</v>
      </c>
      <c r="D111" s="104">
        <v>0.004532707008419732</v>
      </c>
      <c r="E111" s="104">
        <v>2.654818040490762</v>
      </c>
      <c r="F111" s="100" t="s">
        <v>926</v>
      </c>
      <c r="G111" s="100" t="b">
        <v>0</v>
      </c>
      <c r="H111" s="100" t="b">
        <v>0</v>
      </c>
      <c r="I111" s="100" t="b">
        <v>0</v>
      </c>
      <c r="J111" s="100" t="b">
        <v>0</v>
      </c>
      <c r="K111" s="100" t="b">
        <v>0</v>
      </c>
      <c r="L111" s="100" t="b">
        <v>0</v>
      </c>
    </row>
    <row r="112" spans="1:12" ht="15">
      <c r="A112" s="102" t="s">
        <v>851</v>
      </c>
      <c r="B112" s="100" t="s">
        <v>852</v>
      </c>
      <c r="C112" s="100">
        <v>3</v>
      </c>
      <c r="D112" s="104">
        <v>0.004532707008419732</v>
      </c>
      <c r="E112" s="104">
        <v>2.654818040490762</v>
      </c>
      <c r="F112" s="100" t="s">
        <v>926</v>
      </c>
      <c r="G112" s="100" t="b">
        <v>0</v>
      </c>
      <c r="H112" s="100" t="b">
        <v>0</v>
      </c>
      <c r="I112" s="100" t="b">
        <v>0</v>
      </c>
      <c r="J112" s="100" t="b">
        <v>0</v>
      </c>
      <c r="K112" s="100" t="b">
        <v>0</v>
      </c>
      <c r="L112" s="100" t="b">
        <v>0</v>
      </c>
    </row>
    <row r="113" spans="1:12" ht="15">
      <c r="A113" s="102" t="s">
        <v>852</v>
      </c>
      <c r="B113" s="100" t="s">
        <v>853</v>
      </c>
      <c r="C113" s="100">
        <v>3</v>
      </c>
      <c r="D113" s="104">
        <v>0.004532707008419732</v>
      </c>
      <c r="E113" s="104">
        <v>2.654818040490762</v>
      </c>
      <c r="F113" s="100" t="s">
        <v>926</v>
      </c>
      <c r="G113" s="100" t="b">
        <v>0</v>
      </c>
      <c r="H113" s="100" t="b">
        <v>0</v>
      </c>
      <c r="I113" s="100" t="b">
        <v>0</v>
      </c>
      <c r="J113" s="100" t="b">
        <v>0</v>
      </c>
      <c r="K113" s="100" t="b">
        <v>0</v>
      </c>
      <c r="L113" s="100" t="b">
        <v>0</v>
      </c>
    </row>
    <row r="114" spans="1:12" ht="15">
      <c r="A114" s="102" t="s">
        <v>853</v>
      </c>
      <c r="B114" s="100" t="s">
        <v>854</v>
      </c>
      <c r="C114" s="100">
        <v>3</v>
      </c>
      <c r="D114" s="104">
        <v>0.004532707008419732</v>
      </c>
      <c r="E114" s="104">
        <v>2.654818040490762</v>
      </c>
      <c r="F114" s="100" t="s">
        <v>926</v>
      </c>
      <c r="G114" s="100" t="b">
        <v>0</v>
      </c>
      <c r="H114" s="100" t="b">
        <v>0</v>
      </c>
      <c r="I114" s="100" t="b">
        <v>0</v>
      </c>
      <c r="J114" s="100" t="b">
        <v>0</v>
      </c>
      <c r="K114" s="100" t="b">
        <v>0</v>
      </c>
      <c r="L114" s="100" t="b">
        <v>0</v>
      </c>
    </row>
    <row r="115" spans="1:12" ht="15">
      <c r="A115" s="102" t="s">
        <v>854</v>
      </c>
      <c r="B115" s="100" t="s">
        <v>855</v>
      </c>
      <c r="C115" s="100">
        <v>3</v>
      </c>
      <c r="D115" s="104">
        <v>0.004532707008419732</v>
      </c>
      <c r="E115" s="104">
        <v>2.654818040490762</v>
      </c>
      <c r="F115" s="100" t="s">
        <v>926</v>
      </c>
      <c r="G115" s="100" t="b">
        <v>0</v>
      </c>
      <c r="H115" s="100" t="b">
        <v>0</v>
      </c>
      <c r="I115" s="100" t="b">
        <v>0</v>
      </c>
      <c r="J115" s="100" t="b">
        <v>0</v>
      </c>
      <c r="K115" s="100" t="b">
        <v>0</v>
      </c>
      <c r="L115" s="100" t="b">
        <v>0</v>
      </c>
    </row>
    <row r="116" spans="1:12" ht="15">
      <c r="A116" s="102" t="s">
        <v>724</v>
      </c>
      <c r="B116" s="100" t="s">
        <v>764</v>
      </c>
      <c r="C116" s="100">
        <v>3</v>
      </c>
      <c r="D116" s="104">
        <v>0.0036796892705419095</v>
      </c>
      <c r="E116" s="104">
        <v>1.1776967857710996</v>
      </c>
      <c r="F116" s="100" t="s">
        <v>926</v>
      </c>
      <c r="G116" s="100" t="b">
        <v>0</v>
      </c>
      <c r="H116" s="100" t="b">
        <v>0</v>
      </c>
      <c r="I116" s="100" t="b">
        <v>0</v>
      </c>
      <c r="J116" s="100" t="b">
        <v>0</v>
      </c>
      <c r="K116" s="100" t="b">
        <v>0</v>
      </c>
      <c r="L116" s="100" t="b">
        <v>0</v>
      </c>
    </row>
    <row r="117" spans="1:12" ht="15">
      <c r="A117" s="102" t="s">
        <v>856</v>
      </c>
      <c r="B117" s="100" t="s">
        <v>742</v>
      </c>
      <c r="C117" s="100">
        <v>3</v>
      </c>
      <c r="D117" s="104">
        <v>0.0036796892705419095</v>
      </c>
      <c r="E117" s="104">
        <v>1.9558480361547432</v>
      </c>
      <c r="F117" s="100" t="s">
        <v>926</v>
      </c>
      <c r="G117" s="100" t="b">
        <v>0</v>
      </c>
      <c r="H117" s="100" t="b">
        <v>0</v>
      </c>
      <c r="I117" s="100" t="b">
        <v>0</v>
      </c>
      <c r="J117" s="100" t="b">
        <v>0</v>
      </c>
      <c r="K117" s="100" t="b">
        <v>0</v>
      </c>
      <c r="L117" s="100" t="b">
        <v>0</v>
      </c>
    </row>
    <row r="118" spans="1:12" ht="15">
      <c r="A118" s="102" t="s">
        <v>718</v>
      </c>
      <c r="B118" s="100" t="s">
        <v>858</v>
      </c>
      <c r="C118" s="100">
        <v>3</v>
      </c>
      <c r="D118" s="104">
        <v>0.0036796892705419095</v>
      </c>
      <c r="E118" s="104">
        <v>1.2568780318187245</v>
      </c>
      <c r="F118" s="100" t="s">
        <v>926</v>
      </c>
      <c r="G118" s="100" t="b">
        <v>0</v>
      </c>
      <c r="H118" s="100" t="b">
        <v>0</v>
      </c>
      <c r="I118" s="100" t="b">
        <v>0</v>
      </c>
      <c r="J118" s="100" t="b">
        <v>0</v>
      </c>
      <c r="K118" s="100" t="b">
        <v>0</v>
      </c>
      <c r="L118" s="100" t="b">
        <v>0</v>
      </c>
    </row>
    <row r="119" spans="1:12" ht="15">
      <c r="A119" s="102" t="s">
        <v>862</v>
      </c>
      <c r="B119" s="100" t="s">
        <v>863</v>
      </c>
      <c r="C119" s="100">
        <v>3</v>
      </c>
      <c r="D119" s="104">
        <v>0.004532707008419732</v>
      </c>
      <c r="E119" s="104">
        <v>2.654818040490762</v>
      </c>
      <c r="F119" s="100" t="s">
        <v>926</v>
      </c>
      <c r="G119" s="100" t="b">
        <v>0</v>
      </c>
      <c r="H119" s="100" t="b">
        <v>0</v>
      </c>
      <c r="I119" s="100" t="b">
        <v>0</v>
      </c>
      <c r="J119" s="100" t="b">
        <v>0</v>
      </c>
      <c r="K119" s="100" t="b">
        <v>0</v>
      </c>
      <c r="L119" s="100" t="b">
        <v>0</v>
      </c>
    </row>
    <row r="120" spans="1:12" ht="15">
      <c r="A120" s="102" t="s">
        <v>863</v>
      </c>
      <c r="B120" s="100" t="s">
        <v>864</v>
      </c>
      <c r="C120" s="100">
        <v>3</v>
      </c>
      <c r="D120" s="104">
        <v>0.004532707008419732</v>
      </c>
      <c r="E120" s="104">
        <v>2.654818040490762</v>
      </c>
      <c r="F120" s="100" t="s">
        <v>926</v>
      </c>
      <c r="G120" s="100" t="b">
        <v>0</v>
      </c>
      <c r="H120" s="100" t="b">
        <v>0</v>
      </c>
      <c r="I120" s="100" t="b">
        <v>0</v>
      </c>
      <c r="J120" s="100" t="b">
        <v>0</v>
      </c>
      <c r="K120" s="100" t="b">
        <v>0</v>
      </c>
      <c r="L120" s="100" t="b">
        <v>0</v>
      </c>
    </row>
    <row r="121" spans="1:12" ht="15">
      <c r="A121" s="102" t="s">
        <v>864</v>
      </c>
      <c r="B121" s="100" t="s">
        <v>865</v>
      </c>
      <c r="C121" s="100">
        <v>3</v>
      </c>
      <c r="D121" s="104">
        <v>0.004532707008419732</v>
      </c>
      <c r="E121" s="104">
        <v>2.654818040490762</v>
      </c>
      <c r="F121" s="100" t="s">
        <v>926</v>
      </c>
      <c r="G121" s="100" t="b">
        <v>0</v>
      </c>
      <c r="H121" s="100" t="b">
        <v>0</v>
      </c>
      <c r="I121" s="100" t="b">
        <v>0</v>
      </c>
      <c r="J121" s="100" t="b">
        <v>0</v>
      </c>
      <c r="K121" s="100" t="b">
        <v>0</v>
      </c>
      <c r="L121" s="100" t="b">
        <v>0</v>
      </c>
    </row>
    <row r="122" spans="1:12" ht="15">
      <c r="A122" s="102" t="s">
        <v>866</v>
      </c>
      <c r="B122" s="100" t="s">
        <v>867</v>
      </c>
      <c r="C122" s="100">
        <v>3</v>
      </c>
      <c r="D122" s="104">
        <v>0.004532707008419732</v>
      </c>
      <c r="E122" s="104">
        <v>2.654818040490762</v>
      </c>
      <c r="F122" s="100" t="s">
        <v>926</v>
      </c>
      <c r="G122" s="100" t="b">
        <v>0</v>
      </c>
      <c r="H122" s="100" t="b">
        <v>0</v>
      </c>
      <c r="I122" s="100" t="b">
        <v>0</v>
      </c>
      <c r="J122" s="100" t="b">
        <v>0</v>
      </c>
      <c r="K122" s="100" t="b">
        <v>0</v>
      </c>
      <c r="L122" s="100" t="b">
        <v>0</v>
      </c>
    </row>
    <row r="123" spans="1:12" ht="15">
      <c r="A123" s="102" t="s">
        <v>867</v>
      </c>
      <c r="B123" s="100" t="s">
        <v>868</v>
      </c>
      <c r="C123" s="100">
        <v>3</v>
      </c>
      <c r="D123" s="104">
        <v>0.004532707008419732</v>
      </c>
      <c r="E123" s="104">
        <v>2.654818040490762</v>
      </c>
      <c r="F123" s="100" t="s">
        <v>926</v>
      </c>
      <c r="G123" s="100" t="b">
        <v>0</v>
      </c>
      <c r="H123" s="100" t="b">
        <v>0</v>
      </c>
      <c r="I123" s="100" t="b">
        <v>0</v>
      </c>
      <c r="J123" s="100" t="b">
        <v>0</v>
      </c>
      <c r="K123" s="100" t="b">
        <v>0</v>
      </c>
      <c r="L123" s="100" t="b">
        <v>0</v>
      </c>
    </row>
    <row r="124" spans="1:12" ht="15">
      <c r="A124" s="102" t="s">
        <v>868</v>
      </c>
      <c r="B124" s="100" t="s">
        <v>869</v>
      </c>
      <c r="C124" s="100">
        <v>3</v>
      </c>
      <c r="D124" s="104">
        <v>0.004532707008419732</v>
      </c>
      <c r="E124" s="104">
        <v>2.654818040490762</v>
      </c>
      <c r="F124" s="100" t="s">
        <v>926</v>
      </c>
      <c r="G124" s="100" t="b">
        <v>0</v>
      </c>
      <c r="H124" s="100" t="b">
        <v>0</v>
      </c>
      <c r="I124" s="100" t="b">
        <v>0</v>
      </c>
      <c r="J124" s="100" t="b">
        <v>0</v>
      </c>
      <c r="K124" s="100" t="b">
        <v>0</v>
      </c>
      <c r="L124" s="100" t="b">
        <v>0</v>
      </c>
    </row>
    <row r="125" spans="1:12" ht="15">
      <c r="A125" s="102" t="s">
        <v>872</v>
      </c>
      <c r="B125" s="100" t="s">
        <v>873</v>
      </c>
      <c r="C125" s="100">
        <v>2</v>
      </c>
      <c r="D125" s="104">
        <v>0.0030218046722798216</v>
      </c>
      <c r="E125" s="104">
        <v>2.8309092995464433</v>
      </c>
      <c r="F125" s="100" t="s">
        <v>926</v>
      </c>
      <c r="G125" s="100" t="b">
        <v>0</v>
      </c>
      <c r="H125" s="100" t="b">
        <v>0</v>
      </c>
      <c r="I125" s="100" t="b">
        <v>0</v>
      </c>
      <c r="J125" s="100" t="b">
        <v>0</v>
      </c>
      <c r="K125" s="100" t="b">
        <v>0</v>
      </c>
      <c r="L125" s="100" t="b">
        <v>0</v>
      </c>
    </row>
    <row r="126" spans="1:12" ht="15">
      <c r="A126" s="102" t="s">
        <v>873</v>
      </c>
      <c r="B126" s="100" t="s">
        <v>874</v>
      </c>
      <c r="C126" s="100">
        <v>2</v>
      </c>
      <c r="D126" s="104">
        <v>0.0030218046722798216</v>
      </c>
      <c r="E126" s="104">
        <v>2.8309092995464433</v>
      </c>
      <c r="F126" s="100" t="s">
        <v>926</v>
      </c>
      <c r="G126" s="100" t="b">
        <v>0</v>
      </c>
      <c r="H126" s="100" t="b">
        <v>0</v>
      </c>
      <c r="I126" s="100" t="b">
        <v>0</v>
      </c>
      <c r="J126" s="100" t="b">
        <v>0</v>
      </c>
      <c r="K126" s="100" t="b">
        <v>0</v>
      </c>
      <c r="L126" s="100" t="b">
        <v>0</v>
      </c>
    </row>
    <row r="127" spans="1:12" ht="15">
      <c r="A127" s="102" t="s">
        <v>874</v>
      </c>
      <c r="B127" s="100" t="s">
        <v>875</v>
      </c>
      <c r="C127" s="100">
        <v>2</v>
      </c>
      <c r="D127" s="104">
        <v>0.0030218046722798216</v>
      </c>
      <c r="E127" s="104">
        <v>2.8309092995464433</v>
      </c>
      <c r="F127" s="100" t="s">
        <v>926</v>
      </c>
      <c r="G127" s="100" t="b">
        <v>0</v>
      </c>
      <c r="H127" s="100" t="b">
        <v>0</v>
      </c>
      <c r="I127" s="100" t="b">
        <v>0</v>
      </c>
      <c r="J127" s="100" t="b">
        <v>0</v>
      </c>
      <c r="K127" s="100" t="b">
        <v>0</v>
      </c>
      <c r="L127" s="100" t="b">
        <v>0</v>
      </c>
    </row>
    <row r="128" spans="1:12" ht="15">
      <c r="A128" s="102" t="s">
        <v>748</v>
      </c>
      <c r="B128" s="100" t="s">
        <v>759</v>
      </c>
      <c r="C128" s="100">
        <v>2</v>
      </c>
      <c r="D128" s="104">
        <v>0.0030218046722798216</v>
      </c>
      <c r="E128" s="104">
        <v>1.524484271995756</v>
      </c>
      <c r="F128" s="100" t="s">
        <v>926</v>
      </c>
      <c r="G128" s="100" t="b">
        <v>0</v>
      </c>
      <c r="H128" s="100" t="b">
        <v>0</v>
      </c>
      <c r="I128" s="100" t="b">
        <v>0</v>
      </c>
      <c r="J128" s="100" t="b">
        <v>0</v>
      </c>
      <c r="K128" s="100" t="b">
        <v>0</v>
      </c>
      <c r="L128" s="100" t="b">
        <v>0</v>
      </c>
    </row>
    <row r="129" spans="1:12" ht="15">
      <c r="A129" s="102" t="s">
        <v>835</v>
      </c>
      <c r="B129" s="100" t="s">
        <v>830</v>
      </c>
      <c r="C129" s="100">
        <v>2</v>
      </c>
      <c r="D129" s="104">
        <v>0.0030218046722798216</v>
      </c>
      <c r="E129" s="104">
        <v>2.4787267814350806</v>
      </c>
      <c r="F129" s="100" t="s">
        <v>926</v>
      </c>
      <c r="G129" s="100" t="b">
        <v>0</v>
      </c>
      <c r="H129" s="100" t="b">
        <v>0</v>
      </c>
      <c r="I129" s="100" t="b">
        <v>0</v>
      </c>
      <c r="J129" s="100" t="b">
        <v>0</v>
      </c>
      <c r="K129" s="100" t="b">
        <v>0</v>
      </c>
      <c r="L129" s="100" t="b">
        <v>0</v>
      </c>
    </row>
    <row r="130" spans="1:12" ht="15">
      <c r="A130" s="102" t="s">
        <v>722</v>
      </c>
      <c r="B130" s="100" t="s">
        <v>877</v>
      </c>
      <c r="C130" s="100">
        <v>2</v>
      </c>
      <c r="D130" s="104">
        <v>0.0026630084915122637</v>
      </c>
      <c r="E130" s="104">
        <v>1.6004603781681694</v>
      </c>
      <c r="F130" s="100" t="s">
        <v>926</v>
      </c>
      <c r="G130" s="100" t="b">
        <v>0</v>
      </c>
      <c r="H130" s="100" t="b">
        <v>0</v>
      </c>
      <c r="I130" s="100" t="b">
        <v>0</v>
      </c>
      <c r="J130" s="100" t="b">
        <v>0</v>
      </c>
      <c r="K130" s="100" t="b">
        <v>0</v>
      </c>
      <c r="L130" s="100" t="b">
        <v>0</v>
      </c>
    </row>
    <row r="131" spans="1:12" ht="15">
      <c r="A131" s="102" t="s">
        <v>877</v>
      </c>
      <c r="B131" s="100" t="s">
        <v>725</v>
      </c>
      <c r="C131" s="100">
        <v>2</v>
      </c>
      <c r="D131" s="104">
        <v>0.0026630084915122637</v>
      </c>
      <c r="E131" s="104">
        <v>1.6695412973114685</v>
      </c>
      <c r="F131" s="100" t="s">
        <v>926</v>
      </c>
      <c r="G131" s="100" t="b">
        <v>0</v>
      </c>
      <c r="H131" s="100" t="b">
        <v>0</v>
      </c>
      <c r="I131" s="100" t="b">
        <v>0</v>
      </c>
      <c r="J131" s="100" t="b">
        <v>0</v>
      </c>
      <c r="K131" s="100" t="b">
        <v>0</v>
      </c>
      <c r="L131" s="100" t="b">
        <v>0</v>
      </c>
    </row>
    <row r="132" spans="1:12" ht="15">
      <c r="A132" s="102" t="s">
        <v>879</v>
      </c>
      <c r="B132" s="100" t="s">
        <v>880</v>
      </c>
      <c r="C132" s="100">
        <v>2</v>
      </c>
      <c r="D132" s="104">
        <v>0.0030218046722798216</v>
      </c>
      <c r="E132" s="104">
        <v>2.8309092995464433</v>
      </c>
      <c r="F132" s="100" t="s">
        <v>926</v>
      </c>
      <c r="G132" s="100" t="b">
        <v>0</v>
      </c>
      <c r="H132" s="100" t="b">
        <v>0</v>
      </c>
      <c r="I132" s="100" t="b">
        <v>0</v>
      </c>
      <c r="J132" s="100" t="b">
        <v>0</v>
      </c>
      <c r="K132" s="100" t="b">
        <v>0</v>
      </c>
      <c r="L132" s="100" t="b">
        <v>0</v>
      </c>
    </row>
    <row r="133" spans="1:12" ht="15">
      <c r="A133" s="102" t="s">
        <v>880</v>
      </c>
      <c r="B133" s="100" t="s">
        <v>881</v>
      </c>
      <c r="C133" s="100">
        <v>2</v>
      </c>
      <c r="D133" s="104">
        <v>0.0030218046722798216</v>
      </c>
      <c r="E133" s="104">
        <v>2.8309092995464433</v>
      </c>
      <c r="F133" s="100" t="s">
        <v>926</v>
      </c>
      <c r="G133" s="100" t="b">
        <v>0</v>
      </c>
      <c r="H133" s="100" t="b">
        <v>0</v>
      </c>
      <c r="I133" s="100" t="b">
        <v>0</v>
      </c>
      <c r="J133" s="100" t="b">
        <v>0</v>
      </c>
      <c r="K133" s="100" t="b">
        <v>0</v>
      </c>
      <c r="L133" s="100" t="b">
        <v>0</v>
      </c>
    </row>
    <row r="134" spans="1:12" ht="15">
      <c r="A134" s="102" t="s">
        <v>881</v>
      </c>
      <c r="B134" s="100" t="s">
        <v>882</v>
      </c>
      <c r="C134" s="100">
        <v>2</v>
      </c>
      <c r="D134" s="104">
        <v>0.0030218046722798216</v>
      </c>
      <c r="E134" s="104">
        <v>2.8309092995464433</v>
      </c>
      <c r="F134" s="100" t="s">
        <v>926</v>
      </c>
      <c r="G134" s="100" t="b">
        <v>0</v>
      </c>
      <c r="H134" s="100" t="b">
        <v>0</v>
      </c>
      <c r="I134" s="100" t="b">
        <v>0</v>
      </c>
      <c r="J134" s="100" t="b">
        <v>0</v>
      </c>
      <c r="K134" s="100" t="b">
        <v>0</v>
      </c>
      <c r="L134" s="100" t="b">
        <v>0</v>
      </c>
    </row>
    <row r="135" spans="1:12" ht="15">
      <c r="A135" s="102" t="s">
        <v>796</v>
      </c>
      <c r="B135" s="100" t="s">
        <v>884</v>
      </c>
      <c r="C135" s="100">
        <v>2</v>
      </c>
      <c r="D135" s="104">
        <v>0.0026630084915122637</v>
      </c>
      <c r="E135" s="104">
        <v>2.432969290874406</v>
      </c>
      <c r="F135" s="100" t="s">
        <v>926</v>
      </c>
      <c r="G135" s="100" t="b">
        <v>0</v>
      </c>
      <c r="H135" s="100" t="b">
        <v>0</v>
      </c>
      <c r="I135" s="100" t="b">
        <v>0</v>
      </c>
      <c r="J135" s="100" t="b">
        <v>0</v>
      </c>
      <c r="K135" s="100" t="b">
        <v>1</v>
      </c>
      <c r="L135" s="100" t="b">
        <v>0</v>
      </c>
    </row>
    <row r="136" spans="1:12" ht="15">
      <c r="A136" s="102" t="s">
        <v>884</v>
      </c>
      <c r="B136" s="100" t="s">
        <v>837</v>
      </c>
      <c r="C136" s="100">
        <v>2</v>
      </c>
      <c r="D136" s="104">
        <v>0.0026630084915122637</v>
      </c>
      <c r="E136" s="104">
        <v>2.8309092995464433</v>
      </c>
      <c r="F136" s="100" t="s">
        <v>926</v>
      </c>
      <c r="G136" s="100" t="b">
        <v>0</v>
      </c>
      <c r="H136" s="100" t="b">
        <v>1</v>
      </c>
      <c r="I136" s="100" t="b">
        <v>0</v>
      </c>
      <c r="J136" s="100" t="b">
        <v>0</v>
      </c>
      <c r="K136" s="100" t="b">
        <v>0</v>
      </c>
      <c r="L136" s="100" t="b">
        <v>0</v>
      </c>
    </row>
    <row r="137" spans="1:12" ht="15">
      <c r="A137" s="102" t="s">
        <v>837</v>
      </c>
      <c r="B137" s="100" t="s">
        <v>885</v>
      </c>
      <c r="C137" s="100">
        <v>2</v>
      </c>
      <c r="D137" s="104">
        <v>0.0026630084915122637</v>
      </c>
      <c r="E137" s="104">
        <v>2.654818040490762</v>
      </c>
      <c r="F137" s="100" t="s">
        <v>926</v>
      </c>
      <c r="G137" s="100" t="b">
        <v>0</v>
      </c>
      <c r="H137" s="100" t="b">
        <v>0</v>
      </c>
      <c r="I137" s="100" t="b">
        <v>0</v>
      </c>
      <c r="J137" s="100" t="b">
        <v>0</v>
      </c>
      <c r="K137" s="100" t="b">
        <v>0</v>
      </c>
      <c r="L137" s="100" t="b">
        <v>0</v>
      </c>
    </row>
    <row r="138" spans="1:12" ht="15">
      <c r="A138" s="102" t="s">
        <v>838</v>
      </c>
      <c r="B138" s="100" t="s">
        <v>838</v>
      </c>
      <c r="C138" s="100">
        <v>2</v>
      </c>
      <c r="D138" s="104">
        <v>0.0030218046722798216</v>
      </c>
      <c r="E138" s="104">
        <v>2.4787267814350806</v>
      </c>
      <c r="F138" s="100" t="s">
        <v>926</v>
      </c>
      <c r="G138" s="100" t="b">
        <v>0</v>
      </c>
      <c r="H138" s="100" t="b">
        <v>0</v>
      </c>
      <c r="I138" s="100" t="b">
        <v>0</v>
      </c>
      <c r="J138" s="100" t="b">
        <v>0</v>
      </c>
      <c r="K138" s="100" t="b">
        <v>0</v>
      </c>
      <c r="L138" s="100" t="b">
        <v>0</v>
      </c>
    </row>
    <row r="139" spans="1:12" ht="15">
      <c r="A139" s="102" t="s">
        <v>840</v>
      </c>
      <c r="B139" s="100" t="s">
        <v>839</v>
      </c>
      <c r="C139" s="100">
        <v>2</v>
      </c>
      <c r="D139" s="104">
        <v>0.0030218046722798216</v>
      </c>
      <c r="E139" s="104">
        <v>2.4787267814350806</v>
      </c>
      <c r="F139" s="100" t="s">
        <v>926</v>
      </c>
      <c r="G139" s="100" t="b">
        <v>0</v>
      </c>
      <c r="H139" s="100" t="b">
        <v>0</v>
      </c>
      <c r="I139" s="100" t="b">
        <v>0</v>
      </c>
      <c r="J139" s="100" t="b">
        <v>0</v>
      </c>
      <c r="K139" s="100" t="b">
        <v>0</v>
      </c>
      <c r="L139" s="100" t="b">
        <v>0</v>
      </c>
    </row>
    <row r="140" spans="1:12" ht="15">
      <c r="A140" s="102" t="s">
        <v>722</v>
      </c>
      <c r="B140" s="100" t="s">
        <v>887</v>
      </c>
      <c r="C140" s="100">
        <v>2</v>
      </c>
      <c r="D140" s="104">
        <v>0.0026630084915122637</v>
      </c>
      <c r="E140" s="104">
        <v>1.6004603781681694</v>
      </c>
      <c r="F140" s="100" t="s">
        <v>926</v>
      </c>
      <c r="G140" s="100" t="b">
        <v>0</v>
      </c>
      <c r="H140" s="100" t="b">
        <v>0</v>
      </c>
      <c r="I140" s="100" t="b">
        <v>0</v>
      </c>
      <c r="J140" s="100" t="b">
        <v>0</v>
      </c>
      <c r="K140" s="100" t="b">
        <v>0</v>
      </c>
      <c r="L140" s="100" t="b">
        <v>0</v>
      </c>
    </row>
    <row r="141" spans="1:12" ht="15">
      <c r="A141" s="102" t="s">
        <v>887</v>
      </c>
      <c r="B141" s="100" t="s">
        <v>725</v>
      </c>
      <c r="C141" s="100">
        <v>2</v>
      </c>
      <c r="D141" s="104">
        <v>0.0026630084915122637</v>
      </c>
      <c r="E141" s="104">
        <v>1.6695412973114685</v>
      </c>
      <c r="F141" s="100" t="s">
        <v>926</v>
      </c>
      <c r="G141" s="100" t="b">
        <v>0</v>
      </c>
      <c r="H141" s="100" t="b">
        <v>0</v>
      </c>
      <c r="I141" s="100" t="b">
        <v>0</v>
      </c>
      <c r="J141" s="100" t="b">
        <v>0</v>
      </c>
      <c r="K141" s="100" t="b">
        <v>0</v>
      </c>
      <c r="L141" s="100" t="b">
        <v>0</v>
      </c>
    </row>
    <row r="142" spans="1:12" ht="15">
      <c r="A142" s="102" t="s">
        <v>749</v>
      </c>
      <c r="B142" s="100" t="s">
        <v>742</v>
      </c>
      <c r="C142" s="100">
        <v>2</v>
      </c>
      <c r="D142" s="104">
        <v>0.0026630084915122637</v>
      </c>
      <c r="E142" s="104">
        <v>1.2568780318187245</v>
      </c>
      <c r="F142" s="100" t="s">
        <v>926</v>
      </c>
      <c r="G142" s="100" t="b">
        <v>0</v>
      </c>
      <c r="H142" s="100" t="b">
        <v>0</v>
      </c>
      <c r="I142" s="100" t="b">
        <v>0</v>
      </c>
      <c r="J142" s="100" t="b">
        <v>0</v>
      </c>
      <c r="K142" s="100" t="b">
        <v>0</v>
      </c>
      <c r="L142" s="100" t="b">
        <v>0</v>
      </c>
    </row>
    <row r="143" spans="1:12" ht="15">
      <c r="A143" s="102" t="s">
        <v>724</v>
      </c>
      <c r="B143" s="100" t="s">
        <v>782</v>
      </c>
      <c r="C143" s="100">
        <v>2</v>
      </c>
      <c r="D143" s="104">
        <v>0.0026630084915122637</v>
      </c>
      <c r="E143" s="104">
        <v>1.1776967857710996</v>
      </c>
      <c r="F143" s="100" t="s">
        <v>926</v>
      </c>
      <c r="G143" s="100" t="b">
        <v>0</v>
      </c>
      <c r="H143" s="100" t="b">
        <v>0</v>
      </c>
      <c r="I143" s="100" t="b">
        <v>0</v>
      </c>
      <c r="J143" s="100" t="b">
        <v>0</v>
      </c>
      <c r="K143" s="100" t="b">
        <v>0</v>
      </c>
      <c r="L143" s="100" t="b">
        <v>0</v>
      </c>
    </row>
    <row r="144" spans="1:12" ht="15">
      <c r="A144" s="102" t="s">
        <v>845</v>
      </c>
      <c r="B144" s="100" t="s">
        <v>845</v>
      </c>
      <c r="C144" s="100">
        <v>2</v>
      </c>
      <c r="D144" s="104">
        <v>0.0030218046722798216</v>
      </c>
      <c r="E144" s="104">
        <v>2.4787267814350806</v>
      </c>
      <c r="F144" s="100" t="s">
        <v>926</v>
      </c>
      <c r="G144" s="100" t="b">
        <v>0</v>
      </c>
      <c r="H144" s="100" t="b">
        <v>0</v>
      </c>
      <c r="I144" s="100" t="b">
        <v>0</v>
      </c>
      <c r="J144" s="100" t="b">
        <v>0</v>
      </c>
      <c r="K144" s="100" t="b">
        <v>0</v>
      </c>
      <c r="L144" s="100" t="b">
        <v>0</v>
      </c>
    </row>
    <row r="145" spans="1:12" ht="15">
      <c r="A145" s="102" t="s">
        <v>895</v>
      </c>
      <c r="B145" s="100" t="s">
        <v>896</v>
      </c>
      <c r="C145" s="100">
        <v>2</v>
      </c>
      <c r="D145" s="104">
        <v>0.0030218046722798216</v>
      </c>
      <c r="E145" s="104">
        <v>2.8309092995464433</v>
      </c>
      <c r="F145" s="100" t="s">
        <v>926</v>
      </c>
      <c r="G145" s="100" t="b">
        <v>0</v>
      </c>
      <c r="H145" s="100" t="b">
        <v>0</v>
      </c>
      <c r="I145" s="100" t="b">
        <v>0</v>
      </c>
      <c r="J145" s="100" t="b">
        <v>0</v>
      </c>
      <c r="K145" s="100" t="b">
        <v>0</v>
      </c>
      <c r="L145" s="100" t="b">
        <v>0</v>
      </c>
    </row>
    <row r="146" spans="1:12" ht="15">
      <c r="A146" s="102" t="s">
        <v>896</v>
      </c>
      <c r="B146" s="100" t="s">
        <v>897</v>
      </c>
      <c r="C146" s="100">
        <v>2</v>
      </c>
      <c r="D146" s="104">
        <v>0.0030218046722798216</v>
      </c>
      <c r="E146" s="104">
        <v>2.8309092995464433</v>
      </c>
      <c r="F146" s="100" t="s">
        <v>926</v>
      </c>
      <c r="G146" s="100" t="b">
        <v>0</v>
      </c>
      <c r="H146" s="100" t="b">
        <v>0</v>
      </c>
      <c r="I146" s="100" t="b">
        <v>0</v>
      </c>
      <c r="J146" s="100" t="b">
        <v>0</v>
      </c>
      <c r="K146" s="100" t="b">
        <v>0</v>
      </c>
      <c r="L146" s="100" t="b">
        <v>0</v>
      </c>
    </row>
    <row r="147" spans="1:12" ht="15">
      <c r="A147" s="102" t="s">
        <v>855</v>
      </c>
      <c r="B147" s="100" t="s">
        <v>848</v>
      </c>
      <c r="C147" s="100">
        <v>2</v>
      </c>
      <c r="D147" s="104">
        <v>0.0030218046722798216</v>
      </c>
      <c r="E147" s="104">
        <v>2.4787267814350806</v>
      </c>
      <c r="F147" s="100" t="s">
        <v>926</v>
      </c>
      <c r="G147" s="100" t="b">
        <v>0</v>
      </c>
      <c r="H147" s="100" t="b">
        <v>0</v>
      </c>
      <c r="I147" s="100" t="b">
        <v>0</v>
      </c>
      <c r="J147" s="100" t="b">
        <v>0</v>
      </c>
      <c r="K147" s="100" t="b">
        <v>0</v>
      </c>
      <c r="L147" s="100" t="b">
        <v>0</v>
      </c>
    </row>
    <row r="148" spans="1:12" ht="15">
      <c r="A148" s="102" t="s">
        <v>901</v>
      </c>
      <c r="B148" s="100" t="s">
        <v>819</v>
      </c>
      <c r="C148" s="100">
        <v>2</v>
      </c>
      <c r="D148" s="104">
        <v>0.0026630084915122637</v>
      </c>
      <c r="E148" s="104">
        <v>2.529879303882462</v>
      </c>
      <c r="F148" s="100" t="s">
        <v>926</v>
      </c>
      <c r="G148" s="100" t="b">
        <v>0</v>
      </c>
      <c r="H148" s="100" t="b">
        <v>0</v>
      </c>
      <c r="I148" s="100" t="b">
        <v>0</v>
      </c>
      <c r="J148" s="100" t="b">
        <v>0</v>
      </c>
      <c r="K148" s="100" t="b">
        <v>0</v>
      </c>
      <c r="L148" s="100" t="b">
        <v>0</v>
      </c>
    </row>
    <row r="149" spans="1:12" ht="15">
      <c r="A149" s="102" t="s">
        <v>819</v>
      </c>
      <c r="B149" s="100" t="s">
        <v>846</v>
      </c>
      <c r="C149" s="100">
        <v>2</v>
      </c>
      <c r="D149" s="104">
        <v>0.0026630084915122637</v>
      </c>
      <c r="E149" s="104">
        <v>2.4787267814350806</v>
      </c>
      <c r="F149" s="100" t="s">
        <v>926</v>
      </c>
      <c r="G149" s="100" t="b">
        <v>0</v>
      </c>
      <c r="H149" s="100" t="b">
        <v>0</v>
      </c>
      <c r="I149" s="100" t="b">
        <v>0</v>
      </c>
      <c r="J149" s="100" t="b">
        <v>0</v>
      </c>
      <c r="K149" s="100" t="b">
        <v>0</v>
      </c>
      <c r="L149" s="100" t="b">
        <v>0</v>
      </c>
    </row>
    <row r="150" spans="1:12" ht="15">
      <c r="A150" s="102" t="s">
        <v>846</v>
      </c>
      <c r="B150" s="100" t="s">
        <v>902</v>
      </c>
      <c r="C150" s="100">
        <v>2</v>
      </c>
      <c r="D150" s="104">
        <v>0.0026630084915122637</v>
      </c>
      <c r="E150" s="104">
        <v>2.654818040490762</v>
      </c>
      <c r="F150" s="100" t="s">
        <v>926</v>
      </c>
      <c r="G150" s="100" t="b">
        <v>0</v>
      </c>
      <c r="H150" s="100" t="b">
        <v>0</v>
      </c>
      <c r="I150" s="100" t="b">
        <v>0</v>
      </c>
      <c r="J150" s="100" t="b">
        <v>0</v>
      </c>
      <c r="K150" s="100" t="b">
        <v>0</v>
      </c>
      <c r="L150" s="100" t="b">
        <v>0</v>
      </c>
    </row>
    <row r="151" spans="1:12" ht="15">
      <c r="A151" s="102" t="s">
        <v>904</v>
      </c>
      <c r="B151" s="100" t="s">
        <v>905</v>
      </c>
      <c r="C151" s="100">
        <v>2</v>
      </c>
      <c r="D151" s="104">
        <v>0.0030218046722798216</v>
      </c>
      <c r="E151" s="104">
        <v>2.8309092995464433</v>
      </c>
      <c r="F151" s="100" t="s">
        <v>926</v>
      </c>
      <c r="G151" s="100" t="b">
        <v>0</v>
      </c>
      <c r="H151" s="100" t="b">
        <v>0</v>
      </c>
      <c r="I151" s="100" t="b">
        <v>0</v>
      </c>
      <c r="J151" s="100" t="b">
        <v>0</v>
      </c>
      <c r="K151" s="100" t="b">
        <v>0</v>
      </c>
      <c r="L151" s="100" t="b">
        <v>0</v>
      </c>
    </row>
    <row r="152" spans="1:12" ht="15">
      <c r="A152" s="102" t="s">
        <v>718</v>
      </c>
      <c r="B152" s="100" t="s">
        <v>719</v>
      </c>
      <c r="C152" s="100">
        <v>2</v>
      </c>
      <c r="D152" s="104">
        <v>0.0030218046722798216</v>
      </c>
      <c r="E152" s="104">
        <v>0.15996801881066808</v>
      </c>
      <c r="F152" s="100" t="s">
        <v>926</v>
      </c>
      <c r="G152" s="100" t="b">
        <v>0</v>
      </c>
      <c r="H152" s="100" t="b">
        <v>0</v>
      </c>
      <c r="I152" s="100" t="b">
        <v>0</v>
      </c>
      <c r="J152" s="100" t="b">
        <v>0</v>
      </c>
      <c r="K152" s="100" t="b">
        <v>0</v>
      </c>
      <c r="L152" s="100" t="b">
        <v>0</v>
      </c>
    </row>
    <row r="153" spans="1:12" ht="15">
      <c r="A153" s="102" t="s">
        <v>906</v>
      </c>
      <c r="B153" s="100" t="s">
        <v>907</v>
      </c>
      <c r="C153" s="100">
        <v>2</v>
      </c>
      <c r="D153" s="104">
        <v>0.0026630084915122637</v>
      </c>
      <c r="E153" s="104">
        <v>2.8309092995464433</v>
      </c>
      <c r="F153" s="100" t="s">
        <v>926</v>
      </c>
      <c r="G153" s="100" t="b">
        <v>0</v>
      </c>
      <c r="H153" s="100" t="b">
        <v>0</v>
      </c>
      <c r="I153" s="100" t="b">
        <v>0</v>
      </c>
      <c r="J153" s="100" t="b">
        <v>0</v>
      </c>
      <c r="K153" s="100" t="b">
        <v>0</v>
      </c>
      <c r="L153" s="100" t="b">
        <v>0</v>
      </c>
    </row>
    <row r="154" spans="1:12" ht="15">
      <c r="A154" s="102" t="s">
        <v>718</v>
      </c>
      <c r="B154" s="100" t="s">
        <v>908</v>
      </c>
      <c r="C154" s="100">
        <v>2</v>
      </c>
      <c r="D154" s="104">
        <v>0.0026630084915122637</v>
      </c>
      <c r="E154" s="104">
        <v>1.2568780318187245</v>
      </c>
      <c r="F154" s="100" t="s">
        <v>926</v>
      </c>
      <c r="G154" s="100" t="b">
        <v>0</v>
      </c>
      <c r="H154" s="100" t="b">
        <v>0</v>
      </c>
      <c r="I154" s="100" t="b">
        <v>0</v>
      </c>
      <c r="J154" s="100" t="b">
        <v>0</v>
      </c>
      <c r="K154" s="100" t="b">
        <v>0</v>
      </c>
      <c r="L154" s="100" t="b">
        <v>0</v>
      </c>
    </row>
    <row r="155" spans="1:12" ht="15">
      <c r="A155" s="102" t="s">
        <v>908</v>
      </c>
      <c r="B155" s="100" t="s">
        <v>722</v>
      </c>
      <c r="C155" s="100">
        <v>2</v>
      </c>
      <c r="D155" s="104">
        <v>0.0026630084915122637</v>
      </c>
      <c r="E155" s="104">
        <v>1.6004603781681694</v>
      </c>
      <c r="F155" s="100" t="s">
        <v>926</v>
      </c>
      <c r="G155" s="100" t="b">
        <v>0</v>
      </c>
      <c r="H155" s="100" t="b">
        <v>0</v>
      </c>
      <c r="I155" s="100" t="b">
        <v>0</v>
      </c>
      <c r="J155" s="100" t="b">
        <v>0</v>
      </c>
      <c r="K155" s="100" t="b">
        <v>0</v>
      </c>
      <c r="L155" s="100" t="b">
        <v>0</v>
      </c>
    </row>
    <row r="156" spans="1:12" ht="15">
      <c r="A156" s="102" t="s">
        <v>800</v>
      </c>
      <c r="B156" s="100" t="s">
        <v>719</v>
      </c>
      <c r="C156" s="100">
        <v>2</v>
      </c>
      <c r="D156" s="104">
        <v>0.0030218046722798216</v>
      </c>
      <c r="E156" s="104">
        <v>1.4329692908744058</v>
      </c>
      <c r="F156" s="100" t="s">
        <v>926</v>
      </c>
      <c r="G156" s="100" t="b">
        <v>0</v>
      </c>
      <c r="H156" s="100" t="b">
        <v>0</v>
      </c>
      <c r="I156" s="100" t="b">
        <v>0</v>
      </c>
      <c r="J156" s="100" t="b">
        <v>0</v>
      </c>
      <c r="K156" s="100" t="b">
        <v>0</v>
      </c>
      <c r="L156" s="100" t="b">
        <v>0</v>
      </c>
    </row>
    <row r="157" spans="1:12" ht="15">
      <c r="A157" s="102" t="s">
        <v>805</v>
      </c>
      <c r="B157" s="100" t="s">
        <v>719</v>
      </c>
      <c r="C157" s="100">
        <v>2</v>
      </c>
      <c r="D157" s="104">
        <v>0.0030218046722798216</v>
      </c>
      <c r="E157" s="104">
        <v>1.5579080274827057</v>
      </c>
      <c r="F157" s="100" t="s">
        <v>926</v>
      </c>
      <c r="G157" s="100" t="b">
        <v>0</v>
      </c>
      <c r="H157" s="100" t="b">
        <v>0</v>
      </c>
      <c r="I157" s="100" t="b">
        <v>0</v>
      </c>
      <c r="J157" s="100" t="b">
        <v>0</v>
      </c>
      <c r="K157" s="100" t="b">
        <v>0</v>
      </c>
      <c r="L157" s="100" t="b">
        <v>0</v>
      </c>
    </row>
    <row r="158" spans="1:12" ht="15">
      <c r="A158" s="102" t="s">
        <v>857</v>
      </c>
      <c r="B158" s="100" t="s">
        <v>857</v>
      </c>
      <c r="C158" s="100">
        <v>2</v>
      </c>
      <c r="D158" s="104">
        <v>0.0030218046722798216</v>
      </c>
      <c r="E158" s="104">
        <v>2.4787267814350806</v>
      </c>
      <c r="F158" s="100" t="s">
        <v>926</v>
      </c>
      <c r="G158" s="100" t="b">
        <v>0</v>
      </c>
      <c r="H158" s="100" t="b">
        <v>0</v>
      </c>
      <c r="I158" s="100" t="b">
        <v>0</v>
      </c>
      <c r="J158" s="100" t="b">
        <v>0</v>
      </c>
      <c r="K158" s="100" t="b">
        <v>0</v>
      </c>
      <c r="L158" s="100" t="b">
        <v>0</v>
      </c>
    </row>
    <row r="159" spans="1:12" ht="15">
      <c r="A159" s="102" t="s">
        <v>732</v>
      </c>
      <c r="B159" s="100" t="s">
        <v>719</v>
      </c>
      <c r="C159" s="100">
        <v>2</v>
      </c>
      <c r="D159" s="104">
        <v>0.0030218046722798216</v>
      </c>
      <c r="E159" s="104">
        <v>1.1899312421881112</v>
      </c>
      <c r="F159" s="100" t="s">
        <v>926</v>
      </c>
      <c r="G159" s="100" t="b">
        <v>0</v>
      </c>
      <c r="H159" s="100" t="b">
        <v>1</v>
      </c>
      <c r="I159" s="100" t="b">
        <v>0</v>
      </c>
      <c r="J159" s="100" t="b">
        <v>0</v>
      </c>
      <c r="K159" s="100" t="b">
        <v>0</v>
      </c>
      <c r="L159" s="100" t="b">
        <v>0</v>
      </c>
    </row>
    <row r="160" spans="1:12" ht="15">
      <c r="A160" s="102" t="s">
        <v>731</v>
      </c>
      <c r="B160" s="100" t="s">
        <v>818</v>
      </c>
      <c r="C160" s="100">
        <v>2</v>
      </c>
      <c r="D160" s="104">
        <v>0.0026630084915122637</v>
      </c>
      <c r="E160" s="104">
        <v>2.228849308218481</v>
      </c>
      <c r="F160" s="100" t="s">
        <v>926</v>
      </c>
      <c r="G160" s="100" t="b">
        <v>0</v>
      </c>
      <c r="H160" s="100" t="b">
        <v>0</v>
      </c>
      <c r="I160" s="100" t="b">
        <v>0</v>
      </c>
      <c r="J160" s="100" t="b">
        <v>1</v>
      </c>
      <c r="K160" s="100" t="b">
        <v>0</v>
      </c>
      <c r="L160" s="100" t="b">
        <v>0</v>
      </c>
    </row>
    <row r="161" spans="1:12" ht="15">
      <c r="A161" s="102" t="s">
        <v>722</v>
      </c>
      <c r="B161" s="100" t="s">
        <v>911</v>
      </c>
      <c r="C161" s="100">
        <v>2</v>
      </c>
      <c r="D161" s="104">
        <v>0.0026630084915122637</v>
      </c>
      <c r="E161" s="104">
        <v>1.6004603781681694</v>
      </c>
      <c r="F161" s="100" t="s">
        <v>926</v>
      </c>
      <c r="G161" s="100" t="b">
        <v>0</v>
      </c>
      <c r="H161" s="100" t="b">
        <v>0</v>
      </c>
      <c r="I161" s="100" t="b">
        <v>0</v>
      </c>
      <c r="J161" s="100" t="b">
        <v>0</v>
      </c>
      <c r="K161" s="100" t="b">
        <v>0</v>
      </c>
      <c r="L161" s="100" t="b">
        <v>0</v>
      </c>
    </row>
    <row r="162" spans="1:12" ht="15">
      <c r="A162" s="102" t="s">
        <v>911</v>
      </c>
      <c r="B162" s="100" t="s">
        <v>812</v>
      </c>
      <c r="C162" s="100">
        <v>2</v>
      </c>
      <c r="D162" s="104">
        <v>0.0026630084915122637</v>
      </c>
      <c r="E162" s="104">
        <v>2.432969290874406</v>
      </c>
      <c r="F162" s="100" t="s">
        <v>926</v>
      </c>
      <c r="G162" s="100" t="b">
        <v>0</v>
      </c>
      <c r="H162" s="100" t="b">
        <v>0</v>
      </c>
      <c r="I162" s="100" t="b">
        <v>0</v>
      </c>
      <c r="J162" s="100" t="b">
        <v>0</v>
      </c>
      <c r="K162" s="100" t="b">
        <v>0</v>
      </c>
      <c r="L162" s="100" t="b">
        <v>0</v>
      </c>
    </row>
    <row r="163" spans="1:12" ht="15">
      <c r="A163" s="102" t="s">
        <v>785</v>
      </c>
      <c r="B163" s="100" t="s">
        <v>912</v>
      </c>
      <c r="C163" s="100">
        <v>2</v>
      </c>
      <c r="D163" s="104">
        <v>0.0026630084915122637</v>
      </c>
      <c r="E163" s="104">
        <v>2.8309092995464433</v>
      </c>
      <c r="F163" s="100" t="s">
        <v>926</v>
      </c>
      <c r="G163" s="100" t="b">
        <v>1</v>
      </c>
      <c r="H163" s="100" t="b">
        <v>0</v>
      </c>
      <c r="I163" s="100" t="b">
        <v>0</v>
      </c>
      <c r="J163" s="100" t="b">
        <v>0</v>
      </c>
      <c r="K163" s="100" t="b">
        <v>0</v>
      </c>
      <c r="L163" s="100" t="b">
        <v>0</v>
      </c>
    </row>
    <row r="164" spans="1:12" ht="15">
      <c r="A164" s="102" t="s">
        <v>858</v>
      </c>
      <c r="B164" s="100" t="s">
        <v>745</v>
      </c>
      <c r="C164" s="100">
        <v>2</v>
      </c>
      <c r="D164" s="104">
        <v>0.0026630084915122637</v>
      </c>
      <c r="E164" s="104">
        <v>1.9858112595321864</v>
      </c>
      <c r="F164" s="100" t="s">
        <v>926</v>
      </c>
      <c r="G164" s="100" t="b">
        <v>0</v>
      </c>
      <c r="H164" s="100" t="b">
        <v>0</v>
      </c>
      <c r="I164" s="100" t="b">
        <v>0</v>
      </c>
      <c r="J164" s="100" t="b">
        <v>0</v>
      </c>
      <c r="K164" s="100" t="b">
        <v>0</v>
      </c>
      <c r="L164" s="100" t="b">
        <v>0</v>
      </c>
    </row>
    <row r="165" spans="1:12" ht="15">
      <c r="A165" s="102" t="s">
        <v>859</v>
      </c>
      <c r="B165" s="100" t="s">
        <v>859</v>
      </c>
      <c r="C165" s="100">
        <v>2</v>
      </c>
      <c r="D165" s="104">
        <v>0.0030218046722798216</v>
      </c>
      <c r="E165" s="104">
        <v>2.4787267814350806</v>
      </c>
      <c r="F165" s="100" t="s">
        <v>926</v>
      </c>
      <c r="G165" s="100" t="b">
        <v>0</v>
      </c>
      <c r="H165" s="100" t="b">
        <v>0</v>
      </c>
      <c r="I165" s="100" t="b">
        <v>0</v>
      </c>
      <c r="J165" s="100" t="b">
        <v>0</v>
      </c>
      <c r="K165" s="100" t="b">
        <v>0</v>
      </c>
      <c r="L165" s="100" t="b">
        <v>0</v>
      </c>
    </row>
    <row r="166" spans="1:12" ht="15">
      <c r="A166" s="102" t="s">
        <v>860</v>
      </c>
      <c r="B166" s="100" t="s">
        <v>860</v>
      </c>
      <c r="C166" s="100">
        <v>2</v>
      </c>
      <c r="D166" s="104">
        <v>0.0030218046722798216</v>
      </c>
      <c r="E166" s="104">
        <v>2.4787267814350806</v>
      </c>
      <c r="F166" s="100" t="s">
        <v>926</v>
      </c>
      <c r="G166" s="100" t="b">
        <v>0</v>
      </c>
      <c r="H166" s="100" t="b">
        <v>0</v>
      </c>
      <c r="I166" s="100" t="b">
        <v>0</v>
      </c>
      <c r="J166" s="100" t="b">
        <v>0</v>
      </c>
      <c r="K166" s="100" t="b">
        <v>0</v>
      </c>
      <c r="L166" s="100" t="b">
        <v>0</v>
      </c>
    </row>
    <row r="167" spans="1:12" ht="15">
      <c r="A167" s="102" t="s">
        <v>913</v>
      </c>
      <c r="B167" s="100" t="s">
        <v>914</v>
      </c>
      <c r="C167" s="100">
        <v>2</v>
      </c>
      <c r="D167" s="104">
        <v>0.0026630084915122637</v>
      </c>
      <c r="E167" s="104">
        <v>2.8309092995464433</v>
      </c>
      <c r="F167" s="100" t="s">
        <v>926</v>
      </c>
      <c r="G167" s="100" t="b">
        <v>0</v>
      </c>
      <c r="H167" s="100" t="b">
        <v>0</v>
      </c>
      <c r="I167" s="100" t="b">
        <v>0</v>
      </c>
      <c r="J167" s="100" t="b">
        <v>0</v>
      </c>
      <c r="K167" s="100" t="b">
        <v>0</v>
      </c>
      <c r="L167" s="100" t="b">
        <v>0</v>
      </c>
    </row>
    <row r="168" spans="1:12" ht="15">
      <c r="A168" s="102" t="s">
        <v>865</v>
      </c>
      <c r="B168" s="100" t="s">
        <v>862</v>
      </c>
      <c r="C168" s="100">
        <v>2</v>
      </c>
      <c r="D168" s="104">
        <v>0.0030218046722798216</v>
      </c>
      <c r="E168" s="104">
        <v>2.654818040490762</v>
      </c>
      <c r="F168" s="100" t="s">
        <v>926</v>
      </c>
      <c r="G168" s="100" t="b">
        <v>0</v>
      </c>
      <c r="H168" s="100" t="b">
        <v>0</v>
      </c>
      <c r="I168" s="100" t="b">
        <v>0</v>
      </c>
      <c r="J168" s="100" t="b">
        <v>0</v>
      </c>
      <c r="K168" s="100" t="b">
        <v>0</v>
      </c>
      <c r="L168" s="100" t="b">
        <v>0</v>
      </c>
    </row>
    <row r="169" spans="1:12" ht="15">
      <c r="A169" s="102" t="s">
        <v>722</v>
      </c>
      <c r="B169" s="100" t="s">
        <v>915</v>
      </c>
      <c r="C169" s="100">
        <v>2</v>
      </c>
      <c r="D169" s="104">
        <v>0.0026630084915122637</v>
      </c>
      <c r="E169" s="104">
        <v>1.6004603781681694</v>
      </c>
      <c r="F169" s="100" t="s">
        <v>926</v>
      </c>
      <c r="G169" s="100" t="b">
        <v>0</v>
      </c>
      <c r="H169" s="100" t="b">
        <v>0</v>
      </c>
      <c r="I169" s="100" t="b">
        <v>0</v>
      </c>
      <c r="J169" s="100" t="b">
        <v>0</v>
      </c>
      <c r="K169" s="100" t="b">
        <v>0</v>
      </c>
      <c r="L169" s="100" t="b">
        <v>0</v>
      </c>
    </row>
    <row r="170" spans="1:12" ht="15">
      <c r="A170" s="102" t="s">
        <v>915</v>
      </c>
      <c r="B170" s="100" t="s">
        <v>812</v>
      </c>
      <c r="C170" s="100">
        <v>2</v>
      </c>
      <c r="D170" s="104">
        <v>0.0026630084915122637</v>
      </c>
      <c r="E170" s="104">
        <v>2.432969290874406</v>
      </c>
      <c r="F170" s="100" t="s">
        <v>926</v>
      </c>
      <c r="G170" s="100" t="b">
        <v>0</v>
      </c>
      <c r="H170" s="100" t="b">
        <v>0</v>
      </c>
      <c r="I170" s="100" t="b">
        <v>0</v>
      </c>
      <c r="J170" s="100" t="b">
        <v>0</v>
      </c>
      <c r="K170" s="100" t="b">
        <v>0</v>
      </c>
      <c r="L170" s="100" t="b">
        <v>0</v>
      </c>
    </row>
    <row r="171" spans="1:12" ht="15">
      <c r="A171" s="102" t="s">
        <v>869</v>
      </c>
      <c r="B171" s="100" t="s">
        <v>866</v>
      </c>
      <c r="C171" s="100">
        <v>2</v>
      </c>
      <c r="D171" s="104">
        <v>0.0030218046722798216</v>
      </c>
      <c r="E171" s="104">
        <v>2.4787267814350806</v>
      </c>
      <c r="F171" s="100" t="s">
        <v>926</v>
      </c>
      <c r="G171" s="100" t="b">
        <v>0</v>
      </c>
      <c r="H171" s="100" t="b">
        <v>0</v>
      </c>
      <c r="I171" s="100" t="b">
        <v>0</v>
      </c>
      <c r="J171" s="100" t="b">
        <v>0</v>
      </c>
      <c r="K171" s="100" t="b">
        <v>0</v>
      </c>
      <c r="L171" s="100" t="b">
        <v>0</v>
      </c>
    </row>
    <row r="172" spans="1:12" ht="15">
      <c r="A172" s="102" t="s">
        <v>916</v>
      </c>
      <c r="B172" s="100" t="s">
        <v>917</v>
      </c>
      <c r="C172" s="100">
        <v>2</v>
      </c>
      <c r="D172" s="104">
        <v>0.0030218046722798216</v>
      </c>
      <c r="E172" s="104">
        <v>2.8309092995464433</v>
      </c>
      <c r="F172" s="100" t="s">
        <v>926</v>
      </c>
      <c r="G172" s="100" t="b">
        <v>0</v>
      </c>
      <c r="H172" s="100" t="b">
        <v>0</v>
      </c>
      <c r="I172" s="100" t="b">
        <v>0</v>
      </c>
      <c r="J172" s="100" t="b">
        <v>0</v>
      </c>
      <c r="K172" s="100" t="b">
        <v>0</v>
      </c>
      <c r="L172" s="100" t="b">
        <v>0</v>
      </c>
    </row>
    <row r="173" spans="1:12" ht="15">
      <c r="A173" s="102" t="s">
        <v>917</v>
      </c>
      <c r="B173" s="100" t="s">
        <v>918</v>
      </c>
      <c r="C173" s="100">
        <v>2</v>
      </c>
      <c r="D173" s="104">
        <v>0.0030218046722798216</v>
      </c>
      <c r="E173" s="104">
        <v>2.8309092995464433</v>
      </c>
      <c r="F173" s="100" t="s">
        <v>926</v>
      </c>
      <c r="G173" s="100" t="b">
        <v>0</v>
      </c>
      <c r="H173" s="100" t="b">
        <v>0</v>
      </c>
      <c r="I173" s="100" t="b">
        <v>0</v>
      </c>
      <c r="J173" s="100" t="b">
        <v>0</v>
      </c>
      <c r="K173" s="100" t="b">
        <v>0</v>
      </c>
      <c r="L173" s="100" t="b">
        <v>0</v>
      </c>
    </row>
    <row r="174" spans="1:12" ht="15">
      <c r="A174" s="102" t="s">
        <v>918</v>
      </c>
      <c r="B174" s="100" t="s">
        <v>861</v>
      </c>
      <c r="C174" s="100">
        <v>2</v>
      </c>
      <c r="D174" s="104">
        <v>0.0030218046722798216</v>
      </c>
      <c r="E174" s="104">
        <v>2.654818040490762</v>
      </c>
      <c r="F174" s="100" t="s">
        <v>926</v>
      </c>
      <c r="G174" s="100" t="b">
        <v>0</v>
      </c>
      <c r="H174" s="100" t="b">
        <v>0</v>
      </c>
      <c r="I174" s="100" t="b">
        <v>0</v>
      </c>
      <c r="J174" s="100" t="b">
        <v>0</v>
      </c>
      <c r="K174" s="100" t="b">
        <v>0</v>
      </c>
      <c r="L174" s="100" t="b">
        <v>0</v>
      </c>
    </row>
    <row r="175" spans="1:12" ht="15">
      <c r="A175" s="102" t="s">
        <v>753</v>
      </c>
      <c r="B175" s="100" t="s">
        <v>856</v>
      </c>
      <c r="C175" s="100">
        <v>2</v>
      </c>
      <c r="D175" s="104">
        <v>0.0026630084915122637</v>
      </c>
      <c r="E175" s="104">
        <v>2.3537880448267807</v>
      </c>
      <c r="F175" s="100" t="s">
        <v>926</v>
      </c>
      <c r="G175" s="100" t="b">
        <v>0</v>
      </c>
      <c r="H175" s="100" t="b">
        <v>0</v>
      </c>
      <c r="I175" s="100" t="b">
        <v>0</v>
      </c>
      <c r="J175" s="100" t="b">
        <v>0</v>
      </c>
      <c r="K175" s="100" t="b">
        <v>0</v>
      </c>
      <c r="L175" s="100" t="b">
        <v>0</v>
      </c>
    </row>
    <row r="176" spans="1:12" ht="15">
      <c r="A176" s="102" t="s">
        <v>919</v>
      </c>
      <c r="B176" s="100" t="s">
        <v>732</v>
      </c>
      <c r="C176" s="100">
        <v>2</v>
      </c>
      <c r="D176" s="104">
        <v>0.0026630084915122637</v>
      </c>
      <c r="E176" s="104">
        <v>2.3537880448267807</v>
      </c>
      <c r="F176" s="100" t="s">
        <v>926</v>
      </c>
      <c r="G176" s="100" t="b">
        <v>0</v>
      </c>
      <c r="H176" s="100" t="b">
        <v>0</v>
      </c>
      <c r="I176" s="100" t="b">
        <v>0</v>
      </c>
      <c r="J176" s="100" t="b">
        <v>0</v>
      </c>
      <c r="K176" s="100" t="b">
        <v>1</v>
      </c>
      <c r="L176" s="100" t="b">
        <v>0</v>
      </c>
    </row>
    <row r="177" spans="1:12" ht="15">
      <c r="A177" s="102" t="s">
        <v>732</v>
      </c>
      <c r="B177" s="100" t="s">
        <v>920</v>
      </c>
      <c r="C177" s="100">
        <v>2</v>
      </c>
      <c r="D177" s="104">
        <v>0.0026630084915122637</v>
      </c>
      <c r="E177" s="104">
        <v>2.2868412551961677</v>
      </c>
      <c r="F177" s="100" t="s">
        <v>926</v>
      </c>
      <c r="G177" s="100" t="b">
        <v>0</v>
      </c>
      <c r="H177" s="100" t="b">
        <v>1</v>
      </c>
      <c r="I177" s="100" t="b">
        <v>0</v>
      </c>
      <c r="J177" s="100" t="b">
        <v>0</v>
      </c>
      <c r="K177" s="100" t="b">
        <v>0</v>
      </c>
      <c r="L177" s="100" t="b">
        <v>0</v>
      </c>
    </row>
    <row r="178" spans="1:12" ht="15">
      <c r="A178" s="102" t="s">
        <v>725</v>
      </c>
      <c r="B178" s="100" t="s">
        <v>723</v>
      </c>
      <c r="C178" s="100">
        <v>16</v>
      </c>
      <c r="D178" s="104">
        <v>0.029546733199966334</v>
      </c>
      <c r="E178" s="104">
        <v>1.3273589343863303</v>
      </c>
      <c r="F178" s="100" t="s">
        <v>688</v>
      </c>
      <c r="G178" s="100" t="b">
        <v>0</v>
      </c>
      <c r="H178" s="100" t="b">
        <v>0</v>
      </c>
      <c r="I178" s="100" t="b">
        <v>0</v>
      </c>
      <c r="J178" s="100" t="b">
        <v>0</v>
      </c>
      <c r="K178" s="100" t="b">
        <v>0</v>
      </c>
      <c r="L178" s="100" t="b">
        <v>0</v>
      </c>
    </row>
    <row r="179" spans="1:12" ht="15">
      <c r="A179" s="102" t="s">
        <v>719</v>
      </c>
      <c r="B179" s="100" t="s">
        <v>718</v>
      </c>
      <c r="C179" s="100">
        <v>16</v>
      </c>
      <c r="D179" s="104">
        <v>0.0400639092309719</v>
      </c>
      <c r="E179" s="104">
        <v>1.2304489213782739</v>
      </c>
      <c r="F179" s="100" t="s">
        <v>688</v>
      </c>
      <c r="G179" s="100" t="b">
        <v>0</v>
      </c>
      <c r="H179" s="100" t="b">
        <v>0</v>
      </c>
      <c r="I179" s="100" t="b">
        <v>0</v>
      </c>
      <c r="J179" s="100" t="b">
        <v>0</v>
      </c>
      <c r="K179" s="100" t="b">
        <v>0</v>
      </c>
      <c r="L179" s="100" t="b">
        <v>0</v>
      </c>
    </row>
    <row r="180" spans="1:12" ht="15">
      <c r="A180" s="102" t="s">
        <v>721</v>
      </c>
      <c r="B180" s="100" t="s">
        <v>722</v>
      </c>
      <c r="C180" s="100">
        <v>13</v>
      </c>
      <c r="D180" s="104">
        <v>0.024006720724972647</v>
      </c>
      <c r="E180" s="104">
        <v>1.2951742510149291</v>
      </c>
      <c r="F180" s="100" t="s">
        <v>688</v>
      </c>
      <c r="G180" s="100" t="b">
        <v>0</v>
      </c>
      <c r="H180" s="100" t="b">
        <v>0</v>
      </c>
      <c r="I180" s="100" t="b">
        <v>0</v>
      </c>
      <c r="J180" s="100" t="b">
        <v>0</v>
      </c>
      <c r="K180" s="100" t="b">
        <v>0</v>
      </c>
      <c r="L180" s="100" t="b">
        <v>0</v>
      </c>
    </row>
    <row r="181" spans="1:12" ht="15">
      <c r="A181" s="102" t="s">
        <v>750</v>
      </c>
      <c r="B181" s="100" t="s">
        <v>751</v>
      </c>
      <c r="C181" s="100">
        <v>6</v>
      </c>
      <c r="D181" s="104">
        <v>0.016006070454973095</v>
      </c>
      <c r="E181" s="104">
        <v>1.7533276666586115</v>
      </c>
      <c r="F181" s="100" t="s">
        <v>688</v>
      </c>
      <c r="G181" s="100" t="b">
        <v>0</v>
      </c>
      <c r="H181" s="100" t="b">
        <v>1</v>
      </c>
      <c r="I181" s="100" t="b">
        <v>0</v>
      </c>
      <c r="J181" s="100" t="b">
        <v>0</v>
      </c>
      <c r="K181" s="100" t="b">
        <v>1</v>
      </c>
      <c r="L181" s="100" t="b">
        <v>0</v>
      </c>
    </row>
    <row r="182" spans="1:12" ht="15">
      <c r="A182" s="102" t="s">
        <v>751</v>
      </c>
      <c r="B182" s="100" t="s">
        <v>752</v>
      </c>
      <c r="C182" s="100">
        <v>6</v>
      </c>
      <c r="D182" s="104">
        <v>0.016006070454973095</v>
      </c>
      <c r="E182" s="104">
        <v>1.7533276666586115</v>
      </c>
      <c r="F182" s="100" t="s">
        <v>688</v>
      </c>
      <c r="G182" s="100" t="b">
        <v>0</v>
      </c>
      <c r="H182" s="100" t="b">
        <v>1</v>
      </c>
      <c r="I182" s="100" t="b">
        <v>0</v>
      </c>
      <c r="J182" s="100" t="b">
        <v>1</v>
      </c>
      <c r="K182" s="100" t="b">
        <v>0</v>
      </c>
      <c r="L182" s="100" t="b">
        <v>0</v>
      </c>
    </row>
    <row r="183" spans="1:12" ht="15">
      <c r="A183" s="102" t="s">
        <v>752</v>
      </c>
      <c r="B183" s="100" t="s">
        <v>753</v>
      </c>
      <c r="C183" s="100">
        <v>6</v>
      </c>
      <c r="D183" s="104">
        <v>0.016006070454973095</v>
      </c>
      <c r="E183" s="104">
        <v>1.7533276666586115</v>
      </c>
      <c r="F183" s="100" t="s">
        <v>688</v>
      </c>
      <c r="G183" s="100" t="b">
        <v>1</v>
      </c>
      <c r="H183" s="100" t="b">
        <v>0</v>
      </c>
      <c r="I183" s="100" t="b">
        <v>0</v>
      </c>
      <c r="J183" s="100" t="b">
        <v>0</v>
      </c>
      <c r="K183" s="100" t="b">
        <v>0</v>
      </c>
      <c r="L183" s="100" t="b">
        <v>0</v>
      </c>
    </row>
    <row r="184" spans="1:12" ht="15">
      <c r="A184" s="102" t="s">
        <v>769</v>
      </c>
      <c r="B184" s="100" t="s">
        <v>770</v>
      </c>
      <c r="C184" s="100">
        <v>6</v>
      </c>
      <c r="D184" s="104">
        <v>0.016006070454973095</v>
      </c>
      <c r="E184" s="104">
        <v>1.7533276666586115</v>
      </c>
      <c r="F184" s="100" t="s">
        <v>688</v>
      </c>
      <c r="G184" s="100" t="b">
        <v>0</v>
      </c>
      <c r="H184" s="100" t="b">
        <v>0</v>
      </c>
      <c r="I184" s="100" t="b">
        <v>0</v>
      </c>
      <c r="J184" s="100" t="b">
        <v>0</v>
      </c>
      <c r="K184" s="100" t="b">
        <v>0</v>
      </c>
      <c r="L184" s="100" t="b">
        <v>0</v>
      </c>
    </row>
    <row r="185" spans="1:12" ht="15">
      <c r="A185" s="102" t="s">
        <v>770</v>
      </c>
      <c r="B185" s="100" t="s">
        <v>771</v>
      </c>
      <c r="C185" s="100">
        <v>6</v>
      </c>
      <c r="D185" s="104">
        <v>0.016006070454973095</v>
      </c>
      <c r="E185" s="104">
        <v>1.7533276666586115</v>
      </c>
      <c r="F185" s="100" t="s">
        <v>688</v>
      </c>
      <c r="G185" s="100" t="b">
        <v>0</v>
      </c>
      <c r="H185" s="100" t="b">
        <v>0</v>
      </c>
      <c r="I185" s="100" t="b">
        <v>0</v>
      </c>
      <c r="J185" s="100" t="b">
        <v>0</v>
      </c>
      <c r="K185" s="100" t="b">
        <v>0</v>
      </c>
      <c r="L185" s="100" t="b">
        <v>0</v>
      </c>
    </row>
    <row r="186" spans="1:12" ht="15">
      <c r="A186" s="102" t="s">
        <v>771</v>
      </c>
      <c r="B186" s="100" t="s">
        <v>739</v>
      </c>
      <c r="C186" s="100">
        <v>6</v>
      </c>
      <c r="D186" s="104">
        <v>0.016006070454973095</v>
      </c>
      <c r="E186" s="104">
        <v>1.7533276666586115</v>
      </c>
      <c r="F186" s="100" t="s">
        <v>688</v>
      </c>
      <c r="G186" s="100" t="b">
        <v>0</v>
      </c>
      <c r="H186" s="100" t="b">
        <v>0</v>
      </c>
      <c r="I186" s="100" t="b">
        <v>0</v>
      </c>
      <c r="J186" s="100" t="b">
        <v>0</v>
      </c>
      <c r="K186" s="100" t="b">
        <v>0</v>
      </c>
      <c r="L186" s="100" t="b">
        <v>0</v>
      </c>
    </row>
    <row r="187" spans="1:12" ht="15">
      <c r="A187" s="102" t="s">
        <v>739</v>
      </c>
      <c r="B187" s="100" t="s">
        <v>747</v>
      </c>
      <c r="C187" s="100">
        <v>6</v>
      </c>
      <c r="D187" s="104">
        <v>0.016006070454973095</v>
      </c>
      <c r="E187" s="104">
        <v>1.7533276666586115</v>
      </c>
      <c r="F187" s="100" t="s">
        <v>688</v>
      </c>
      <c r="G187" s="100" t="b">
        <v>0</v>
      </c>
      <c r="H187" s="100" t="b">
        <v>0</v>
      </c>
      <c r="I187" s="100" t="b">
        <v>0</v>
      </c>
      <c r="J187" s="100" t="b">
        <v>0</v>
      </c>
      <c r="K187" s="100" t="b">
        <v>0</v>
      </c>
      <c r="L187" s="100" t="b">
        <v>0</v>
      </c>
    </row>
    <row r="188" spans="1:12" ht="15">
      <c r="A188" s="102" t="s">
        <v>747</v>
      </c>
      <c r="B188" s="100" t="s">
        <v>724</v>
      </c>
      <c r="C188" s="100">
        <v>6</v>
      </c>
      <c r="D188" s="104">
        <v>0.016006070454973095</v>
      </c>
      <c r="E188" s="104">
        <v>1.5772364076029302</v>
      </c>
      <c r="F188" s="100" t="s">
        <v>688</v>
      </c>
      <c r="G188" s="100" t="b">
        <v>0</v>
      </c>
      <c r="H188" s="100" t="b">
        <v>0</v>
      </c>
      <c r="I188" s="100" t="b">
        <v>0</v>
      </c>
      <c r="J188" s="100" t="b">
        <v>0</v>
      </c>
      <c r="K188" s="100" t="b">
        <v>0</v>
      </c>
      <c r="L188" s="100" t="b">
        <v>0</v>
      </c>
    </row>
    <row r="189" spans="1:12" ht="15">
      <c r="A189" s="102" t="s">
        <v>724</v>
      </c>
      <c r="B189" s="100" t="s">
        <v>772</v>
      </c>
      <c r="C189" s="100">
        <v>6</v>
      </c>
      <c r="D189" s="104">
        <v>0.016006070454973095</v>
      </c>
      <c r="E189" s="104">
        <v>1.4522976709946303</v>
      </c>
      <c r="F189" s="100" t="s">
        <v>688</v>
      </c>
      <c r="G189" s="100" t="b">
        <v>0</v>
      </c>
      <c r="H189" s="100" t="b">
        <v>0</v>
      </c>
      <c r="I189" s="100" t="b">
        <v>0</v>
      </c>
      <c r="J189" s="100" t="b">
        <v>0</v>
      </c>
      <c r="K189" s="100" t="b">
        <v>0</v>
      </c>
      <c r="L189" s="100" t="b">
        <v>0</v>
      </c>
    </row>
    <row r="190" spans="1:12" ht="15">
      <c r="A190" s="102" t="s">
        <v>723</v>
      </c>
      <c r="B190" s="100" t="s">
        <v>719</v>
      </c>
      <c r="C190" s="100">
        <v>6</v>
      </c>
      <c r="D190" s="104">
        <v>0.02042215841092392</v>
      </c>
      <c r="E190" s="104">
        <v>1.2304489213782739</v>
      </c>
      <c r="F190" s="100" t="s">
        <v>688</v>
      </c>
      <c r="G190" s="100" t="b">
        <v>0</v>
      </c>
      <c r="H190" s="100" t="b">
        <v>0</v>
      </c>
      <c r="I190" s="100" t="b">
        <v>0</v>
      </c>
      <c r="J190" s="100" t="b">
        <v>0</v>
      </c>
      <c r="K190" s="100" t="b">
        <v>0</v>
      </c>
      <c r="L190" s="100" t="b">
        <v>0</v>
      </c>
    </row>
    <row r="191" spans="1:12" ht="15">
      <c r="A191" s="102" t="s">
        <v>722</v>
      </c>
      <c r="B191" s="100" t="s">
        <v>768</v>
      </c>
      <c r="C191" s="100">
        <v>5</v>
      </c>
      <c r="D191" s="104">
        <v>0.014306377938813663</v>
      </c>
      <c r="E191" s="104">
        <v>1.3273589343863303</v>
      </c>
      <c r="F191" s="100" t="s">
        <v>688</v>
      </c>
      <c r="G191" s="100" t="b">
        <v>0</v>
      </c>
      <c r="H191" s="100" t="b">
        <v>0</v>
      </c>
      <c r="I191" s="100" t="b">
        <v>0</v>
      </c>
      <c r="J191" s="100" t="b">
        <v>0</v>
      </c>
      <c r="K191" s="100" t="b">
        <v>0</v>
      </c>
      <c r="L191" s="100" t="b">
        <v>0</v>
      </c>
    </row>
    <row r="192" spans="1:12" ht="15">
      <c r="A192" s="102" t="s">
        <v>768</v>
      </c>
      <c r="B192" s="100" t="s">
        <v>725</v>
      </c>
      <c r="C192" s="100">
        <v>5</v>
      </c>
      <c r="D192" s="104">
        <v>0.014306377938813663</v>
      </c>
      <c r="E192" s="104">
        <v>1.3273589343863303</v>
      </c>
      <c r="F192" s="100" t="s">
        <v>688</v>
      </c>
      <c r="G192" s="100" t="b">
        <v>0</v>
      </c>
      <c r="H192" s="100" t="b">
        <v>0</v>
      </c>
      <c r="I192" s="100" t="b">
        <v>0</v>
      </c>
      <c r="J192" s="100" t="b">
        <v>0</v>
      </c>
      <c r="K192" s="100" t="b">
        <v>0</v>
      </c>
      <c r="L192" s="100" t="b">
        <v>0</v>
      </c>
    </row>
    <row r="193" spans="1:12" ht="15">
      <c r="A193" s="102" t="s">
        <v>718</v>
      </c>
      <c r="B193" s="100" t="s">
        <v>816</v>
      </c>
      <c r="C193" s="100">
        <v>4</v>
      </c>
      <c r="D193" s="104">
        <v>0.012392877539393778</v>
      </c>
      <c r="E193" s="104">
        <v>1.151267675330649</v>
      </c>
      <c r="F193" s="100" t="s">
        <v>688</v>
      </c>
      <c r="G193" s="100" t="b">
        <v>0</v>
      </c>
      <c r="H193" s="100" t="b">
        <v>0</v>
      </c>
      <c r="I193" s="100" t="b">
        <v>0</v>
      </c>
      <c r="J193" s="100" t="b">
        <v>0</v>
      </c>
      <c r="K193" s="100" t="b">
        <v>0</v>
      </c>
      <c r="L193" s="100" t="b">
        <v>0</v>
      </c>
    </row>
    <row r="194" spans="1:12" ht="15">
      <c r="A194" s="102" t="s">
        <v>718</v>
      </c>
      <c r="B194" s="100" t="s">
        <v>783</v>
      </c>
      <c r="C194" s="100">
        <v>4</v>
      </c>
      <c r="D194" s="104">
        <v>0.012392877539393778</v>
      </c>
      <c r="E194" s="104">
        <v>1.151267675330649</v>
      </c>
      <c r="F194" s="100" t="s">
        <v>688</v>
      </c>
      <c r="G194" s="100" t="b">
        <v>0</v>
      </c>
      <c r="H194" s="100" t="b">
        <v>0</v>
      </c>
      <c r="I194" s="100" t="b">
        <v>0</v>
      </c>
      <c r="J194" s="100" t="b">
        <v>0</v>
      </c>
      <c r="K194" s="100" t="b">
        <v>0</v>
      </c>
      <c r="L194" s="100" t="b">
        <v>0</v>
      </c>
    </row>
    <row r="195" spans="1:12" ht="15">
      <c r="A195" s="102" t="s">
        <v>783</v>
      </c>
      <c r="B195" s="100" t="s">
        <v>740</v>
      </c>
      <c r="C195" s="100">
        <v>4</v>
      </c>
      <c r="D195" s="104">
        <v>0.012392877539393778</v>
      </c>
      <c r="E195" s="104">
        <v>1.9294189257142929</v>
      </c>
      <c r="F195" s="100" t="s">
        <v>688</v>
      </c>
      <c r="G195" s="100" t="b">
        <v>0</v>
      </c>
      <c r="H195" s="100" t="b">
        <v>0</v>
      </c>
      <c r="I195" s="100" t="b">
        <v>0</v>
      </c>
      <c r="J195" s="100" t="b">
        <v>0</v>
      </c>
      <c r="K195" s="100" t="b">
        <v>0</v>
      </c>
      <c r="L195" s="100" t="b">
        <v>0</v>
      </c>
    </row>
    <row r="196" spans="1:12" ht="15">
      <c r="A196" s="102" t="s">
        <v>740</v>
      </c>
      <c r="B196" s="100" t="s">
        <v>784</v>
      </c>
      <c r="C196" s="100">
        <v>4</v>
      </c>
      <c r="D196" s="104">
        <v>0.012392877539393778</v>
      </c>
      <c r="E196" s="104">
        <v>1.9294189257142929</v>
      </c>
      <c r="F196" s="100" t="s">
        <v>688</v>
      </c>
      <c r="G196" s="100" t="b">
        <v>0</v>
      </c>
      <c r="H196" s="100" t="b">
        <v>0</v>
      </c>
      <c r="I196" s="100" t="b">
        <v>0</v>
      </c>
      <c r="J196" s="100" t="b">
        <v>1</v>
      </c>
      <c r="K196" s="100" t="b">
        <v>0</v>
      </c>
      <c r="L196" s="100" t="b">
        <v>0</v>
      </c>
    </row>
    <row r="197" spans="1:12" ht="15">
      <c r="A197" s="102" t="s">
        <v>784</v>
      </c>
      <c r="B197" s="100" t="s">
        <v>773</v>
      </c>
      <c r="C197" s="100">
        <v>4</v>
      </c>
      <c r="D197" s="104">
        <v>0.012392877539393778</v>
      </c>
      <c r="E197" s="104">
        <v>1.9294189257142929</v>
      </c>
      <c r="F197" s="100" t="s">
        <v>688</v>
      </c>
      <c r="G197" s="100" t="b">
        <v>1</v>
      </c>
      <c r="H197" s="100" t="b">
        <v>0</v>
      </c>
      <c r="I197" s="100" t="b">
        <v>0</v>
      </c>
      <c r="J197" s="100" t="b">
        <v>0</v>
      </c>
      <c r="K197" s="100" t="b">
        <v>0</v>
      </c>
      <c r="L197" s="100" t="b">
        <v>0</v>
      </c>
    </row>
    <row r="198" spans="1:12" ht="15">
      <c r="A198" s="102" t="s">
        <v>722</v>
      </c>
      <c r="B198" s="100" t="s">
        <v>815</v>
      </c>
      <c r="C198" s="100">
        <v>4</v>
      </c>
      <c r="D198" s="104">
        <v>0.013614772273949279</v>
      </c>
      <c r="E198" s="104">
        <v>1.3273589343863303</v>
      </c>
      <c r="F198" s="100" t="s">
        <v>688</v>
      </c>
      <c r="G198" s="100" t="b">
        <v>0</v>
      </c>
      <c r="H198" s="100" t="b">
        <v>0</v>
      </c>
      <c r="I198" s="100" t="b">
        <v>0</v>
      </c>
      <c r="J198" s="100" t="b">
        <v>0</v>
      </c>
      <c r="K198" s="100" t="b">
        <v>0</v>
      </c>
      <c r="L198" s="100" t="b">
        <v>0</v>
      </c>
    </row>
    <row r="199" spans="1:12" ht="15">
      <c r="A199" s="102" t="s">
        <v>815</v>
      </c>
      <c r="B199" s="100" t="s">
        <v>725</v>
      </c>
      <c r="C199" s="100">
        <v>4</v>
      </c>
      <c r="D199" s="104">
        <v>0.013614772273949279</v>
      </c>
      <c r="E199" s="104">
        <v>1.3273589343863303</v>
      </c>
      <c r="F199" s="100" t="s">
        <v>688</v>
      </c>
      <c r="G199" s="100" t="b">
        <v>0</v>
      </c>
      <c r="H199" s="100" t="b">
        <v>0</v>
      </c>
      <c r="I199" s="100" t="b">
        <v>0</v>
      </c>
      <c r="J199" s="100" t="b">
        <v>0</v>
      </c>
      <c r="K199" s="100" t="b">
        <v>0</v>
      </c>
      <c r="L199" s="100" t="b">
        <v>0</v>
      </c>
    </row>
    <row r="200" spans="1:12" ht="15">
      <c r="A200" s="102" t="s">
        <v>718</v>
      </c>
      <c r="B200" s="100" t="s">
        <v>744</v>
      </c>
      <c r="C200" s="100">
        <v>4</v>
      </c>
      <c r="D200" s="104">
        <v>0.012392877539393778</v>
      </c>
      <c r="E200" s="104">
        <v>1.151267675330649</v>
      </c>
      <c r="F200" s="100" t="s">
        <v>688</v>
      </c>
      <c r="G200" s="100" t="b">
        <v>0</v>
      </c>
      <c r="H200" s="100" t="b">
        <v>0</v>
      </c>
      <c r="I200" s="100" t="b">
        <v>0</v>
      </c>
      <c r="J200" s="100" t="b">
        <v>0</v>
      </c>
      <c r="K200" s="100" t="b">
        <v>0</v>
      </c>
      <c r="L200" s="100" t="b">
        <v>0</v>
      </c>
    </row>
    <row r="201" spans="1:12" ht="15">
      <c r="A201" s="102" t="s">
        <v>862</v>
      </c>
      <c r="B201" s="100" t="s">
        <v>863</v>
      </c>
      <c r="C201" s="100">
        <v>3</v>
      </c>
      <c r="D201" s="104">
        <v>0.013710746110496158</v>
      </c>
      <c r="E201" s="104">
        <v>2.0543576623225928</v>
      </c>
      <c r="F201" s="100" t="s">
        <v>688</v>
      </c>
      <c r="G201" s="100" t="b">
        <v>0</v>
      </c>
      <c r="H201" s="100" t="b">
        <v>0</v>
      </c>
      <c r="I201" s="100" t="b">
        <v>0</v>
      </c>
      <c r="J201" s="100" t="b">
        <v>0</v>
      </c>
      <c r="K201" s="100" t="b">
        <v>0</v>
      </c>
      <c r="L201" s="100" t="b">
        <v>0</v>
      </c>
    </row>
    <row r="202" spans="1:12" ht="15">
      <c r="A202" s="102" t="s">
        <v>863</v>
      </c>
      <c r="B202" s="100" t="s">
        <v>864</v>
      </c>
      <c r="C202" s="100">
        <v>3</v>
      </c>
      <c r="D202" s="104">
        <v>0.013710746110496158</v>
      </c>
      <c r="E202" s="104">
        <v>2.0543576623225928</v>
      </c>
      <c r="F202" s="100" t="s">
        <v>688</v>
      </c>
      <c r="G202" s="100" t="b">
        <v>0</v>
      </c>
      <c r="H202" s="100" t="b">
        <v>0</v>
      </c>
      <c r="I202" s="100" t="b">
        <v>0</v>
      </c>
      <c r="J202" s="100" t="b">
        <v>0</v>
      </c>
      <c r="K202" s="100" t="b">
        <v>0</v>
      </c>
      <c r="L202" s="100" t="b">
        <v>0</v>
      </c>
    </row>
    <row r="203" spans="1:12" ht="15">
      <c r="A203" s="102" t="s">
        <v>864</v>
      </c>
      <c r="B203" s="100" t="s">
        <v>865</v>
      </c>
      <c r="C203" s="100">
        <v>3</v>
      </c>
      <c r="D203" s="104">
        <v>0.013710746110496158</v>
      </c>
      <c r="E203" s="104">
        <v>2.0543576623225928</v>
      </c>
      <c r="F203" s="100" t="s">
        <v>688</v>
      </c>
      <c r="G203" s="100" t="b">
        <v>0</v>
      </c>
      <c r="H203" s="100" t="b">
        <v>0</v>
      </c>
      <c r="I203" s="100" t="b">
        <v>0</v>
      </c>
      <c r="J203" s="100" t="b">
        <v>0</v>
      </c>
      <c r="K203" s="100" t="b">
        <v>0</v>
      </c>
      <c r="L203" s="100" t="b">
        <v>0</v>
      </c>
    </row>
    <row r="204" spans="1:12" ht="15">
      <c r="A204" s="102" t="s">
        <v>793</v>
      </c>
      <c r="B204" s="100" t="s">
        <v>794</v>
      </c>
      <c r="C204" s="100">
        <v>3</v>
      </c>
      <c r="D204" s="104">
        <v>0.01021107920546196</v>
      </c>
      <c r="E204" s="104">
        <v>2.0543576623225928</v>
      </c>
      <c r="F204" s="100" t="s">
        <v>688</v>
      </c>
      <c r="G204" s="100" t="b">
        <v>0</v>
      </c>
      <c r="H204" s="100" t="b">
        <v>0</v>
      </c>
      <c r="I204" s="100" t="b">
        <v>0</v>
      </c>
      <c r="J204" s="100" t="b">
        <v>0</v>
      </c>
      <c r="K204" s="100" t="b">
        <v>0</v>
      </c>
      <c r="L204" s="100" t="b">
        <v>0</v>
      </c>
    </row>
    <row r="205" spans="1:12" ht="15">
      <c r="A205" s="102" t="s">
        <v>722</v>
      </c>
      <c r="B205" s="100" t="s">
        <v>725</v>
      </c>
      <c r="C205" s="100">
        <v>3</v>
      </c>
      <c r="D205" s="104">
        <v>0.011502702132520746</v>
      </c>
      <c r="E205" s="104">
        <v>0.600360206450068</v>
      </c>
      <c r="F205" s="100" t="s">
        <v>688</v>
      </c>
      <c r="G205" s="100" t="b">
        <v>0</v>
      </c>
      <c r="H205" s="100" t="b">
        <v>0</v>
      </c>
      <c r="I205" s="100" t="b">
        <v>0</v>
      </c>
      <c r="J205" s="100" t="b">
        <v>0</v>
      </c>
      <c r="K205" s="100" t="b">
        <v>0</v>
      </c>
      <c r="L205" s="100" t="b">
        <v>0</v>
      </c>
    </row>
    <row r="206" spans="1:12" ht="15">
      <c r="A206" s="102" t="s">
        <v>759</v>
      </c>
      <c r="B206" s="100" t="s">
        <v>828</v>
      </c>
      <c r="C206" s="100">
        <v>3</v>
      </c>
      <c r="D206" s="104">
        <v>0.013710746110496158</v>
      </c>
      <c r="E206" s="104">
        <v>2.0543576623225928</v>
      </c>
      <c r="F206" s="100" t="s">
        <v>688</v>
      </c>
      <c r="G206" s="100" t="b">
        <v>0</v>
      </c>
      <c r="H206" s="100" t="b">
        <v>0</v>
      </c>
      <c r="I206" s="100" t="b">
        <v>0</v>
      </c>
      <c r="J206" s="100" t="b">
        <v>0</v>
      </c>
      <c r="K206" s="100" t="b">
        <v>0</v>
      </c>
      <c r="L206" s="100" t="b">
        <v>0</v>
      </c>
    </row>
    <row r="207" spans="1:12" ht="15">
      <c r="A207" s="102" t="s">
        <v>828</v>
      </c>
      <c r="B207" s="100" t="s">
        <v>829</v>
      </c>
      <c r="C207" s="100">
        <v>3</v>
      </c>
      <c r="D207" s="104">
        <v>0.013710746110496158</v>
      </c>
      <c r="E207" s="104">
        <v>2.0543576623225928</v>
      </c>
      <c r="F207" s="100" t="s">
        <v>688</v>
      </c>
      <c r="G207" s="100" t="b">
        <v>0</v>
      </c>
      <c r="H207" s="100" t="b">
        <v>0</v>
      </c>
      <c r="I207" s="100" t="b">
        <v>0</v>
      </c>
      <c r="J207" s="100" t="b">
        <v>0</v>
      </c>
      <c r="K207" s="100" t="b">
        <v>0</v>
      </c>
      <c r="L207" s="100" t="b">
        <v>0</v>
      </c>
    </row>
    <row r="208" spans="1:12" ht="15">
      <c r="A208" s="102" t="s">
        <v>829</v>
      </c>
      <c r="B208" s="100" t="s">
        <v>748</v>
      </c>
      <c r="C208" s="100">
        <v>3</v>
      </c>
      <c r="D208" s="104">
        <v>0.013710746110496158</v>
      </c>
      <c r="E208" s="104">
        <v>1.6863808770279982</v>
      </c>
      <c r="F208" s="100" t="s">
        <v>688</v>
      </c>
      <c r="G208" s="100" t="b">
        <v>0</v>
      </c>
      <c r="H208" s="100" t="b">
        <v>0</v>
      </c>
      <c r="I208" s="100" t="b">
        <v>0</v>
      </c>
      <c r="J208" s="100" t="b">
        <v>0</v>
      </c>
      <c r="K208" s="100" t="b">
        <v>0</v>
      </c>
      <c r="L208" s="100" t="b">
        <v>0</v>
      </c>
    </row>
    <row r="209" spans="1:12" ht="15">
      <c r="A209" s="102" t="s">
        <v>801</v>
      </c>
      <c r="B209" s="100" t="s">
        <v>802</v>
      </c>
      <c r="C209" s="100">
        <v>3</v>
      </c>
      <c r="D209" s="104">
        <v>0.01021107920546196</v>
      </c>
      <c r="E209" s="104">
        <v>2.0543576623225928</v>
      </c>
      <c r="F209" s="100" t="s">
        <v>688</v>
      </c>
      <c r="G209" s="100" t="b">
        <v>0</v>
      </c>
      <c r="H209" s="100" t="b">
        <v>0</v>
      </c>
      <c r="I209" s="100" t="b">
        <v>0</v>
      </c>
      <c r="J209" s="100" t="b">
        <v>0</v>
      </c>
      <c r="K209" s="100" t="b">
        <v>0</v>
      </c>
      <c r="L209" s="100" t="b">
        <v>0</v>
      </c>
    </row>
    <row r="210" spans="1:12" ht="15">
      <c r="A210" s="102" t="s">
        <v>802</v>
      </c>
      <c r="B210" s="100" t="s">
        <v>803</v>
      </c>
      <c r="C210" s="100">
        <v>3</v>
      </c>
      <c r="D210" s="104">
        <v>0.01021107920546196</v>
      </c>
      <c r="E210" s="104">
        <v>2.0543576623225928</v>
      </c>
      <c r="F210" s="100" t="s">
        <v>688</v>
      </c>
      <c r="G210" s="100" t="b">
        <v>0</v>
      </c>
      <c r="H210" s="100" t="b">
        <v>0</v>
      </c>
      <c r="I210" s="100" t="b">
        <v>0</v>
      </c>
      <c r="J210" s="100" t="b">
        <v>0</v>
      </c>
      <c r="K210" s="100" t="b">
        <v>0</v>
      </c>
      <c r="L210" s="100" t="b">
        <v>0</v>
      </c>
    </row>
    <row r="211" spans="1:12" ht="15">
      <c r="A211" s="102" t="s">
        <v>764</v>
      </c>
      <c r="B211" s="100" t="s">
        <v>765</v>
      </c>
      <c r="C211" s="100">
        <v>3</v>
      </c>
      <c r="D211" s="104">
        <v>0.013710746110496158</v>
      </c>
      <c r="E211" s="104">
        <v>2.0543576623225928</v>
      </c>
      <c r="F211" s="100" t="s">
        <v>688</v>
      </c>
      <c r="G211" s="100" t="b">
        <v>0</v>
      </c>
      <c r="H211" s="100" t="b">
        <v>0</v>
      </c>
      <c r="I211" s="100" t="b">
        <v>0</v>
      </c>
      <c r="J211" s="100" t="b">
        <v>0</v>
      </c>
      <c r="K211" s="100" t="b">
        <v>0</v>
      </c>
      <c r="L211" s="100" t="b">
        <v>0</v>
      </c>
    </row>
    <row r="212" spans="1:12" ht="15">
      <c r="A212" s="102" t="s">
        <v>765</v>
      </c>
      <c r="B212" s="100" t="s">
        <v>766</v>
      </c>
      <c r="C212" s="100">
        <v>3</v>
      </c>
      <c r="D212" s="104">
        <v>0.013710746110496158</v>
      </c>
      <c r="E212" s="104">
        <v>2.0543576623225928</v>
      </c>
      <c r="F212" s="100" t="s">
        <v>688</v>
      </c>
      <c r="G212" s="100" t="b">
        <v>0</v>
      </c>
      <c r="H212" s="100" t="b">
        <v>0</v>
      </c>
      <c r="I212" s="100" t="b">
        <v>0</v>
      </c>
      <c r="J212" s="100" t="b">
        <v>0</v>
      </c>
      <c r="K212" s="100" t="b">
        <v>0</v>
      </c>
      <c r="L212" s="100" t="b">
        <v>0</v>
      </c>
    </row>
    <row r="213" spans="1:12" ht="15">
      <c r="A213" s="102" t="s">
        <v>722</v>
      </c>
      <c r="B213" s="100" t="s">
        <v>748</v>
      </c>
      <c r="C213" s="100">
        <v>2</v>
      </c>
      <c r="D213" s="104">
        <v>0.007668468088347164</v>
      </c>
      <c r="E213" s="104">
        <v>0.7832908900360548</v>
      </c>
      <c r="F213" s="100" t="s">
        <v>688</v>
      </c>
      <c r="G213" s="100" t="b">
        <v>0</v>
      </c>
      <c r="H213" s="100" t="b">
        <v>0</v>
      </c>
      <c r="I213" s="100" t="b">
        <v>0</v>
      </c>
      <c r="J213" s="100" t="b">
        <v>0</v>
      </c>
      <c r="K213" s="100" t="b">
        <v>0</v>
      </c>
      <c r="L213" s="100" t="b">
        <v>0</v>
      </c>
    </row>
    <row r="214" spans="1:12" ht="15">
      <c r="A214" s="102" t="s">
        <v>748</v>
      </c>
      <c r="B214" s="100" t="s">
        <v>725</v>
      </c>
      <c r="C214" s="100">
        <v>2</v>
      </c>
      <c r="D214" s="104">
        <v>0.007668468088347164</v>
      </c>
      <c r="E214" s="104">
        <v>0.8502376796666679</v>
      </c>
      <c r="F214" s="100" t="s">
        <v>688</v>
      </c>
      <c r="G214" s="100" t="b">
        <v>0</v>
      </c>
      <c r="H214" s="100" t="b">
        <v>0</v>
      </c>
      <c r="I214" s="100" t="b">
        <v>0</v>
      </c>
      <c r="J214" s="100" t="b">
        <v>0</v>
      </c>
      <c r="K214" s="100" t="b">
        <v>0</v>
      </c>
      <c r="L214" s="100" t="b">
        <v>0</v>
      </c>
    </row>
    <row r="215" spans="1:12" ht="15">
      <c r="A215" s="102" t="s">
        <v>847</v>
      </c>
      <c r="B215" s="100" t="s">
        <v>748</v>
      </c>
      <c r="C215" s="100">
        <v>2</v>
      </c>
      <c r="D215" s="104">
        <v>0.007668468088347164</v>
      </c>
      <c r="E215" s="104">
        <v>1.6863808770279984</v>
      </c>
      <c r="F215" s="100" t="s">
        <v>688</v>
      </c>
      <c r="G215" s="100" t="b">
        <v>0</v>
      </c>
      <c r="H215" s="100" t="b">
        <v>0</v>
      </c>
      <c r="I215" s="100" t="b">
        <v>0</v>
      </c>
      <c r="J215" s="100" t="b">
        <v>0</v>
      </c>
      <c r="K215" s="100" t="b">
        <v>0</v>
      </c>
      <c r="L215" s="100" t="b">
        <v>0</v>
      </c>
    </row>
    <row r="216" spans="1:12" ht="15">
      <c r="A216" s="102" t="s">
        <v>865</v>
      </c>
      <c r="B216" s="100" t="s">
        <v>862</v>
      </c>
      <c r="C216" s="100">
        <v>2</v>
      </c>
      <c r="D216" s="104">
        <v>0.009140497406997438</v>
      </c>
      <c r="E216" s="104">
        <v>2.0543576623225928</v>
      </c>
      <c r="F216" s="100" t="s">
        <v>688</v>
      </c>
      <c r="G216" s="100" t="b">
        <v>0</v>
      </c>
      <c r="H216" s="100" t="b">
        <v>0</v>
      </c>
      <c r="I216" s="100" t="b">
        <v>0</v>
      </c>
      <c r="J216" s="100" t="b">
        <v>0</v>
      </c>
      <c r="K216" s="100" t="b">
        <v>0</v>
      </c>
      <c r="L216" s="100" t="b">
        <v>0</v>
      </c>
    </row>
    <row r="217" spans="1:12" ht="15">
      <c r="A217" s="102" t="s">
        <v>916</v>
      </c>
      <c r="B217" s="100" t="s">
        <v>917</v>
      </c>
      <c r="C217" s="100">
        <v>2</v>
      </c>
      <c r="D217" s="104">
        <v>0.009140497406997438</v>
      </c>
      <c r="E217" s="104">
        <v>2.230448921378274</v>
      </c>
      <c r="F217" s="100" t="s">
        <v>688</v>
      </c>
      <c r="G217" s="100" t="b">
        <v>0</v>
      </c>
      <c r="H217" s="100" t="b">
        <v>0</v>
      </c>
      <c r="I217" s="100" t="b">
        <v>0</v>
      </c>
      <c r="J217" s="100" t="b">
        <v>0</v>
      </c>
      <c r="K217" s="100" t="b">
        <v>0</v>
      </c>
      <c r="L217" s="100" t="b">
        <v>0</v>
      </c>
    </row>
    <row r="218" spans="1:12" ht="15">
      <c r="A218" s="102" t="s">
        <v>917</v>
      </c>
      <c r="B218" s="100" t="s">
        <v>918</v>
      </c>
      <c r="C218" s="100">
        <v>2</v>
      </c>
      <c r="D218" s="104">
        <v>0.009140497406997438</v>
      </c>
      <c r="E218" s="104">
        <v>2.230448921378274</v>
      </c>
      <c r="F218" s="100" t="s">
        <v>688</v>
      </c>
      <c r="G218" s="100" t="b">
        <v>0</v>
      </c>
      <c r="H218" s="100" t="b">
        <v>0</v>
      </c>
      <c r="I218" s="100" t="b">
        <v>0</v>
      </c>
      <c r="J218" s="100" t="b">
        <v>0</v>
      </c>
      <c r="K218" s="100" t="b">
        <v>0</v>
      </c>
      <c r="L218" s="100" t="b">
        <v>0</v>
      </c>
    </row>
    <row r="219" spans="1:12" ht="15">
      <c r="A219" s="102" t="s">
        <v>918</v>
      </c>
      <c r="B219" s="100" t="s">
        <v>861</v>
      </c>
      <c r="C219" s="100">
        <v>2</v>
      </c>
      <c r="D219" s="104">
        <v>0.009140497406997438</v>
      </c>
      <c r="E219" s="104">
        <v>2.230448921378274</v>
      </c>
      <c r="F219" s="100" t="s">
        <v>688</v>
      </c>
      <c r="G219" s="100" t="b">
        <v>0</v>
      </c>
      <c r="H219" s="100" t="b">
        <v>0</v>
      </c>
      <c r="I219" s="100" t="b">
        <v>0</v>
      </c>
      <c r="J219" s="100" t="b">
        <v>0</v>
      </c>
      <c r="K219" s="100" t="b">
        <v>0</v>
      </c>
      <c r="L219" s="100" t="b">
        <v>0</v>
      </c>
    </row>
    <row r="220" spans="1:12" ht="15">
      <c r="A220" s="102" t="s">
        <v>904</v>
      </c>
      <c r="B220" s="100" t="s">
        <v>905</v>
      </c>
      <c r="C220" s="100">
        <v>2</v>
      </c>
      <c r="D220" s="104">
        <v>0.009140497406997438</v>
      </c>
      <c r="E220" s="104">
        <v>2.230448921378274</v>
      </c>
      <c r="F220" s="100" t="s">
        <v>688</v>
      </c>
      <c r="G220" s="100" t="b">
        <v>0</v>
      </c>
      <c r="H220" s="100" t="b">
        <v>0</v>
      </c>
      <c r="I220" s="100" t="b">
        <v>0</v>
      </c>
      <c r="J220" s="100" t="b">
        <v>0</v>
      </c>
      <c r="K220" s="100" t="b">
        <v>0</v>
      </c>
      <c r="L220" s="100" t="b">
        <v>0</v>
      </c>
    </row>
    <row r="221" spans="1:12" ht="15">
      <c r="A221" s="102" t="s">
        <v>843</v>
      </c>
      <c r="B221" s="100" t="s">
        <v>844</v>
      </c>
      <c r="C221" s="100">
        <v>2</v>
      </c>
      <c r="D221" s="104">
        <v>0.007668468088347164</v>
      </c>
      <c r="E221" s="104">
        <v>2.230448921378274</v>
      </c>
      <c r="F221" s="100" t="s">
        <v>688</v>
      </c>
      <c r="G221" s="100" t="b">
        <v>0</v>
      </c>
      <c r="H221" s="100" t="b">
        <v>0</v>
      </c>
      <c r="I221" s="100" t="b">
        <v>0</v>
      </c>
      <c r="J221" s="100" t="b">
        <v>0</v>
      </c>
      <c r="K221" s="100" t="b">
        <v>0</v>
      </c>
      <c r="L221" s="100" t="b">
        <v>0</v>
      </c>
    </row>
    <row r="222" spans="1:12" ht="15">
      <c r="A222" s="102" t="s">
        <v>879</v>
      </c>
      <c r="B222" s="100" t="s">
        <v>880</v>
      </c>
      <c r="C222" s="100">
        <v>2</v>
      </c>
      <c r="D222" s="104">
        <v>0.009140497406997438</v>
      </c>
      <c r="E222" s="104">
        <v>2.230448921378274</v>
      </c>
      <c r="F222" s="100" t="s">
        <v>688</v>
      </c>
      <c r="G222" s="100" t="b">
        <v>0</v>
      </c>
      <c r="H222" s="100" t="b">
        <v>0</v>
      </c>
      <c r="I222" s="100" t="b">
        <v>0</v>
      </c>
      <c r="J222" s="100" t="b">
        <v>0</v>
      </c>
      <c r="K222" s="100" t="b">
        <v>0</v>
      </c>
      <c r="L222" s="100" t="b">
        <v>0</v>
      </c>
    </row>
    <row r="223" spans="1:12" ht="15">
      <c r="A223" s="102" t="s">
        <v>880</v>
      </c>
      <c r="B223" s="100" t="s">
        <v>881</v>
      </c>
      <c r="C223" s="100">
        <v>2</v>
      </c>
      <c r="D223" s="104">
        <v>0.009140497406997438</v>
      </c>
      <c r="E223" s="104">
        <v>2.230448921378274</v>
      </c>
      <c r="F223" s="100" t="s">
        <v>688</v>
      </c>
      <c r="G223" s="100" t="b">
        <v>0</v>
      </c>
      <c r="H223" s="100" t="b">
        <v>0</v>
      </c>
      <c r="I223" s="100" t="b">
        <v>0</v>
      </c>
      <c r="J223" s="100" t="b">
        <v>0</v>
      </c>
      <c r="K223" s="100" t="b">
        <v>0</v>
      </c>
      <c r="L223" s="100" t="b">
        <v>0</v>
      </c>
    </row>
    <row r="224" spans="1:12" ht="15">
      <c r="A224" s="102" t="s">
        <v>881</v>
      </c>
      <c r="B224" s="100" t="s">
        <v>882</v>
      </c>
      <c r="C224" s="100">
        <v>2</v>
      </c>
      <c r="D224" s="104">
        <v>0.009140497406997438</v>
      </c>
      <c r="E224" s="104">
        <v>2.230448921378274</v>
      </c>
      <c r="F224" s="100" t="s">
        <v>688</v>
      </c>
      <c r="G224" s="100" t="b">
        <v>0</v>
      </c>
      <c r="H224" s="100" t="b">
        <v>0</v>
      </c>
      <c r="I224" s="100" t="b">
        <v>0</v>
      </c>
      <c r="J224" s="100" t="b">
        <v>0</v>
      </c>
      <c r="K224" s="100" t="b">
        <v>0</v>
      </c>
      <c r="L224" s="100" t="b">
        <v>0</v>
      </c>
    </row>
    <row r="225" spans="1:12" ht="15">
      <c r="A225" s="102" t="s">
        <v>872</v>
      </c>
      <c r="B225" s="100" t="s">
        <v>873</v>
      </c>
      <c r="C225" s="100">
        <v>2</v>
      </c>
      <c r="D225" s="104">
        <v>0.009140497406997438</v>
      </c>
      <c r="E225" s="104">
        <v>2.230448921378274</v>
      </c>
      <c r="F225" s="100" t="s">
        <v>688</v>
      </c>
      <c r="G225" s="100" t="b">
        <v>0</v>
      </c>
      <c r="H225" s="100" t="b">
        <v>0</v>
      </c>
      <c r="I225" s="100" t="b">
        <v>0</v>
      </c>
      <c r="J225" s="100" t="b">
        <v>0</v>
      </c>
      <c r="K225" s="100" t="b">
        <v>0</v>
      </c>
      <c r="L225" s="100" t="b">
        <v>0</v>
      </c>
    </row>
    <row r="226" spans="1:12" ht="15">
      <c r="A226" s="102" t="s">
        <v>873</v>
      </c>
      <c r="B226" s="100" t="s">
        <v>874</v>
      </c>
      <c r="C226" s="100">
        <v>2</v>
      </c>
      <c r="D226" s="104">
        <v>0.009140497406997438</v>
      </c>
      <c r="E226" s="104">
        <v>2.230448921378274</v>
      </c>
      <c r="F226" s="100" t="s">
        <v>688</v>
      </c>
      <c r="G226" s="100" t="b">
        <v>0</v>
      </c>
      <c r="H226" s="100" t="b">
        <v>0</v>
      </c>
      <c r="I226" s="100" t="b">
        <v>0</v>
      </c>
      <c r="J226" s="100" t="b">
        <v>0</v>
      </c>
      <c r="K226" s="100" t="b">
        <v>0</v>
      </c>
      <c r="L226" s="100" t="b">
        <v>0</v>
      </c>
    </row>
    <row r="227" spans="1:12" ht="15">
      <c r="A227" s="102" t="s">
        <v>874</v>
      </c>
      <c r="B227" s="100" t="s">
        <v>875</v>
      </c>
      <c r="C227" s="100">
        <v>2</v>
      </c>
      <c r="D227" s="104">
        <v>0.009140497406997438</v>
      </c>
      <c r="E227" s="104">
        <v>2.230448921378274</v>
      </c>
      <c r="F227" s="100" t="s">
        <v>688</v>
      </c>
      <c r="G227" s="100" t="b">
        <v>0</v>
      </c>
      <c r="H227" s="100" t="b">
        <v>0</v>
      </c>
      <c r="I227" s="100" t="b">
        <v>0</v>
      </c>
      <c r="J227" s="100" t="b">
        <v>0</v>
      </c>
      <c r="K227" s="100" t="b">
        <v>0</v>
      </c>
      <c r="L227" s="100" t="b">
        <v>0</v>
      </c>
    </row>
    <row r="228" spans="1:12" ht="15">
      <c r="A228" s="102" t="s">
        <v>804</v>
      </c>
      <c r="B228" s="100" t="s">
        <v>719</v>
      </c>
      <c r="C228" s="100">
        <v>2</v>
      </c>
      <c r="D228" s="104">
        <v>0.009140497406997438</v>
      </c>
      <c r="E228" s="104">
        <v>1.3553876579865738</v>
      </c>
      <c r="F228" s="100" t="s">
        <v>688</v>
      </c>
      <c r="G228" s="100" t="b">
        <v>0</v>
      </c>
      <c r="H228" s="100" t="b">
        <v>0</v>
      </c>
      <c r="I228" s="100" t="b">
        <v>0</v>
      </c>
      <c r="J228" s="100" t="b">
        <v>0</v>
      </c>
      <c r="K228" s="100" t="b">
        <v>0</v>
      </c>
      <c r="L228" s="100" t="b">
        <v>0</v>
      </c>
    </row>
    <row r="229" spans="1:12" ht="15">
      <c r="A229" s="102" t="s">
        <v>718</v>
      </c>
      <c r="B229" s="100" t="s">
        <v>805</v>
      </c>
      <c r="C229" s="100">
        <v>2</v>
      </c>
      <c r="D229" s="104">
        <v>0.009140497406997438</v>
      </c>
      <c r="E229" s="104">
        <v>1.151267675330649</v>
      </c>
      <c r="F229" s="100" t="s">
        <v>688</v>
      </c>
      <c r="G229" s="100" t="b">
        <v>0</v>
      </c>
      <c r="H229" s="100" t="b">
        <v>0</v>
      </c>
      <c r="I229" s="100" t="b">
        <v>0</v>
      </c>
      <c r="J229" s="100" t="b">
        <v>0</v>
      </c>
      <c r="K229" s="100" t="b">
        <v>0</v>
      </c>
      <c r="L229" s="100" t="b">
        <v>0</v>
      </c>
    </row>
    <row r="230" spans="1:12" ht="15">
      <c r="A230" s="102" t="s">
        <v>805</v>
      </c>
      <c r="B230" s="100" t="s">
        <v>719</v>
      </c>
      <c r="C230" s="100">
        <v>2</v>
      </c>
      <c r="D230" s="104">
        <v>0.009140497406997438</v>
      </c>
      <c r="E230" s="104">
        <v>1.3553876579865738</v>
      </c>
      <c r="F230" s="100" t="s">
        <v>688</v>
      </c>
      <c r="G230" s="100" t="b">
        <v>0</v>
      </c>
      <c r="H230" s="100" t="b">
        <v>0</v>
      </c>
      <c r="I230" s="100" t="b">
        <v>0</v>
      </c>
      <c r="J230" s="100" t="b">
        <v>0</v>
      </c>
      <c r="K230" s="100" t="b">
        <v>0</v>
      </c>
      <c r="L230" s="100" t="b">
        <v>0</v>
      </c>
    </row>
    <row r="231" spans="1:12" ht="15">
      <c r="A231" s="102" t="s">
        <v>718</v>
      </c>
      <c r="B231" s="100" t="s">
        <v>908</v>
      </c>
      <c r="C231" s="100">
        <v>2</v>
      </c>
      <c r="D231" s="104">
        <v>0.007668468088347164</v>
      </c>
      <c r="E231" s="104">
        <v>1.151267675330649</v>
      </c>
      <c r="F231" s="100" t="s">
        <v>688</v>
      </c>
      <c r="G231" s="100" t="b">
        <v>0</v>
      </c>
      <c r="H231" s="100" t="b">
        <v>0</v>
      </c>
      <c r="I231" s="100" t="b">
        <v>0</v>
      </c>
      <c r="J231" s="100" t="b">
        <v>0</v>
      </c>
      <c r="K231" s="100" t="b">
        <v>0</v>
      </c>
      <c r="L231" s="100" t="b">
        <v>0</v>
      </c>
    </row>
    <row r="232" spans="1:12" ht="15">
      <c r="A232" s="102" t="s">
        <v>908</v>
      </c>
      <c r="B232" s="100" t="s">
        <v>722</v>
      </c>
      <c r="C232" s="100">
        <v>2</v>
      </c>
      <c r="D232" s="104">
        <v>0.007668468088347164</v>
      </c>
      <c r="E232" s="104">
        <v>1.3273589343863303</v>
      </c>
      <c r="F232" s="100" t="s">
        <v>688</v>
      </c>
      <c r="G232" s="100" t="b">
        <v>0</v>
      </c>
      <c r="H232" s="100" t="b">
        <v>0</v>
      </c>
      <c r="I232" s="100" t="b">
        <v>0</v>
      </c>
      <c r="J232" s="100" t="b">
        <v>0</v>
      </c>
      <c r="K232" s="100" t="b">
        <v>0</v>
      </c>
      <c r="L232" s="100" t="b">
        <v>0</v>
      </c>
    </row>
    <row r="233" spans="1:12" ht="15">
      <c r="A233" s="102" t="s">
        <v>800</v>
      </c>
      <c r="B233" s="100" t="s">
        <v>719</v>
      </c>
      <c r="C233" s="100">
        <v>2</v>
      </c>
      <c r="D233" s="104">
        <v>0.009140497406997438</v>
      </c>
      <c r="E233" s="104">
        <v>1.3553876579865738</v>
      </c>
      <c r="F233" s="100" t="s">
        <v>688</v>
      </c>
      <c r="G233" s="100" t="b">
        <v>0</v>
      </c>
      <c r="H233" s="100" t="b">
        <v>0</v>
      </c>
      <c r="I233" s="100" t="b">
        <v>0</v>
      </c>
      <c r="J233" s="100" t="b">
        <v>0</v>
      </c>
      <c r="K233" s="100" t="b">
        <v>0</v>
      </c>
      <c r="L233" s="100" t="b">
        <v>0</v>
      </c>
    </row>
    <row r="234" spans="1:12" ht="15">
      <c r="A234" s="102" t="s">
        <v>722</v>
      </c>
      <c r="B234" s="100" t="s">
        <v>795</v>
      </c>
      <c r="C234" s="100">
        <v>2</v>
      </c>
      <c r="D234" s="104">
        <v>0.009140497406997438</v>
      </c>
      <c r="E234" s="104">
        <v>1.3273589343863303</v>
      </c>
      <c r="F234" s="100" t="s">
        <v>688</v>
      </c>
      <c r="G234" s="100" t="b">
        <v>0</v>
      </c>
      <c r="H234" s="100" t="b">
        <v>0</v>
      </c>
      <c r="I234" s="100" t="b">
        <v>0</v>
      </c>
      <c r="J234" s="100" t="b">
        <v>0</v>
      </c>
      <c r="K234" s="100" t="b">
        <v>0</v>
      </c>
      <c r="L234" s="100" t="b">
        <v>0</v>
      </c>
    </row>
    <row r="235" spans="1:12" ht="15">
      <c r="A235" s="102" t="s">
        <v>795</v>
      </c>
      <c r="B235" s="100" t="s">
        <v>725</v>
      </c>
      <c r="C235" s="100">
        <v>2</v>
      </c>
      <c r="D235" s="104">
        <v>0.009140497406997438</v>
      </c>
      <c r="E235" s="104">
        <v>1.3273589343863303</v>
      </c>
      <c r="F235" s="100" t="s">
        <v>688</v>
      </c>
      <c r="G235" s="100" t="b">
        <v>0</v>
      </c>
      <c r="H235" s="100" t="b">
        <v>0</v>
      </c>
      <c r="I235" s="100" t="b">
        <v>0</v>
      </c>
      <c r="J235" s="100" t="b">
        <v>0</v>
      </c>
      <c r="K235" s="100" t="b">
        <v>0</v>
      </c>
      <c r="L235" s="100" t="b">
        <v>0</v>
      </c>
    </row>
    <row r="236" spans="1:12" ht="15">
      <c r="A236" s="102" t="s">
        <v>718</v>
      </c>
      <c r="B236" s="100" t="s">
        <v>719</v>
      </c>
      <c r="C236" s="100">
        <v>2</v>
      </c>
      <c r="D236" s="104">
        <v>0.009140497406997438</v>
      </c>
      <c r="E236" s="104">
        <v>0.27620641193894907</v>
      </c>
      <c r="F236" s="100" t="s">
        <v>688</v>
      </c>
      <c r="G236" s="100" t="b">
        <v>0</v>
      </c>
      <c r="H236" s="100" t="b">
        <v>0</v>
      </c>
      <c r="I236" s="100" t="b">
        <v>0</v>
      </c>
      <c r="J236" s="100" t="b">
        <v>0</v>
      </c>
      <c r="K236" s="100" t="b">
        <v>0</v>
      </c>
      <c r="L236" s="100" t="b">
        <v>0</v>
      </c>
    </row>
    <row r="237" spans="1:12" ht="15">
      <c r="A237" s="102" t="s">
        <v>718</v>
      </c>
      <c r="B237" s="100" t="s">
        <v>767</v>
      </c>
      <c r="C237" s="100">
        <v>2</v>
      </c>
      <c r="D237" s="104">
        <v>0.007668468088347164</v>
      </c>
      <c r="E237" s="104">
        <v>1.151267675330649</v>
      </c>
      <c r="F237" s="100" t="s">
        <v>688</v>
      </c>
      <c r="G237" s="100" t="b">
        <v>0</v>
      </c>
      <c r="H237" s="100" t="b">
        <v>0</v>
      </c>
      <c r="I237" s="100" t="b">
        <v>0</v>
      </c>
      <c r="J237" s="100" t="b">
        <v>0</v>
      </c>
      <c r="K237" s="100" t="b">
        <v>0</v>
      </c>
      <c r="L237" s="100" t="b">
        <v>0</v>
      </c>
    </row>
    <row r="238" spans="1:12" ht="15">
      <c r="A238" s="102" t="s">
        <v>748</v>
      </c>
      <c r="B238" s="100" t="s">
        <v>759</v>
      </c>
      <c r="C238" s="100">
        <v>2</v>
      </c>
      <c r="D238" s="104">
        <v>0.009140497406997438</v>
      </c>
      <c r="E238" s="104">
        <v>1.5772364076029302</v>
      </c>
      <c r="F238" s="100" t="s">
        <v>688</v>
      </c>
      <c r="G238" s="100" t="b">
        <v>0</v>
      </c>
      <c r="H238" s="100" t="b">
        <v>0</v>
      </c>
      <c r="I238" s="100" t="b">
        <v>0</v>
      </c>
      <c r="J238" s="100" t="b">
        <v>0</v>
      </c>
      <c r="K238" s="100" t="b">
        <v>0</v>
      </c>
      <c r="L238" s="100" t="b">
        <v>0</v>
      </c>
    </row>
    <row r="239" spans="1:12" ht="15">
      <c r="A239" s="102" t="s">
        <v>809</v>
      </c>
      <c r="B239" s="100" t="s">
        <v>774</v>
      </c>
      <c r="C239" s="100">
        <v>2</v>
      </c>
      <c r="D239" s="104">
        <v>0.007668468088347164</v>
      </c>
      <c r="E239" s="104">
        <v>2.230448921378274</v>
      </c>
      <c r="F239" s="100" t="s">
        <v>688</v>
      </c>
      <c r="G239" s="100" t="b">
        <v>0</v>
      </c>
      <c r="H239" s="100" t="b">
        <v>0</v>
      </c>
      <c r="I239" s="100" t="b">
        <v>0</v>
      </c>
      <c r="J239" s="100" t="b">
        <v>0</v>
      </c>
      <c r="K239" s="100" t="b">
        <v>0</v>
      </c>
      <c r="L239" s="100" t="b">
        <v>0</v>
      </c>
    </row>
    <row r="240" spans="1:12" ht="15">
      <c r="A240" s="102" t="s">
        <v>774</v>
      </c>
      <c r="B240" s="100" t="s">
        <v>810</v>
      </c>
      <c r="C240" s="100">
        <v>2</v>
      </c>
      <c r="D240" s="104">
        <v>0.007668468088347164</v>
      </c>
      <c r="E240" s="104">
        <v>2.230448921378274</v>
      </c>
      <c r="F240" s="100" t="s">
        <v>688</v>
      </c>
      <c r="G240" s="100" t="b">
        <v>0</v>
      </c>
      <c r="H240" s="100" t="b">
        <v>0</v>
      </c>
      <c r="I240" s="100" t="b">
        <v>0</v>
      </c>
      <c r="J240" s="100" t="b">
        <v>0</v>
      </c>
      <c r="K240" s="100" t="b">
        <v>0</v>
      </c>
      <c r="L240" s="100" t="b">
        <v>0</v>
      </c>
    </row>
    <row r="241" spans="1:12" ht="15">
      <c r="A241" s="102" t="s">
        <v>810</v>
      </c>
      <c r="B241" s="100" t="s">
        <v>811</v>
      </c>
      <c r="C241" s="100">
        <v>2</v>
      </c>
      <c r="D241" s="104">
        <v>0.007668468088347164</v>
      </c>
      <c r="E241" s="104">
        <v>2.230448921378274</v>
      </c>
      <c r="F241" s="100" t="s">
        <v>688</v>
      </c>
      <c r="G241" s="100" t="b">
        <v>0</v>
      </c>
      <c r="H241" s="100" t="b">
        <v>0</v>
      </c>
      <c r="I241" s="100" t="b">
        <v>0</v>
      </c>
      <c r="J241" s="100" t="b">
        <v>0</v>
      </c>
      <c r="K241" s="100" t="b">
        <v>0</v>
      </c>
      <c r="L241" s="100" t="b">
        <v>0</v>
      </c>
    </row>
    <row r="242" spans="1:12" ht="15">
      <c r="A242" s="102" t="s">
        <v>766</v>
      </c>
      <c r="B242" s="100" t="s">
        <v>764</v>
      </c>
      <c r="C242" s="100">
        <v>2</v>
      </c>
      <c r="D242" s="104">
        <v>0.009140497406997438</v>
      </c>
      <c r="E242" s="104">
        <v>2.0543576623225928</v>
      </c>
      <c r="F242" s="100" t="s">
        <v>688</v>
      </c>
      <c r="G242" s="100" t="b">
        <v>0</v>
      </c>
      <c r="H242" s="100" t="b">
        <v>0</v>
      </c>
      <c r="I242" s="100" t="b">
        <v>0</v>
      </c>
      <c r="J242" s="100" t="b">
        <v>0</v>
      </c>
      <c r="K242" s="100" t="b">
        <v>0</v>
      </c>
      <c r="L242" s="100" t="b">
        <v>0</v>
      </c>
    </row>
    <row r="243" spans="1:12" ht="15">
      <c r="A243" s="102" t="s">
        <v>719</v>
      </c>
      <c r="B243" s="100" t="s">
        <v>718</v>
      </c>
      <c r="C243" s="100">
        <v>16</v>
      </c>
      <c r="D243" s="104">
        <v>0.02985116283548008</v>
      </c>
      <c r="E243" s="104">
        <v>1.281601443825655</v>
      </c>
      <c r="F243" s="100" t="s">
        <v>689</v>
      </c>
      <c r="G243" s="100" t="b">
        <v>0</v>
      </c>
      <c r="H243" s="100" t="b">
        <v>0</v>
      </c>
      <c r="I243" s="100" t="b">
        <v>0</v>
      </c>
      <c r="J243" s="100" t="b">
        <v>0</v>
      </c>
      <c r="K243" s="100" t="b">
        <v>0</v>
      </c>
      <c r="L243" s="100" t="b">
        <v>0</v>
      </c>
    </row>
    <row r="244" spans="1:12" ht="15">
      <c r="A244" s="102" t="s">
        <v>726</v>
      </c>
      <c r="B244" s="100" t="s">
        <v>727</v>
      </c>
      <c r="C244" s="100">
        <v>12</v>
      </c>
      <c r="D244" s="104">
        <v>0.026272477927904356</v>
      </c>
      <c r="E244" s="104">
        <v>1.4065401804339552</v>
      </c>
      <c r="F244" s="100" t="s">
        <v>689</v>
      </c>
      <c r="G244" s="100" t="b">
        <v>0</v>
      </c>
      <c r="H244" s="100" t="b">
        <v>0</v>
      </c>
      <c r="I244" s="100" t="b">
        <v>0</v>
      </c>
      <c r="J244" s="100" t="b">
        <v>0</v>
      </c>
      <c r="K244" s="100" t="b">
        <v>0</v>
      </c>
      <c r="L244" s="100" t="b">
        <v>0</v>
      </c>
    </row>
    <row r="245" spans="1:12" ht="15">
      <c r="A245" s="102" t="s">
        <v>727</v>
      </c>
      <c r="B245" s="100" t="s">
        <v>720</v>
      </c>
      <c r="C245" s="100">
        <v>12</v>
      </c>
      <c r="D245" s="104">
        <v>0.026272477927904356</v>
      </c>
      <c r="E245" s="104">
        <v>1.3717780741747432</v>
      </c>
      <c r="F245" s="100" t="s">
        <v>689</v>
      </c>
      <c r="G245" s="100" t="b">
        <v>0</v>
      </c>
      <c r="H245" s="100" t="b">
        <v>0</v>
      </c>
      <c r="I245" s="100" t="b">
        <v>0</v>
      </c>
      <c r="J245" s="100" t="b">
        <v>1</v>
      </c>
      <c r="K245" s="100" t="b">
        <v>0</v>
      </c>
      <c r="L245" s="100" t="b">
        <v>0</v>
      </c>
    </row>
    <row r="246" spans="1:12" ht="15">
      <c r="A246" s="102" t="s">
        <v>720</v>
      </c>
      <c r="B246" s="100" t="s">
        <v>728</v>
      </c>
      <c r="C246" s="100">
        <v>12</v>
      </c>
      <c r="D246" s="104">
        <v>0.026272477927904356</v>
      </c>
      <c r="E246" s="104">
        <v>1.3717780741747432</v>
      </c>
      <c r="F246" s="100" t="s">
        <v>689</v>
      </c>
      <c r="G246" s="100" t="b">
        <v>1</v>
      </c>
      <c r="H246" s="100" t="b">
        <v>0</v>
      </c>
      <c r="I246" s="100" t="b">
        <v>0</v>
      </c>
      <c r="J246" s="100" t="b">
        <v>0</v>
      </c>
      <c r="K246" s="100" t="b">
        <v>1</v>
      </c>
      <c r="L246" s="100" t="b">
        <v>0</v>
      </c>
    </row>
    <row r="247" spans="1:12" ht="15">
      <c r="A247" s="102" t="s">
        <v>728</v>
      </c>
      <c r="B247" s="100" t="s">
        <v>729</v>
      </c>
      <c r="C247" s="100">
        <v>12</v>
      </c>
      <c r="D247" s="104">
        <v>0.026272477927904356</v>
      </c>
      <c r="E247" s="104">
        <v>1.4065401804339552</v>
      </c>
      <c r="F247" s="100" t="s">
        <v>689</v>
      </c>
      <c r="G247" s="100" t="b">
        <v>0</v>
      </c>
      <c r="H247" s="100" t="b">
        <v>1</v>
      </c>
      <c r="I247" s="100" t="b">
        <v>0</v>
      </c>
      <c r="J247" s="100" t="b">
        <v>0</v>
      </c>
      <c r="K247" s="100" t="b">
        <v>0</v>
      </c>
      <c r="L247" s="100" t="b">
        <v>0</v>
      </c>
    </row>
    <row r="248" spans="1:12" ht="15">
      <c r="A248" s="102" t="s">
        <v>729</v>
      </c>
      <c r="B248" s="100" t="s">
        <v>730</v>
      </c>
      <c r="C248" s="100">
        <v>12</v>
      </c>
      <c r="D248" s="104">
        <v>0.026272477927904356</v>
      </c>
      <c r="E248" s="104">
        <v>1.4065401804339552</v>
      </c>
      <c r="F248" s="100" t="s">
        <v>689</v>
      </c>
      <c r="G248" s="100" t="b">
        <v>0</v>
      </c>
      <c r="H248" s="100" t="b">
        <v>0</v>
      </c>
      <c r="I248" s="100" t="b">
        <v>0</v>
      </c>
      <c r="J248" s="100" t="b">
        <v>0</v>
      </c>
      <c r="K248" s="100" t="b">
        <v>0</v>
      </c>
      <c r="L248" s="100" t="b">
        <v>0</v>
      </c>
    </row>
    <row r="249" spans="1:12" ht="15">
      <c r="A249" s="102" t="s">
        <v>730</v>
      </c>
      <c r="B249" s="100" t="s">
        <v>731</v>
      </c>
      <c r="C249" s="100">
        <v>12</v>
      </c>
      <c r="D249" s="104">
        <v>0.026272477927904356</v>
      </c>
      <c r="E249" s="104">
        <v>1.4065401804339552</v>
      </c>
      <c r="F249" s="100" t="s">
        <v>689</v>
      </c>
      <c r="G249" s="100" t="b">
        <v>0</v>
      </c>
      <c r="H249" s="100" t="b">
        <v>0</v>
      </c>
      <c r="I249" s="100" t="b">
        <v>0</v>
      </c>
      <c r="J249" s="100" t="b">
        <v>0</v>
      </c>
      <c r="K249" s="100" t="b">
        <v>0</v>
      </c>
      <c r="L249" s="100" t="b">
        <v>0</v>
      </c>
    </row>
    <row r="250" spans="1:12" ht="15">
      <c r="A250" s="102" t="s">
        <v>718</v>
      </c>
      <c r="B250" s="100" t="s">
        <v>744</v>
      </c>
      <c r="C250" s="100">
        <v>11</v>
      </c>
      <c r="D250" s="104">
        <v>0.02515998085476742</v>
      </c>
      <c r="E250" s="104">
        <v>1.1432987456593737</v>
      </c>
      <c r="F250" s="100" t="s">
        <v>689</v>
      </c>
      <c r="G250" s="100" t="b">
        <v>0</v>
      </c>
      <c r="H250" s="100" t="b">
        <v>0</v>
      </c>
      <c r="I250" s="100" t="b">
        <v>0</v>
      </c>
      <c r="J250" s="100" t="b">
        <v>0</v>
      </c>
      <c r="K250" s="100" t="b">
        <v>0</v>
      </c>
      <c r="L250" s="100" t="b">
        <v>0</v>
      </c>
    </row>
    <row r="251" spans="1:12" ht="15">
      <c r="A251" s="102" t="s">
        <v>744</v>
      </c>
      <c r="B251" s="100" t="s">
        <v>745</v>
      </c>
      <c r="C251" s="100">
        <v>9</v>
      </c>
      <c r="D251" s="104">
        <v>0.022617437796898992</v>
      </c>
      <c r="E251" s="104">
        <v>1.339593390803342</v>
      </c>
      <c r="F251" s="100" t="s">
        <v>689</v>
      </c>
      <c r="G251" s="100" t="b">
        <v>0</v>
      </c>
      <c r="H251" s="100" t="b">
        <v>0</v>
      </c>
      <c r="I251" s="100" t="b">
        <v>0</v>
      </c>
      <c r="J251" s="100" t="b">
        <v>0</v>
      </c>
      <c r="K251" s="100" t="b">
        <v>0</v>
      </c>
      <c r="L251" s="100" t="b">
        <v>0</v>
      </c>
    </row>
    <row r="252" spans="1:12" ht="15">
      <c r="A252" s="102" t="s">
        <v>721</v>
      </c>
      <c r="B252" s="100" t="s">
        <v>722</v>
      </c>
      <c r="C252" s="100">
        <v>6</v>
      </c>
      <c r="D252" s="104">
        <v>0.017815461694480384</v>
      </c>
      <c r="E252" s="104">
        <v>1.7075701760979363</v>
      </c>
      <c r="F252" s="100" t="s">
        <v>689</v>
      </c>
      <c r="G252" s="100" t="b">
        <v>0</v>
      </c>
      <c r="H252" s="100" t="b">
        <v>0</v>
      </c>
      <c r="I252" s="100" t="b">
        <v>0</v>
      </c>
      <c r="J252" s="100" t="b">
        <v>0</v>
      </c>
      <c r="K252" s="100" t="b">
        <v>0</v>
      </c>
      <c r="L252" s="100" t="b">
        <v>0</v>
      </c>
    </row>
    <row r="253" spans="1:12" ht="15">
      <c r="A253" s="102" t="s">
        <v>764</v>
      </c>
      <c r="B253" s="100" t="s">
        <v>765</v>
      </c>
      <c r="C253" s="100">
        <v>6</v>
      </c>
      <c r="D253" s="104">
        <v>0.025231854254889646</v>
      </c>
      <c r="E253" s="104">
        <v>1.7075701760979363</v>
      </c>
      <c r="F253" s="100" t="s">
        <v>689</v>
      </c>
      <c r="G253" s="100" t="b">
        <v>0</v>
      </c>
      <c r="H253" s="100" t="b">
        <v>0</v>
      </c>
      <c r="I253" s="100" t="b">
        <v>0</v>
      </c>
      <c r="J253" s="100" t="b">
        <v>0</v>
      </c>
      <c r="K253" s="100" t="b">
        <v>0</v>
      </c>
      <c r="L253" s="100" t="b">
        <v>0</v>
      </c>
    </row>
    <row r="254" spans="1:12" ht="15">
      <c r="A254" s="102" t="s">
        <v>765</v>
      </c>
      <c r="B254" s="100" t="s">
        <v>766</v>
      </c>
      <c r="C254" s="100">
        <v>6</v>
      </c>
      <c r="D254" s="104">
        <v>0.025231854254889646</v>
      </c>
      <c r="E254" s="104">
        <v>1.7075701760979363</v>
      </c>
      <c r="F254" s="100" t="s">
        <v>689</v>
      </c>
      <c r="G254" s="100" t="b">
        <v>0</v>
      </c>
      <c r="H254" s="100" t="b">
        <v>0</v>
      </c>
      <c r="I254" s="100" t="b">
        <v>0</v>
      </c>
      <c r="J254" s="100" t="b">
        <v>0</v>
      </c>
      <c r="K254" s="100" t="b">
        <v>0</v>
      </c>
      <c r="L254" s="100" t="b">
        <v>0</v>
      </c>
    </row>
    <row r="255" spans="1:12" ht="15">
      <c r="A255" s="102" t="s">
        <v>718</v>
      </c>
      <c r="B255" s="100" t="s">
        <v>760</v>
      </c>
      <c r="C255" s="100">
        <v>5</v>
      </c>
      <c r="D255" s="104">
        <v>0.01587188188764071</v>
      </c>
      <c r="E255" s="104">
        <v>1.1432987456593737</v>
      </c>
      <c r="F255" s="100" t="s">
        <v>689</v>
      </c>
      <c r="G255" s="100" t="b">
        <v>0</v>
      </c>
      <c r="H255" s="100" t="b">
        <v>0</v>
      </c>
      <c r="I255" s="100" t="b">
        <v>0</v>
      </c>
      <c r="J255" s="100" t="b">
        <v>0</v>
      </c>
      <c r="K255" s="100" t="b">
        <v>0</v>
      </c>
      <c r="L255" s="100" t="b">
        <v>0</v>
      </c>
    </row>
    <row r="256" spans="1:12" ht="15">
      <c r="A256" s="102" t="s">
        <v>760</v>
      </c>
      <c r="B256" s="100" t="s">
        <v>740</v>
      </c>
      <c r="C256" s="100">
        <v>5</v>
      </c>
      <c r="D256" s="104">
        <v>0.01587188188764071</v>
      </c>
      <c r="E256" s="104">
        <v>1.7075701760979363</v>
      </c>
      <c r="F256" s="100" t="s">
        <v>689</v>
      </c>
      <c r="G256" s="100" t="b">
        <v>0</v>
      </c>
      <c r="H256" s="100" t="b">
        <v>0</v>
      </c>
      <c r="I256" s="100" t="b">
        <v>0</v>
      </c>
      <c r="J256" s="100" t="b">
        <v>0</v>
      </c>
      <c r="K256" s="100" t="b">
        <v>0</v>
      </c>
      <c r="L256" s="100" t="b">
        <v>0</v>
      </c>
    </row>
    <row r="257" spans="1:12" ht="15">
      <c r="A257" s="102" t="s">
        <v>740</v>
      </c>
      <c r="B257" s="100" t="s">
        <v>761</v>
      </c>
      <c r="C257" s="100">
        <v>5</v>
      </c>
      <c r="D257" s="104">
        <v>0.01587188188764071</v>
      </c>
      <c r="E257" s="104">
        <v>1.7075701760979363</v>
      </c>
      <c r="F257" s="100" t="s">
        <v>689</v>
      </c>
      <c r="G257" s="100" t="b">
        <v>0</v>
      </c>
      <c r="H257" s="100" t="b">
        <v>0</v>
      </c>
      <c r="I257" s="100" t="b">
        <v>0</v>
      </c>
      <c r="J257" s="100" t="b">
        <v>0</v>
      </c>
      <c r="K257" s="100" t="b">
        <v>0</v>
      </c>
      <c r="L257" s="100" t="b">
        <v>0</v>
      </c>
    </row>
    <row r="258" spans="1:12" ht="15">
      <c r="A258" s="102" t="s">
        <v>725</v>
      </c>
      <c r="B258" s="100" t="s">
        <v>723</v>
      </c>
      <c r="C258" s="100">
        <v>5</v>
      </c>
      <c r="D258" s="104">
        <v>0.01587188188764071</v>
      </c>
      <c r="E258" s="104">
        <v>1.7075701760979363</v>
      </c>
      <c r="F258" s="100" t="s">
        <v>689</v>
      </c>
      <c r="G258" s="100" t="b">
        <v>0</v>
      </c>
      <c r="H258" s="100" t="b">
        <v>0</v>
      </c>
      <c r="I258" s="100" t="b">
        <v>0</v>
      </c>
      <c r="J258" s="100" t="b">
        <v>0</v>
      </c>
      <c r="K258" s="100" t="b">
        <v>0</v>
      </c>
      <c r="L258" s="100" t="b">
        <v>0</v>
      </c>
    </row>
    <row r="259" spans="1:12" ht="15">
      <c r="A259" s="102" t="s">
        <v>742</v>
      </c>
      <c r="B259" s="100" t="s">
        <v>743</v>
      </c>
      <c r="C259" s="100">
        <v>4</v>
      </c>
      <c r="D259" s="104">
        <v>0.013701754349574293</v>
      </c>
      <c r="E259" s="104">
        <v>1.8836614351536176</v>
      </c>
      <c r="F259" s="100" t="s">
        <v>689</v>
      </c>
      <c r="G259" s="100" t="b">
        <v>0</v>
      </c>
      <c r="H259" s="100" t="b">
        <v>0</v>
      </c>
      <c r="I259" s="100" t="b">
        <v>0</v>
      </c>
      <c r="J259" s="100" t="b">
        <v>0</v>
      </c>
      <c r="K259" s="100" t="b">
        <v>0</v>
      </c>
      <c r="L259" s="100" t="b">
        <v>0</v>
      </c>
    </row>
    <row r="260" spans="1:12" ht="15">
      <c r="A260" s="102" t="s">
        <v>766</v>
      </c>
      <c r="B260" s="100" t="s">
        <v>764</v>
      </c>
      <c r="C260" s="100">
        <v>4</v>
      </c>
      <c r="D260" s="104">
        <v>0.01682123616992643</v>
      </c>
      <c r="E260" s="104">
        <v>1.5314789170422551</v>
      </c>
      <c r="F260" s="100" t="s">
        <v>689</v>
      </c>
      <c r="G260" s="100" t="b">
        <v>0</v>
      </c>
      <c r="H260" s="100" t="b">
        <v>0</v>
      </c>
      <c r="I260" s="100" t="b">
        <v>0</v>
      </c>
      <c r="J260" s="100" t="b">
        <v>0</v>
      </c>
      <c r="K260" s="100" t="b">
        <v>0</v>
      </c>
      <c r="L260" s="100" t="b">
        <v>0</v>
      </c>
    </row>
    <row r="261" spans="1:12" ht="15">
      <c r="A261" s="102" t="s">
        <v>822</v>
      </c>
      <c r="B261" s="100" t="s">
        <v>823</v>
      </c>
      <c r="C261" s="100">
        <v>4</v>
      </c>
      <c r="D261" s="104">
        <v>0.013701754349574293</v>
      </c>
      <c r="E261" s="104">
        <v>1.8836614351536176</v>
      </c>
      <c r="F261" s="100" t="s">
        <v>689</v>
      </c>
      <c r="G261" s="100" t="b">
        <v>0</v>
      </c>
      <c r="H261" s="100" t="b">
        <v>0</v>
      </c>
      <c r="I261" s="100" t="b">
        <v>0</v>
      </c>
      <c r="J261" s="100" t="b">
        <v>0</v>
      </c>
      <c r="K261" s="100" t="b">
        <v>0</v>
      </c>
      <c r="L261" s="100" t="b">
        <v>0</v>
      </c>
    </row>
    <row r="262" spans="1:12" ht="15">
      <c r="A262" s="102" t="s">
        <v>823</v>
      </c>
      <c r="B262" s="100" t="s">
        <v>824</v>
      </c>
      <c r="C262" s="100">
        <v>4</v>
      </c>
      <c r="D262" s="104">
        <v>0.013701754349574293</v>
      </c>
      <c r="E262" s="104">
        <v>1.8836614351536176</v>
      </c>
      <c r="F262" s="100" t="s">
        <v>689</v>
      </c>
      <c r="G262" s="100" t="b">
        <v>0</v>
      </c>
      <c r="H262" s="100" t="b">
        <v>0</v>
      </c>
      <c r="I262" s="100" t="b">
        <v>0</v>
      </c>
      <c r="J262" s="100" t="b">
        <v>0</v>
      </c>
      <c r="K262" s="100" t="b">
        <v>1</v>
      </c>
      <c r="L262" s="100" t="b">
        <v>0</v>
      </c>
    </row>
    <row r="263" spans="1:12" ht="15">
      <c r="A263" s="102" t="s">
        <v>824</v>
      </c>
      <c r="B263" s="100" t="s">
        <v>825</v>
      </c>
      <c r="C263" s="100">
        <v>4</v>
      </c>
      <c r="D263" s="104">
        <v>0.013701754349574293</v>
      </c>
      <c r="E263" s="104">
        <v>1.8836614351536176</v>
      </c>
      <c r="F263" s="100" t="s">
        <v>689</v>
      </c>
      <c r="G263" s="100" t="b">
        <v>0</v>
      </c>
      <c r="H263" s="100" t="b">
        <v>1</v>
      </c>
      <c r="I263" s="100" t="b">
        <v>0</v>
      </c>
      <c r="J263" s="100" t="b">
        <v>0</v>
      </c>
      <c r="K263" s="100" t="b">
        <v>0</v>
      </c>
      <c r="L263" s="100" t="b">
        <v>0</v>
      </c>
    </row>
    <row r="264" spans="1:12" ht="15">
      <c r="A264" s="102" t="s">
        <v>718</v>
      </c>
      <c r="B264" s="100" t="s">
        <v>767</v>
      </c>
      <c r="C264" s="100">
        <v>3</v>
      </c>
      <c r="D264" s="104">
        <v>0.011247342212504294</v>
      </c>
      <c r="E264" s="104">
        <v>1.1432987456593737</v>
      </c>
      <c r="F264" s="100" t="s">
        <v>689</v>
      </c>
      <c r="G264" s="100" t="b">
        <v>0</v>
      </c>
      <c r="H264" s="100" t="b">
        <v>0</v>
      </c>
      <c r="I264" s="100" t="b">
        <v>0</v>
      </c>
      <c r="J264" s="100" t="b">
        <v>0</v>
      </c>
      <c r="K264" s="100" t="b">
        <v>0</v>
      </c>
      <c r="L264" s="100" t="b">
        <v>0</v>
      </c>
    </row>
    <row r="265" spans="1:12" ht="15">
      <c r="A265" s="102" t="s">
        <v>767</v>
      </c>
      <c r="B265" s="100" t="s">
        <v>745</v>
      </c>
      <c r="C265" s="100">
        <v>3</v>
      </c>
      <c r="D265" s="104">
        <v>0.011247342212504294</v>
      </c>
      <c r="E265" s="104">
        <v>1.339593390803342</v>
      </c>
      <c r="F265" s="100" t="s">
        <v>689</v>
      </c>
      <c r="G265" s="100" t="b">
        <v>0</v>
      </c>
      <c r="H265" s="100" t="b">
        <v>0</v>
      </c>
      <c r="I265" s="100" t="b">
        <v>0</v>
      </c>
      <c r="J265" s="100" t="b">
        <v>0</v>
      </c>
      <c r="K265" s="100" t="b">
        <v>0</v>
      </c>
      <c r="L265" s="100" t="b">
        <v>0</v>
      </c>
    </row>
    <row r="266" spans="1:12" ht="15">
      <c r="A266" s="102" t="s">
        <v>798</v>
      </c>
      <c r="B266" s="100" t="s">
        <v>781</v>
      </c>
      <c r="C266" s="100">
        <v>3</v>
      </c>
      <c r="D266" s="104">
        <v>0.011247342212504294</v>
      </c>
      <c r="E266" s="104">
        <v>1.8836614351536176</v>
      </c>
      <c r="F266" s="100" t="s">
        <v>689</v>
      </c>
      <c r="G266" s="100" t="b">
        <v>0</v>
      </c>
      <c r="H266" s="100" t="b">
        <v>1</v>
      </c>
      <c r="I266" s="100" t="b">
        <v>0</v>
      </c>
      <c r="J266" s="100" t="b">
        <v>0</v>
      </c>
      <c r="K266" s="100" t="b">
        <v>0</v>
      </c>
      <c r="L266" s="100" t="b">
        <v>0</v>
      </c>
    </row>
    <row r="267" spans="1:12" ht="15">
      <c r="A267" s="102" t="s">
        <v>789</v>
      </c>
      <c r="B267" s="100" t="s">
        <v>790</v>
      </c>
      <c r="C267" s="100">
        <v>3</v>
      </c>
      <c r="D267" s="104">
        <v>0.011247342212504294</v>
      </c>
      <c r="E267" s="104">
        <v>2.0086001717619175</v>
      </c>
      <c r="F267" s="100" t="s">
        <v>689</v>
      </c>
      <c r="G267" s="100" t="b">
        <v>0</v>
      </c>
      <c r="H267" s="100" t="b">
        <v>1</v>
      </c>
      <c r="I267" s="100" t="b">
        <v>0</v>
      </c>
      <c r="J267" s="100" t="b">
        <v>0</v>
      </c>
      <c r="K267" s="100" t="b">
        <v>0</v>
      </c>
      <c r="L267" s="100" t="b">
        <v>0</v>
      </c>
    </row>
    <row r="268" spans="1:12" ht="15">
      <c r="A268" s="102" t="s">
        <v>790</v>
      </c>
      <c r="B268" s="100" t="s">
        <v>791</v>
      </c>
      <c r="C268" s="100">
        <v>3</v>
      </c>
      <c r="D268" s="104">
        <v>0.011247342212504294</v>
      </c>
      <c r="E268" s="104">
        <v>2.0086001717619175</v>
      </c>
      <c r="F268" s="100" t="s">
        <v>689</v>
      </c>
      <c r="G268" s="100" t="b">
        <v>0</v>
      </c>
      <c r="H268" s="100" t="b">
        <v>0</v>
      </c>
      <c r="I268" s="100" t="b">
        <v>0</v>
      </c>
      <c r="J268" s="100" t="b">
        <v>0</v>
      </c>
      <c r="K268" s="100" t="b">
        <v>0</v>
      </c>
      <c r="L268" s="100" t="b">
        <v>0</v>
      </c>
    </row>
    <row r="269" spans="1:12" ht="15">
      <c r="A269" s="102" t="s">
        <v>797</v>
      </c>
      <c r="B269" s="100" t="s">
        <v>746</v>
      </c>
      <c r="C269" s="100">
        <v>3</v>
      </c>
      <c r="D269" s="104">
        <v>0.011247342212504294</v>
      </c>
      <c r="E269" s="104">
        <v>1.7867514221455612</v>
      </c>
      <c r="F269" s="100" t="s">
        <v>689</v>
      </c>
      <c r="G269" s="100" t="b">
        <v>1</v>
      </c>
      <c r="H269" s="100" t="b">
        <v>0</v>
      </c>
      <c r="I269" s="100" t="b">
        <v>0</v>
      </c>
      <c r="J269" s="100" t="b">
        <v>0</v>
      </c>
      <c r="K269" s="100" t="b">
        <v>0</v>
      </c>
      <c r="L269" s="100" t="b">
        <v>0</v>
      </c>
    </row>
    <row r="270" spans="1:12" ht="15">
      <c r="A270" s="102" t="s">
        <v>722</v>
      </c>
      <c r="B270" s="100" t="s">
        <v>725</v>
      </c>
      <c r="C270" s="100">
        <v>3</v>
      </c>
      <c r="D270" s="104">
        <v>0.011247342212504294</v>
      </c>
      <c r="E270" s="104">
        <v>1.48572142648158</v>
      </c>
      <c r="F270" s="100" t="s">
        <v>689</v>
      </c>
      <c r="G270" s="100" t="b">
        <v>0</v>
      </c>
      <c r="H270" s="100" t="b">
        <v>0</v>
      </c>
      <c r="I270" s="100" t="b">
        <v>0</v>
      </c>
      <c r="J270" s="100" t="b">
        <v>0</v>
      </c>
      <c r="K270" s="100" t="b">
        <v>0</v>
      </c>
      <c r="L270" s="100" t="b">
        <v>0</v>
      </c>
    </row>
    <row r="271" spans="1:12" ht="15">
      <c r="A271" s="102" t="s">
        <v>718</v>
      </c>
      <c r="B271" s="100" t="s">
        <v>858</v>
      </c>
      <c r="C271" s="100">
        <v>2</v>
      </c>
      <c r="D271" s="104">
        <v>0.008410618084963215</v>
      </c>
      <c r="E271" s="104">
        <v>1.1432987456593737</v>
      </c>
      <c r="F271" s="100" t="s">
        <v>689</v>
      </c>
      <c r="G271" s="100" t="b">
        <v>0</v>
      </c>
      <c r="H271" s="100" t="b">
        <v>0</v>
      </c>
      <c r="I271" s="100" t="b">
        <v>0</v>
      </c>
      <c r="J271" s="100" t="b">
        <v>0</v>
      </c>
      <c r="K271" s="100" t="b">
        <v>0</v>
      </c>
      <c r="L271" s="100" t="b">
        <v>0</v>
      </c>
    </row>
    <row r="272" spans="1:12" ht="15">
      <c r="A272" s="102" t="s">
        <v>858</v>
      </c>
      <c r="B272" s="100" t="s">
        <v>745</v>
      </c>
      <c r="C272" s="100">
        <v>2</v>
      </c>
      <c r="D272" s="104">
        <v>0.008410618084963215</v>
      </c>
      <c r="E272" s="104">
        <v>1.339593390803342</v>
      </c>
      <c r="F272" s="100" t="s">
        <v>689</v>
      </c>
      <c r="G272" s="100" t="b">
        <v>0</v>
      </c>
      <c r="H272" s="100" t="b">
        <v>0</v>
      </c>
      <c r="I272" s="100" t="b">
        <v>0</v>
      </c>
      <c r="J272" s="100" t="b">
        <v>0</v>
      </c>
      <c r="K272" s="100" t="b">
        <v>0</v>
      </c>
      <c r="L272" s="100" t="b">
        <v>0</v>
      </c>
    </row>
    <row r="273" spans="1:12" ht="15">
      <c r="A273" s="102" t="s">
        <v>842</v>
      </c>
      <c r="B273" s="100" t="s">
        <v>721</v>
      </c>
      <c r="C273" s="100">
        <v>2</v>
      </c>
      <c r="D273" s="104">
        <v>0.008410618084963215</v>
      </c>
      <c r="E273" s="104">
        <v>2.184691430817599</v>
      </c>
      <c r="F273" s="100" t="s">
        <v>689</v>
      </c>
      <c r="G273" s="100" t="b">
        <v>0</v>
      </c>
      <c r="H273" s="100" t="b">
        <v>0</v>
      </c>
      <c r="I273" s="100" t="b">
        <v>0</v>
      </c>
      <c r="J273" s="100" t="b">
        <v>0</v>
      </c>
      <c r="K273" s="100" t="b">
        <v>0</v>
      </c>
      <c r="L273" s="100" t="b">
        <v>0</v>
      </c>
    </row>
    <row r="274" spans="1:12" ht="15">
      <c r="A274" s="102" t="s">
        <v>722</v>
      </c>
      <c r="B274" s="100" t="s">
        <v>768</v>
      </c>
      <c r="C274" s="100">
        <v>2</v>
      </c>
      <c r="D274" s="104">
        <v>0.008410618084963215</v>
      </c>
      <c r="E274" s="104">
        <v>1.7075701760979365</v>
      </c>
      <c r="F274" s="100" t="s">
        <v>689</v>
      </c>
      <c r="G274" s="100" t="b">
        <v>0</v>
      </c>
      <c r="H274" s="100" t="b">
        <v>0</v>
      </c>
      <c r="I274" s="100" t="b">
        <v>0</v>
      </c>
      <c r="J274" s="100" t="b">
        <v>0</v>
      </c>
      <c r="K274" s="100" t="b">
        <v>0</v>
      </c>
      <c r="L274" s="100" t="b">
        <v>0</v>
      </c>
    </row>
    <row r="275" spans="1:12" ht="15">
      <c r="A275" s="102" t="s">
        <v>768</v>
      </c>
      <c r="B275" s="100" t="s">
        <v>725</v>
      </c>
      <c r="C275" s="100">
        <v>2</v>
      </c>
      <c r="D275" s="104">
        <v>0.008410618084963215</v>
      </c>
      <c r="E275" s="104">
        <v>1.7867514221455612</v>
      </c>
      <c r="F275" s="100" t="s">
        <v>689</v>
      </c>
      <c r="G275" s="100" t="b">
        <v>0</v>
      </c>
      <c r="H275" s="100" t="b">
        <v>0</v>
      </c>
      <c r="I275" s="100" t="b">
        <v>0</v>
      </c>
      <c r="J275" s="100" t="b">
        <v>0</v>
      </c>
      <c r="K275" s="100" t="b">
        <v>0</v>
      </c>
      <c r="L275" s="100" t="b">
        <v>0</v>
      </c>
    </row>
    <row r="276" spans="1:12" ht="15">
      <c r="A276" s="102" t="s">
        <v>723</v>
      </c>
      <c r="B276" s="100" t="s">
        <v>798</v>
      </c>
      <c r="C276" s="100">
        <v>2</v>
      </c>
      <c r="D276" s="104">
        <v>0.008410618084963215</v>
      </c>
      <c r="E276" s="104">
        <v>1.8325089127062364</v>
      </c>
      <c r="F276" s="100" t="s">
        <v>689</v>
      </c>
      <c r="G276" s="100" t="b">
        <v>0</v>
      </c>
      <c r="H276" s="100" t="b">
        <v>0</v>
      </c>
      <c r="I276" s="100" t="b">
        <v>0</v>
      </c>
      <c r="J276" s="100" t="b">
        <v>0</v>
      </c>
      <c r="K276" s="100" t="b">
        <v>1</v>
      </c>
      <c r="L276" s="100" t="b">
        <v>0</v>
      </c>
    </row>
    <row r="277" spans="1:12" ht="15">
      <c r="A277" s="102" t="s">
        <v>780</v>
      </c>
      <c r="B277" s="100" t="s">
        <v>746</v>
      </c>
      <c r="C277" s="100">
        <v>2</v>
      </c>
      <c r="D277" s="104">
        <v>0.008410618084963215</v>
      </c>
      <c r="E277" s="104">
        <v>1.7867514221455612</v>
      </c>
      <c r="F277" s="100" t="s">
        <v>689</v>
      </c>
      <c r="G277" s="100" t="b">
        <v>0</v>
      </c>
      <c r="H277" s="100" t="b">
        <v>1</v>
      </c>
      <c r="I277" s="100" t="b">
        <v>0</v>
      </c>
      <c r="J277" s="100" t="b">
        <v>0</v>
      </c>
      <c r="K277" s="100" t="b">
        <v>0</v>
      </c>
      <c r="L277" s="100" t="b">
        <v>0</v>
      </c>
    </row>
    <row r="278" spans="1:12" ht="15">
      <c r="A278" s="102" t="s">
        <v>724</v>
      </c>
      <c r="B278" s="100" t="s">
        <v>764</v>
      </c>
      <c r="C278" s="100">
        <v>2</v>
      </c>
      <c r="D278" s="104">
        <v>0.008410618084963215</v>
      </c>
      <c r="E278" s="104">
        <v>1.3096301674258988</v>
      </c>
      <c r="F278" s="100" t="s">
        <v>689</v>
      </c>
      <c r="G278" s="100" t="b">
        <v>0</v>
      </c>
      <c r="H278" s="100" t="b">
        <v>0</v>
      </c>
      <c r="I278" s="100" t="b">
        <v>0</v>
      </c>
      <c r="J278" s="100" t="b">
        <v>0</v>
      </c>
      <c r="K278" s="100" t="b">
        <v>0</v>
      </c>
      <c r="L278" s="100" t="b">
        <v>0</v>
      </c>
    </row>
    <row r="279" spans="1:12" ht="15">
      <c r="A279" s="102" t="s">
        <v>801</v>
      </c>
      <c r="B279" s="100" t="s">
        <v>802</v>
      </c>
      <c r="C279" s="100">
        <v>2</v>
      </c>
      <c r="D279" s="104">
        <v>0.008410618084963215</v>
      </c>
      <c r="E279" s="104">
        <v>2.184691430817599</v>
      </c>
      <c r="F279" s="100" t="s">
        <v>689</v>
      </c>
      <c r="G279" s="100" t="b">
        <v>0</v>
      </c>
      <c r="H279" s="100" t="b">
        <v>0</v>
      </c>
      <c r="I279" s="100" t="b">
        <v>0</v>
      </c>
      <c r="J279" s="100" t="b">
        <v>0</v>
      </c>
      <c r="K279" s="100" t="b">
        <v>0</v>
      </c>
      <c r="L279" s="100" t="b">
        <v>0</v>
      </c>
    </row>
    <row r="280" spans="1:12" ht="15">
      <c r="A280" s="102" t="s">
        <v>802</v>
      </c>
      <c r="B280" s="100" t="s">
        <v>803</v>
      </c>
      <c r="C280" s="100">
        <v>2</v>
      </c>
      <c r="D280" s="104">
        <v>0.008410618084963215</v>
      </c>
      <c r="E280" s="104">
        <v>2.184691430817599</v>
      </c>
      <c r="F280" s="100" t="s">
        <v>689</v>
      </c>
      <c r="G280" s="100" t="b">
        <v>0</v>
      </c>
      <c r="H280" s="100" t="b">
        <v>0</v>
      </c>
      <c r="I280" s="100" t="b">
        <v>0</v>
      </c>
      <c r="J280" s="100" t="b">
        <v>0</v>
      </c>
      <c r="K280" s="100" t="b">
        <v>0</v>
      </c>
      <c r="L280" s="100" t="b">
        <v>0</v>
      </c>
    </row>
    <row r="281" spans="1:12" ht="15">
      <c r="A281" s="102" t="s">
        <v>838</v>
      </c>
      <c r="B281" s="100" t="s">
        <v>838</v>
      </c>
      <c r="C281" s="100">
        <v>2</v>
      </c>
      <c r="D281" s="104">
        <v>0.009970358995139284</v>
      </c>
      <c r="E281" s="104">
        <v>1.8325089127062364</v>
      </c>
      <c r="F281" s="100" t="s">
        <v>689</v>
      </c>
      <c r="G281" s="100" t="b">
        <v>0</v>
      </c>
      <c r="H281" s="100" t="b">
        <v>0</v>
      </c>
      <c r="I281" s="100" t="b">
        <v>0</v>
      </c>
      <c r="J281" s="100" t="b">
        <v>0</v>
      </c>
      <c r="K281" s="100" t="b">
        <v>0</v>
      </c>
      <c r="L281" s="100" t="b">
        <v>0</v>
      </c>
    </row>
    <row r="282" spans="1:12" ht="15">
      <c r="A282" s="102" t="s">
        <v>796</v>
      </c>
      <c r="B282" s="100" t="s">
        <v>884</v>
      </c>
      <c r="C282" s="100">
        <v>2</v>
      </c>
      <c r="D282" s="104">
        <v>0.008410618084963215</v>
      </c>
      <c r="E282" s="104">
        <v>2.0086001717619175</v>
      </c>
      <c r="F282" s="100" t="s">
        <v>689</v>
      </c>
      <c r="G282" s="100" t="b">
        <v>0</v>
      </c>
      <c r="H282" s="100" t="b">
        <v>0</v>
      </c>
      <c r="I282" s="100" t="b">
        <v>0</v>
      </c>
      <c r="J282" s="100" t="b">
        <v>0</v>
      </c>
      <c r="K282" s="100" t="b">
        <v>1</v>
      </c>
      <c r="L282" s="100" t="b">
        <v>0</v>
      </c>
    </row>
    <row r="283" spans="1:12" ht="15">
      <c r="A283" s="102" t="s">
        <v>884</v>
      </c>
      <c r="B283" s="100" t="s">
        <v>837</v>
      </c>
      <c r="C283" s="100">
        <v>2</v>
      </c>
      <c r="D283" s="104">
        <v>0.008410618084963215</v>
      </c>
      <c r="E283" s="104">
        <v>2.184691430817599</v>
      </c>
      <c r="F283" s="100" t="s">
        <v>689</v>
      </c>
      <c r="G283" s="100" t="b">
        <v>0</v>
      </c>
      <c r="H283" s="100" t="b">
        <v>1</v>
      </c>
      <c r="I283" s="100" t="b">
        <v>0</v>
      </c>
      <c r="J283" s="100" t="b">
        <v>0</v>
      </c>
      <c r="K283" s="100" t="b">
        <v>0</v>
      </c>
      <c r="L283" s="100" t="b">
        <v>0</v>
      </c>
    </row>
    <row r="284" spans="1:12" ht="15">
      <c r="A284" s="102" t="s">
        <v>837</v>
      </c>
      <c r="B284" s="100" t="s">
        <v>885</v>
      </c>
      <c r="C284" s="100">
        <v>2</v>
      </c>
      <c r="D284" s="104">
        <v>0.008410618084963215</v>
      </c>
      <c r="E284" s="104">
        <v>2.184691430817599</v>
      </c>
      <c r="F284" s="100" t="s">
        <v>689</v>
      </c>
      <c r="G284" s="100" t="b">
        <v>0</v>
      </c>
      <c r="H284" s="100" t="b">
        <v>0</v>
      </c>
      <c r="I284" s="100" t="b">
        <v>0</v>
      </c>
      <c r="J284" s="100" t="b">
        <v>0</v>
      </c>
      <c r="K284" s="100" t="b">
        <v>0</v>
      </c>
      <c r="L284" s="100" t="b">
        <v>0</v>
      </c>
    </row>
    <row r="285" spans="1:12" ht="15">
      <c r="A285" s="102" t="s">
        <v>860</v>
      </c>
      <c r="B285" s="100" t="s">
        <v>860</v>
      </c>
      <c r="C285" s="100">
        <v>2</v>
      </c>
      <c r="D285" s="104">
        <v>0.009970358995139284</v>
      </c>
      <c r="E285" s="104">
        <v>1.8325089127062364</v>
      </c>
      <c r="F285" s="100" t="s">
        <v>689</v>
      </c>
      <c r="G285" s="100" t="b">
        <v>0</v>
      </c>
      <c r="H285" s="100" t="b">
        <v>0</v>
      </c>
      <c r="I285" s="100" t="b">
        <v>0</v>
      </c>
      <c r="J285" s="100" t="b">
        <v>0</v>
      </c>
      <c r="K285" s="100" t="b">
        <v>0</v>
      </c>
      <c r="L285" s="100" t="b">
        <v>0</v>
      </c>
    </row>
    <row r="286" spans="1:12" ht="15">
      <c r="A286" s="102" t="s">
        <v>793</v>
      </c>
      <c r="B286" s="100" t="s">
        <v>794</v>
      </c>
      <c r="C286" s="100">
        <v>2</v>
      </c>
      <c r="D286" s="104">
        <v>0.008410618084963215</v>
      </c>
      <c r="E286" s="104">
        <v>2.184691430817599</v>
      </c>
      <c r="F286" s="100" t="s">
        <v>689</v>
      </c>
      <c r="G286" s="100" t="b">
        <v>0</v>
      </c>
      <c r="H286" s="100" t="b">
        <v>0</v>
      </c>
      <c r="I286" s="100" t="b">
        <v>0</v>
      </c>
      <c r="J286" s="100" t="b">
        <v>0</v>
      </c>
      <c r="K286" s="100" t="b">
        <v>0</v>
      </c>
      <c r="L286" s="100" t="b">
        <v>0</v>
      </c>
    </row>
    <row r="287" spans="1:12" ht="15">
      <c r="A287" s="102" t="s">
        <v>859</v>
      </c>
      <c r="B287" s="100" t="s">
        <v>859</v>
      </c>
      <c r="C287" s="100">
        <v>2</v>
      </c>
      <c r="D287" s="104">
        <v>0.009970358995139284</v>
      </c>
      <c r="E287" s="104">
        <v>1.8325089127062364</v>
      </c>
      <c r="F287" s="100" t="s">
        <v>689</v>
      </c>
      <c r="G287" s="100" t="b">
        <v>0</v>
      </c>
      <c r="H287" s="100" t="b">
        <v>0</v>
      </c>
      <c r="I287" s="100" t="b">
        <v>0</v>
      </c>
      <c r="J287" s="100" t="b">
        <v>0</v>
      </c>
      <c r="K287" s="100" t="b">
        <v>0</v>
      </c>
      <c r="L287" s="100" t="b">
        <v>0</v>
      </c>
    </row>
    <row r="288" spans="1:12" ht="15">
      <c r="A288" s="102" t="s">
        <v>792</v>
      </c>
      <c r="B288" s="100" t="s">
        <v>739</v>
      </c>
      <c r="C288" s="100">
        <v>2</v>
      </c>
      <c r="D288" s="104">
        <v>0.008410618084963215</v>
      </c>
      <c r="E288" s="104">
        <v>1.8836614351536176</v>
      </c>
      <c r="F288" s="100" t="s">
        <v>689</v>
      </c>
      <c r="G288" s="100" t="b">
        <v>0</v>
      </c>
      <c r="H288" s="100" t="b">
        <v>0</v>
      </c>
      <c r="I288" s="100" t="b">
        <v>0</v>
      </c>
      <c r="J288" s="100" t="b">
        <v>0</v>
      </c>
      <c r="K288" s="100" t="b">
        <v>0</v>
      </c>
      <c r="L288" s="100" t="b">
        <v>0</v>
      </c>
    </row>
    <row r="289" spans="1:12" ht="15">
      <c r="A289" s="102" t="s">
        <v>739</v>
      </c>
      <c r="B289" s="100" t="s">
        <v>739</v>
      </c>
      <c r="C289" s="100">
        <v>2</v>
      </c>
      <c r="D289" s="104">
        <v>0.008410618084963215</v>
      </c>
      <c r="E289" s="104">
        <v>1.5826314394896364</v>
      </c>
      <c r="F289" s="100" t="s">
        <v>689</v>
      </c>
      <c r="G289" s="100" t="b">
        <v>0</v>
      </c>
      <c r="H289" s="100" t="b">
        <v>0</v>
      </c>
      <c r="I289" s="100" t="b">
        <v>0</v>
      </c>
      <c r="J289" s="100" t="b">
        <v>0</v>
      </c>
      <c r="K289" s="100" t="b">
        <v>0</v>
      </c>
      <c r="L289" s="100" t="b">
        <v>0</v>
      </c>
    </row>
    <row r="290" spans="1:12" ht="15">
      <c r="A290" s="102" t="s">
        <v>739</v>
      </c>
      <c r="B290" s="100" t="s">
        <v>747</v>
      </c>
      <c r="C290" s="100">
        <v>2</v>
      </c>
      <c r="D290" s="104">
        <v>0.008410618084963215</v>
      </c>
      <c r="E290" s="104">
        <v>1.8836614351536176</v>
      </c>
      <c r="F290" s="100" t="s">
        <v>689</v>
      </c>
      <c r="G290" s="100" t="b">
        <v>0</v>
      </c>
      <c r="H290" s="100" t="b">
        <v>0</v>
      </c>
      <c r="I290" s="100" t="b">
        <v>0</v>
      </c>
      <c r="J290" s="100" t="b">
        <v>0</v>
      </c>
      <c r="K290" s="100" t="b">
        <v>0</v>
      </c>
      <c r="L290" s="100" t="b">
        <v>0</v>
      </c>
    </row>
    <row r="291" spans="1:12" ht="15">
      <c r="A291" s="102" t="s">
        <v>747</v>
      </c>
      <c r="B291" s="100" t="s">
        <v>719</v>
      </c>
      <c r="C291" s="100">
        <v>2</v>
      </c>
      <c r="D291" s="104">
        <v>0.008410618084963215</v>
      </c>
      <c r="E291" s="104">
        <v>2.184691430817599</v>
      </c>
      <c r="F291" s="100" t="s">
        <v>689</v>
      </c>
      <c r="G291" s="100" t="b">
        <v>0</v>
      </c>
      <c r="H291" s="100" t="b">
        <v>0</v>
      </c>
      <c r="I291" s="100" t="b">
        <v>0</v>
      </c>
      <c r="J291" s="100" t="b">
        <v>0</v>
      </c>
      <c r="K291" s="100" t="b">
        <v>0</v>
      </c>
      <c r="L291" s="100" t="b">
        <v>0</v>
      </c>
    </row>
    <row r="292" spans="1:12" ht="15">
      <c r="A292" s="102" t="s">
        <v>901</v>
      </c>
      <c r="B292" s="100" t="s">
        <v>819</v>
      </c>
      <c r="C292" s="100">
        <v>2</v>
      </c>
      <c r="D292" s="104">
        <v>0.008410618084963215</v>
      </c>
      <c r="E292" s="104">
        <v>2.184691430817599</v>
      </c>
      <c r="F292" s="100" t="s">
        <v>689</v>
      </c>
      <c r="G292" s="100" t="b">
        <v>0</v>
      </c>
      <c r="H292" s="100" t="b">
        <v>0</v>
      </c>
      <c r="I292" s="100" t="b">
        <v>0</v>
      </c>
      <c r="J292" s="100" t="b">
        <v>0</v>
      </c>
      <c r="K292" s="100" t="b">
        <v>0</v>
      </c>
      <c r="L292" s="100" t="b">
        <v>0</v>
      </c>
    </row>
    <row r="293" spans="1:12" ht="15">
      <c r="A293" s="102" t="s">
        <v>819</v>
      </c>
      <c r="B293" s="100" t="s">
        <v>846</v>
      </c>
      <c r="C293" s="100">
        <v>2</v>
      </c>
      <c r="D293" s="104">
        <v>0.008410618084963215</v>
      </c>
      <c r="E293" s="104">
        <v>2.184691430817599</v>
      </c>
      <c r="F293" s="100" t="s">
        <v>689</v>
      </c>
      <c r="G293" s="100" t="b">
        <v>0</v>
      </c>
      <c r="H293" s="100" t="b">
        <v>0</v>
      </c>
      <c r="I293" s="100" t="b">
        <v>0</v>
      </c>
      <c r="J293" s="100" t="b">
        <v>0</v>
      </c>
      <c r="K293" s="100" t="b">
        <v>0</v>
      </c>
      <c r="L293" s="100" t="b">
        <v>0</v>
      </c>
    </row>
    <row r="294" spans="1:12" ht="15">
      <c r="A294" s="102" t="s">
        <v>846</v>
      </c>
      <c r="B294" s="100" t="s">
        <v>902</v>
      </c>
      <c r="C294" s="100">
        <v>2</v>
      </c>
      <c r="D294" s="104">
        <v>0.008410618084963215</v>
      </c>
      <c r="E294" s="104">
        <v>2.184691430817599</v>
      </c>
      <c r="F294" s="100" t="s">
        <v>689</v>
      </c>
      <c r="G294" s="100" t="b">
        <v>0</v>
      </c>
      <c r="H294" s="100" t="b">
        <v>0</v>
      </c>
      <c r="I294" s="100" t="b">
        <v>0</v>
      </c>
      <c r="J294" s="100" t="b">
        <v>0</v>
      </c>
      <c r="K294" s="100" t="b">
        <v>0</v>
      </c>
      <c r="L294" s="100" t="b">
        <v>0</v>
      </c>
    </row>
    <row r="295" spans="1:12" ht="15">
      <c r="A295" s="102" t="s">
        <v>731</v>
      </c>
      <c r="B295" s="100" t="s">
        <v>818</v>
      </c>
      <c r="C295" s="100">
        <v>2</v>
      </c>
      <c r="D295" s="104">
        <v>0.008410618084963215</v>
      </c>
      <c r="E295" s="104">
        <v>1.8836614351536176</v>
      </c>
      <c r="F295" s="100" t="s">
        <v>689</v>
      </c>
      <c r="G295" s="100" t="b">
        <v>0</v>
      </c>
      <c r="H295" s="100" t="b">
        <v>0</v>
      </c>
      <c r="I295" s="100" t="b">
        <v>0</v>
      </c>
      <c r="J295" s="100" t="b">
        <v>1</v>
      </c>
      <c r="K295" s="100" t="b">
        <v>0</v>
      </c>
      <c r="L295" s="100" t="b">
        <v>0</v>
      </c>
    </row>
    <row r="296" spans="1:12" ht="15">
      <c r="A296" s="102" t="s">
        <v>785</v>
      </c>
      <c r="B296" s="100" t="s">
        <v>912</v>
      </c>
      <c r="C296" s="100">
        <v>2</v>
      </c>
      <c r="D296" s="104">
        <v>0.008410618084963215</v>
      </c>
      <c r="E296" s="104">
        <v>2.184691430817599</v>
      </c>
      <c r="F296" s="100" t="s">
        <v>689</v>
      </c>
      <c r="G296" s="100" t="b">
        <v>1</v>
      </c>
      <c r="H296" s="100" t="b">
        <v>0</v>
      </c>
      <c r="I296" s="100" t="b">
        <v>0</v>
      </c>
      <c r="J296" s="100" t="b">
        <v>0</v>
      </c>
      <c r="K296" s="100" t="b">
        <v>0</v>
      </c>
      <c r="L296" s="100" t="b">
        <v>0</v>
      </c>
    </row>
    <row r="297" spans="1:12" ht="15">
      <c r="A297" s="102" t="s">
        <v>726</v>
      </c>
      <c r="B297" s="100" t="s">
        <v>727</v>
      </c>
      <c r="C297" s="100">
        <v>7</v>
      </c>
      <c r="D297" s="104">
        <v>0.02889316810847759</v>
      </c>
      <c r="E297" s="104">
        <v>1.367089564389701</v>
      </c>
      <c r="F297" s="100" t="s">
        <v>690</v>
      </c>
      <c r="G297" s="100" t="b">
        <v>0</v>
      </c>
      <c r="H297" s="100" t="b">
        <v>0</v>
      </c>
      <c r="I297" s="100" t="b">
        <v>0</v>
      </c>
      <c r="J297" s="100" t="b">
        <v>0</v>
      </c>
      <c r="K297" s="100" t="b">
        <v>0</v>
      </c>
      <c r="L297" s="100" t="b">
        <v>0</v>
      </c>
    </row>
    <row r="298" spans="1:12" ht="15">
      <c r="A298" s="102" t="s">
        <v>727</v>
      </c>
      <c r="B298" s="100" t="s">
        <v>720</v>
      </c>
      <c r="C298" s="100">
        <v>7</v>
      </c>
      <c r="D298" s="104">
        <v>0.02889316810847759</v>
      </c>
      <c r="E298" s="104">
        <v>1.367089564389701</v>
      </c>
      <c r="F298" s="100" t="s">
        <v>690</v>
      </c>
      <c r="G298" s="100" t="b">
        <v>0</v>
      </c>
      <c r="H298" s="100" t="b">
        <v>0</v>
      </c>
      <c r="I298" s="100" t="b">
        <v>0</v>
      </c>
      <c r="J298" s="100" t="b">
        <v>1</v>
      </c>
      <c r="K298" s="100" t="b">
        <v>0</v>
      </c>
      <c r="L298" s="100" t="b">
        <v>0</v>
      </c>
    </row>
    <row r="299" spans="1:12" ht="15">
      <c r="A299" s="102" t="s">
        <v>720</v>
      </c>
      <c r="B299" s="100" t="s">
        <v>728</v>
      </c>
      <c r="C299" s="100">
        <v>7</v>
      </c>
      <c r="D299" s="104">
        <v>0.02889316810847759</v>
      </c>
      <c r="E299" s="104">
        <v>1.257945094964633</v>
      </c>
      <c r="F299" s="100" t="s">
        <v>690</v>
      </c>
      <c r="G299" s="100" t="b">
        <v>1</v>
      </c>
      <c r="H299" s="100" t="b">
        <v>0</v>
      </c>
      <c r="I299" s="100" t="b">
        <v>0</v>
      </c>
      <c r="J299" s="100" t="b">
        <v>0</v>
      </c>
      <c r="K299" s="100" t="b">
        <v>1</v>
      </c>
      <c r="L299" s="100" t="b">
        <v>0</v>
      </c>
    </row>
    <row r="300" spans="1:12" ht="15">
      <c r="A300" s="102" t="s">
        <v>728</v>
      </c>
      <c r="B300" s="100" t="s">
        <v>729</v>
      </c>
      <c r="C300" s="100">
        <v>7</v>
      </c>
      <c r="D300" s="104">
        <v>0.02889316810847759</v>
      </c>
      <c r="E300" s="104">
        <v>1.367089564389701</v>
      </c>
      <c r="F300" s="100" t="s">
        <v>690</v>
      </c>
      <c r="G300" s="100" t="b">
        <v>0</v>
      </c>
      <c r="H300" s="100" t="b">
        <v>1</v>
      </c>
      <c r="I300" s="100" t="b">
        <v>0</v>
      </c>
      <c r="J300" s="100" t="b">
        <v>0</v>
      </c>
      <c r="K300" s="100" t="b">
        <v>0</v>
      </c>
      <c r="L300" s="100" t="b">
        <v>0</v>
      </c>
    </row>
    <row r="301" spans="1:12" ht="15">
      <c r="A301" s="102" t="s">
        <v>729</v>
      </c>
      <c r="B301" s="100" t="s">
        <v>730</v>
      </c>
      <c r="C301" s="100">
        <v>7</v>
      </c>
      <c r="D301" s="104">
        <v>0.02889316810847759</v>
      </c>
      <c r="E301" s="104">
        <v>1.367089564389701</v>
      </c>
      <c r="F301" s="100" t="s">
        <v>690</v>
      </c>
      <c r="G301" s="100" t="b">
        <v>0</v>
      </c>
      <c r="H301" s="100" t="b">
        <v>0</v>
      </c>
      <c r="I301" s="100" t="b">
        <v>0</v>
      </c>
      <c r="J301" s="100" t="b">
        <v>0</v>
      </c>
      <c r="K301" s="100" t="b">
        <v>0</v>
      </c>
      <c r="L301" s="100" t="b">
        <v>0</v>
      </c>
    </row>
    <row r="302" spans="1:12" ht="15">
      <c r="A302" s="102" t="s">
        <v>730</v>
      </c>
      <c r="B302" s="100" t="s">
        <v>731</v>
      </c>
      <c r="C302" s="100">
        <v>7</v>
      </c>
      <c r="D302" s="104">
        <v>0.02889316810847759</v>
      </c>
      <c r="E302" s="104">
        <v>1.367089564389701</v>
      </c>
      <c r="F302" s="100" t="s">
        <v>690</v>
      </c>
      <c r="G302" s="100" t="b">
        <v>0</v>
      </c>
      <c r="H302" s="100" t="b">
        <v>0</v>
      </c>
      <c r="I302" s="100" t="b">
        <v>0</v>
      </c>
      <c r="J302" s="100" t="b">
        <v>0</v>
      </c>
      <c r="K302" s="100" t="b">
        <v>0</v>
      </c>
      <c r="L302" s="100" t="b">
        <v>0</v>
      </c>
    </row>
    <row r="303" spans="1:12" ht="15">
      <c r="A303" s="102" t="s">
        <v>719</v>
      </c>
      <c r="B303" s="100" t="s">
        <v>718</v>
      </c>
      <c r="C303" s="100">
        <v>6</v>
      </c>
      <c r="D303" s="104">
        <v>0.026651397724426634</v>
      </c>
      <c r="E303" s="104">
        <v>1.434036354020314</v>
      </c>
      <c r="F303" s="100" t="s">
        <v>690</v>
      </c>
      <c r="G303" s="100" t="b">
        <v>0</v>
      </c>
      <c r="H303" s="100" t="b">
        <v>0</v>
      </c>
      <c r="I303" s="100" t="b">
        <v>0</v>
      </c>
      <c r="J303" s="100" t="b">
        <v>0</v>
      </c>
      <c r="K303" s="100" t="b">
        <v>0</v>
      </c>
      <c r="L303" s="100" t="b">
        <v>0</v>
      </c>
    </row>
    <row r="304" spans="1:12" ht="15">
      <c r="A304" s="102" t="s">
        <v>734</v>
      </c>
      <c r="B304" s="100" t="s">
        <v>735</v>
      </c>
      <c r="C304" s="100">
        <v>4</v>
      </c>
      <c r="D304" s="104">
        <v>0.02107447658728313</v>
      </c>
      <c r="E304" s="104">
        <v>1.6101276130759954</v>
      </c>
      <c r="F304" s="100" t="s">
        <v>690</v>
      </c>
      <c r="G304" s="100" t="b">
        <v>0</v>
      </c>
      <c r="H304" s="100" t="b">
        <v>0</v>
      </c>
      <c r="I304" s="100" t="b">
        <v>0</v>
      </c>
      <c r="J304" s="100" t="b">
        <v>0</v>
      </c>
      <c r="K304" s="100" t="b">
        <v>0</v>
      </c>
      <c r="L304" s="100" t="b">
        <v>0</v>
      </c>
    </row>
    <row r="305" spans="1:12" ht="15">
      <c r="A305" s="102" t="s">
        <v>735</v>
      </c>
      <c r="B305" s="100" t="s">
        <v>736</v>
      </c>
      <c r="C305" s="100">
        <v>4</v>
      </c>
      <c r="D305" s="104">
        <v>0.02107447658728313</v>
      </c>
      <c r="E305" s="104">
        <v>1.6101276130759954</v>
      </c>
      <c r="F305" s="100" t="s">
        <v>690</v>
      </c>
      <c r="G305" s="100" t="b">
        <v>0</v>
      </c>
      <c r="H305" s="100" t="b">
        <v>0</v>
      </c>
      <c r="I305" s="100" t="b">
        <v>0</v>
      </c>
      <c r="J305" s="100" t="b">
        <v>0</v>
      </c>
      <c r="K305" s="100" t="b">
        <v>0</v>
      </c>
      <c r="L305" s="100" t="b">
        <v>0</v>
      </c>
    </row>
    <row r="306" spans="1:12" ht="15">
      <c r="A306" s="102" t="s">
        <v>736</v>
      </c>
      <c r="B306" s="100" t="s">
        <v>737</v>
      </c>
      <c r="C306" s="100">
        <v>4</v>
      </c>
      <c r="D306" s="104">
        <v>0.02107447658728313</v>
      </c>
      <c r="E306" s="104">
        <v>1.6101276130759954</v>
      </c>
      <c r="F306" s="100" t="s">
        <v>690</v>
      </c>
      <c r="G306" s="100" t="b">
        <v>0</v>
      </c>
      <c r="H306" s="100" t="b">
        <v>0</v>
      </c>
      <c r="I306" s="100" t="b">
        <v>0</v>
      </c>
      <c r="J306" s="100" t="b">
        <v>0</v>
      </c>
      <c r="K306" s="100" t="b">
        <v>0</v>
      </c>
      <c r="L306" s="100" t="b">
        <v>0</v>
      </c>
    </row>
    <row r="307" spans="1:12" ht="15">
      <c r="A307" s="102" t="s">
        <v>737</v>
      </c>
      <c r="B307" s="100" t="s">
        <v>738</v>
      </c>
      <c r="C307" s="100">
        <v>4</v>
      </c>
      <c r="D307" s="104">
        <v>0.02107447658728313</v>
      </c>
      <c r="E307" s="104">
        <v>1.6101276130759954</v>
      </c>
      <c r="F307" s="100" t="s">
        <v>690</v>
      </c>
      <c r="G307" s="100" t="b">
        <v>0</v>
      </c>
      <c r="H307" s="100" t="b">
        <v>0</v>
      </c>
      <c r="I307" s="100" t="b">
        <v>0</v>
      </c>
      <c r="J307" s="100" t="b">
        <v>0</v>
      </c>
      <c r="K307" s="100" t="b">
        <v>0</v>
      </c>
      <c r="L307" s="100" t="b">
        <v>0</v>
      </c>
    </row>
    <row r="308" spans="1:12" ht="15">
      <c r="A308" s="102" t="s">
        <v>738</v>
      </c>
      <c r="B308" s="100" t="s">
        <v>733</v>
      </c>
      <c r="C308" s="100">
        <v>4</v>
      </c>
      <c r="D308" s="104">
        <v>0.02107447658728313</v>
      </c>
      <c r="E308" s="104">
        <v>1.6101276130759954</v>
      </c>
      <c r="F308" s="100" t="s">
        <v>690</v>
      </c>
      <c r="G308" s="100" t="b">
        <v>0</v>
      </c>
      <c r="H308" s="100" t="b">
        <v>0</v>
      </c>
      <c r="I308" s="100" t="b">
        <v>0</v>
      </c>
      <c r="J308" s="100" t="b">
        <v>0</v>
      </c>
      <c r="K308" s="100" t="b">
        <v>0</v>
      </c>
      <c r="L308" s="100" t="b">
        <v>0</v>
      </c>
    </row>
    <row r="309" spans="1:12" ht="15">
      <c r="A309" s="102" t="s">
        <v>792</v>
      </c>
      <c r="B309" s="100" t="s">
        <v>739</v>
      </c>
      <c r="C309" s="100">
        <v>3</v>
      </c>
      <c r="D309" s="104">
        <v>0.017565557956072207</v>
      </c>
      <c r="E309" s="104">
        <v>1.434036354020314</v>
      </c>
      <c r="F309" s="100" t="s">
        <v>690</v>
      </c>
      <c r="G309" s="100" t="b">
        <v>0</v>
      </c>
      <c r="H309" s="100" t="b">
        <v>0</v>
      </c>
      <c r="I309" s="100" t="b">
        <v>0</v>
      </c>
      <c r="J309" s="100" t="b">
        <v>0</v>
      </c>
      <c r="K309" s="100" t="b">
        <v>0</v>
      </c>
      <c r="L309" s="100" t="b">
        <v>0</v>
      </c>
    </row>
    <row r="310" spans="1:12" ht="15">
      <c r="A310" s="102" t="s">
        <v>739</v>
      </c>
      <c r="B310" s="100" t="s">
        <v>739</v>
      </c>
      <c r="C310" s="100">
        <v>3</v>
      </c>
      <c r="D310" s="104">
        <v>0.017565557956072207</v>
      </c>
      <c r="E310" s="104">
        <v>1.133006358356333</v>
      </c>
      <c r="F310" s="100" t="s">
        <v>690</v>
      </c>
      <c r="G310" s="100" t="b">
        <v>0</v>
      </c>
      <c r="H310" s="100" t="b">
        <v>0</v>
      </c>
      <c r="I310" s="100" t="b">
        <v>0</v>
      </c>
      <c r="J310" s="100" t="b">
        <v>0</v>
      </c>
      <c r="K310" s="100" t="b">
        <v>0</v>
      </c>
      <c r="L310" s="100" t="b">
        <v>0</v>
      </c>
    </row>
    <row r="311" spans="1:12" ht="15">
      <c r="A311" s="102" t="s">
        <v>739</v>
      </c>
      <c r="B311" s="100" t="s">
        <v>747</v>
      </c>
      <c r="C311" s="100">
        <v>3</v>
      </c>
      <c r="D311" s="104">
        <v>0.017565557956072207</v>
      </c>
      <c r="E311" s="104">
        <v>1.434036354020314</v>
      </c>
      <c r="F311" s="100" t="s">
        <v>690</v>
      </c>
      <c r="G311" s="100" t="b">
        <v>0</v>
      </c>
      <c r="H311" s="100" t="b">
        <v>0</v>
      </c>
      <c r="I311" s="100" t="b">
        <v>0</v>
      </c>
      <c r="J311" s="100" t="b">
        <v>0</v>
      </c>
      <c r="K311" s="100" t="b">
        <v>0</v>
      </c>
      <c r="L311" s="100" t="b">
        <v>0</v>
      </c>
    </row>
    <row r="312" spans="1:12" ht="15">
      <c r="A312" s="102" t="s">
        <v>747</v>
      </c>
      <c r="B312" s="100" t="s">
        <v>719</v>
      </c>
      <c r="C312" s="100">
        <v>3</v>
      </c>
      <c r="D312" s="104">
        <v>0.017565557956072207</v>
      </c>
      <c r="E312" s="104">
        <v>1.434036354020314</v>
      </c>
      <c r="F312" s="100" t="s">
        <v>690</v>
      </c>
      <c r="G312" s="100" t="b">
        <v>0</v>
      </c>
      <c r="H312" s="100" t="b">
        <v>0</v>
      </c>
      <c r="I312" s="100" t="b">
        <v>0</v>
      </c>
      <c r="J312" s="100" t="b">
        <v>0</v>
      </c>
      <c r="K312" s="100" t="b">
        <v>0</v>
      </c>
      <c r="L312" s="100" t="b">
        <v>0</v>
      </c>
    </row>
    <row r="313" spans="1:12" ht="15">
      <c r="A313" s="102" t="s">
        <v>754</v>
      </c>
      <c r="B313" s="100" t="s">
        <v>755</v>
      </c>
      <c r="C313" s="100">
        <v>3</v>
      </c>
      <c r="D313" s="104">
        <v>0.017565557956072207</v>
      </c>
      <c r="E313" s="104">
        <v>1.7350663496842953</v>
      </c>
      <c r="F313" s="100" t="s">
        <v>690</v>
      </c>
      <c r="G313" s="100" t="b">
        <v>0</v>
      </c>
      <c r="H313" s="100" t="b">
        <v>0</v>
      </c>
      <c r="I313" s="100" t="b">
        <v>0</v>
      </c>
      <c r="J313" s="100" t="b">
        <v>0</v>
      </c>
      <c r="K313" s="100" t="b">
        <v>0</v>
      </c>
      <c r="L313" s="100" t="b">
        <v>0</v>
      </c>
    </row>
    <row r="314" spans="1:12" ht="15">
      <c r="A314" s="102" t="s">
        <v>755</v>
      </c>
      <c r="B314" s="100" t="s">
        <v>756</v>
      </c>
      <c r="C314" s="100">
        <v>3</v>
      </c>
      <c r="D314" s="104">
        <v>0.017565557956072207</v>
      </c>
      <c r="E314" s="104">
        <v>1.7350663496842953</v>
      </c>
      <c r="F314" s="100" t="s">
        <v>690</v>
      </c>
      <c r="G314" s="100" t="b">
        <v>0</v>
      </c>
      <c r="H314" s="100" t="b">
        <v>0</v>
      </c>
      <c r="I314" s="100" t="b">
        <v>0</v>
      </c>
      <c r="J314" s="100" t="b">
        <v>0</v>
      </c>
      <c r="K314" s="100" t="b">
        <v>0</v>
      </c>
      <c r="L314" s="100" t="b">
        <v>0</v>
      </c>
    </row>
    <row r="315" spans="1:12" ht="15">
      <c r="A315" s="102" t="s">
        <v>756</v>
      </c>
      <c r="B315" s="100" t="s">
        <v>757</v>
      </c>
      <c r="C315" s="100">
        <v>3</v>
      </c>
      <c r="D315" s="104">
        <v>0.017565557956072207</v>
      </c>
      <c r="E315" s="104">
        <v>1.7350663496842953</v>
      </c>
      <c r="F315" s="100" t="s">
        <v>690</v>
      </c>
      <c r="G315" s="100" t="b">
        <v>0</v>
      </c>
      <c r="H315" s="100" t="b">
        <v>0</v>
      </c>
      <c r="I315" s="100" t="b">
        <v>0</v>
      </c>
      <c r="J315" s="100" t="b">
        <v>0</v>
      </c>
      <c r="K315" s="100" t="b">
        <v>0</v>
      </c>
      <c r="L315" s="100" t="b">
        <v>0</v>
      </c>
    </row>
    <row r="316" spans="1:12" ht="15">
      <c r="A316" s="102" t="s">
        <v>721</v>
      </c>
      <c r="B316" s="100" t="s">
        <v>722</v>
      </c>
      <c r="C316" s="100">
        <v>3</v>
      </c>
      <c r="D316" s="104">
        <v>0.017565557956072207</v>
      </c>
      <c r="E316" s="104">
        <v>1.7350663496842953</v>
      </c>
      <c r="F316" s="100" t="s">
        <v>690</v>
      </c>
      <c r="G316" s="100" t="b">
        <v>0</v>
      </c>
      <c r="H316" s="100" t="b">
        <v>0</v>
      </c>
      <c r="I316" s="100" t="b">
        <v>0</v>
      </c>
      <c r="J316" s="100" t="b">
        <v>0</v>
      </c>
      <c r="K316" s="100" t="b">
        <v>0</v>
      </c>
      <c r="L316" s="100" t="b">
        <v>0</v>
      </c>
    </row>
    <row r="317" spans="1:12" ht="15">
      <c r="A317" s="102" t="s">
        <v>725</v>
      </c>
      <c r="B317" s="100" t="s">
        <v>723</v>
      </c>
      <c r="C317" s="100">
        <v>3</v>
      </c>
      <c r="D317" s="104">
        <v>0.017565557956072207</v>
      </c>
      <c r="E317" s="104">
        <v>1.7350663496842953</v>
      </c>
      <c r="F317" s="100" t="s">
        <v>690</v>
      </c>
      <c r="G317" s="100" t="b">
        <v>0</v>
      </c>
      <c r="H317" s="100" t="b">
        <v>0</v>
      </c>
      <c r="I317" s="100" t="b">
        <v>0</v>
      </c>
      <c r="J317" s="100" t="b">
        <v>0</v>
      </c>
      <c r="K317" s="100" t="b">
        <v>0</v>
      </c>
      <c r="L317" s="100" t="b">
        <v>0</v>
      </c>
    </row>
    <row r="318" spans="1:12" ht="15">
      <c r="A318" s="102" t="s">
        <v>848</v>
      </c>
      <c r="B318" s="100" t="s">
        <v>849</v>
      </c>
      <c r="C318" s="100">
        <v>3</v>
      </c>
      <c r="D318" s="104">
        <v>0.024285575628180126</v>
      </c>
      <c r="E318" s="104">
        <v>1.7350663496842953</v>
      </c>
      <c r="F318" s="100" t="s">
        <v>690</v>
      </c>
      <c r="G318" s="100" t="b">
        <v>0</v>
      </c>
      <c r="H318" s="100" t="b">
        <v>0</v>
      </c>
      <c r="I318" s="100" t="b">
        <v>0</v>
      </c>
      <c r="J318" s="100" t="b">
        <v>0</v>
      </c>
      <c r="K318" s="100" t="b">
        <v>0</v>
      </c>
      <c r="L318" s="100" t="b">
        <v>0</v>
      </c>
    </row>
    <row r="319" spans="1:12" ht="15">
      <c r="A319" s="102" t="s">
        <v>849</v>
      </c>
      <c r="B319" s="100" t="s">
        <v>850</v>
      </c>
      <c r="C319" s="100">
        <v>3</v>
      </c>
      <c r="D319" s="104">
        <v>0.024285575628180126</v>
      </c>
      <c r="E319" s="104">
        <v>1.7350663496842953</v>
      </c>
      <c r="F319" s="100" t="s">
        <v>690</v>
      </c>
      <c r="G319" s="100" t="b">
        <v>0</v>
      </c>
      <c r="H319" s="100" t="b">
        <v>0</v>
      </c>
      <c r="I319" s="100" t="b">
        <v>0</v>
      </c>
      <c r="J319" s="100" t="b">
        <v>0</v>
      </c>
      <c r="K319" s="100" t="b">
        <v>0</v>
      </c>
      <c r="L319" s="100" t="b">
        <v>0</v>
      </c>
    </row>
    <row r="320" spans="1:12" ht="15">
      <c r="A320" s="102" t="s">
        <v>850</v>
      </c>
      <c r="B320" s="100" t="s">
        <v>851</v>
      </c>
      <c r="C320" s="100">
        <v>3</v>
      </c>
      <c r="D320" s="104">
        <v>0.024285575628180126</v>
      </c>
      <c r="E320" s="104">
        <v>1.7350663496842953</v>
      </c>
      <c r="F320" s="100" t="s">
        <v>690</v>
      </c>
      <c r="G320" s="100" t="b">
        <v>0</v>
      </c>
      <c r="H320" s="100" t="b">
        <v>0</v>
      </c>
      <c r="I320" s="100" t="b">
        <v>0</v>
      </c>
      <c r="J320" s="100" t="b">
        <v>0</v>
      </c>
      <c r="K320" s="100" t="b">
        <v>0</v>
      </c>
      <c r="L320" s="100" t="b">
        <v>0</v>
      </c>
    </row>
    <row r="321" spans="1:12" ht="15">
      <c r="A321" s="102" t="s">
        <v>851</v>
      </c>
      <c r="B321" s="100" t="s">
        <v>852</v>
      </c>
      <c r="C321" s="100">
        <v>3</v>
      </c>
      <c r="D321" s="104">
        <v>0.024285575628180126</v>
      </c>
      <c r="E321" s="104">
        <v>1.7350663496842953</v>
      </c>
      <c r="F321" s="100" t="s">
        <v>690</v>
      </c>
      <c r="G321" s="100" t="b">
        <v>0</v>
      </c>
      <c r="H321" s="100" t="b">
        <v>0</v>
      </c>
      <c r="I321" s="100" t="b">
        <v>0</v>
      </c>
      <c r="J321" s="100" t="b">
        <v>0</v>
      </c>
      <c r="K321" s="100" t="b">
        <v>0</v>
      </c>
      <c r="L321" s="100" t="b">
        <v>0</v>
      </c>
    </row>
    <row r="322" spans="1:12" ht="15">
      <c r="A322" s="102" t="s">
        <v>852</v>
      </c>
      <c r="B322" s="100" t="s">
        <v>853</v>
      </c>
      <c r="C322" s="100">
        <v>3</v>
      </c>
      <c r="D322" s="104">
        <v>0.024285575628180126</v>
      </c>
      <c r="E322" s="104">
        <v>1.7350663496842953</v>
      </c>
      <c r="F322" s="100" t="s">
        <v>690</v>
      </c>
      <c r="G322" s="100" t="b">
        <v>0</v>
      </c>
      <c r="H322" s="100" t="b">
        <v>0</v>
      </c>
      <c r="I322" s="100" t="b">
        <v>0</v>
      </c>
      <c r="J322" s="100" t="b">
        <v>0</v>
      </c>
      <c r="K322" s="100" t="b">
        <v>0</v>
      </c>
      <c r="L322" s="100" t="b">
        <v>0</v>
      </c>
    </row>
    <row r="323" spans="1:12" ht="15">
      <c r="A323" s="102" t="s">
        <v>853</v>
      </c>
      <c r="B323" s="100" t="s">
        <v>854</v>
      </c>
      <c r="C323" s="100">
        <v>3</v>
      </c>
      <c r="D323" s="104">
        <v>0.024285575628180126</v>
      </c>
      <c r="E323" s="104">
        <v>1.7350663496842953</v>
      </c>
      <c r="F323" s="100" t="s">
        <v>690</v>
      </c>
      <c r="G323" s="100" t="b">
        <v>0</v>
      </c>
      <c r="H323" s="100" t="b">
        <v>0</v>
      </c>
      <c r="I323" s="100" t="b">
        <v>0</v>
      </c>
      <c r="J323" s="100" t="b">
        <v>0</v>
      </c>
      <c r="K323" s="100" t="b">
        <v>0</v>
      </c>
      <c r="L323" s="100" t="b">
        <v>0</v>
      </c>
    </row>
    <row r="324" spans="1:12" ht="15">
      <c r="A324" s="102" t="s">
        <v>854</v>
      </c>
      <c r="B324" s="100" t="s">
        <v>855</v>
      </c>
      <c r="C324" s="100">
        <v>3</v>
      </c>
      <c r="D324" s="104">
        <v>0.024285575628180126</v>
      </c>
      <c r="E324" s="104">
        <v>1.7350663496842953</v>
      </c>
      <c r="F324" s="100" t="s">
        <v>690</v>
      </c>
      <c r="G324" s="100" t="b">
        <v>0</v>
      </c>
      <c r="H324" s="100" t="b">
        <v>0</v>
      </c>
      <c r="I324" s="100" t="b">
        <v>0</v>
      </c>
      <c r="J324" s="100" t="b">
        <v>0</v>
      </c>
      <c r="K324" s="100" t="b">
        <v>0</v>
      </c>
      <c r="L324" s="100" t="b">
        <v>0</v>
      </c>
    </row>
    <row r="325" spans="1:12" ht="15">
      <c r="A325" s="102" t="s">
        <v>804</v>
      </c>
      <c r="B325" s="100" t="s">
        <v>719</v>
      </c>
      <c r="C325" s="100">
        <v>3</v>
      </c>
      <c r="D325" s="104">
        <v>0.017565557956072207</v>
      </c>
      <c r="E325" s="104">
        <v>1.434036354020314</v>
      </c>
      <c r="F325" s="100" t="s">
        <v>690</v>
      </c>
      <c r="G325" s="100" t="b">
        <v>0</v>
      </c>
      <c r="H325" s="100" t="b">
        <v>0</v>
      </c>
      <c r="I325" s="100" t="b">
        <v>0</v>
      </c>
      <c r="J325" s="100" t="b">
        <v>0</v>
      </c>
      <c r="K325" s="100" t="b">
        <v>0</v>
      </c>
      <c r="L325" s="100" t="b">
        <v>0</v>
      </c>
    </row>
    <row r="326" spans="1:12" ht="15">
      <c r="A326" s="102" t="s">
        <v>718</v>
      </c>
      <c r="B326" s="100" t="s">
        <v>805</v>
      </c>
      <c r="C326" s="100">
        <v>3</v>
      </c>
      <c r="D326" s="104">
        <v>0.017565557956072207</v>
      </c>
      <c r="E326" s="104">
        <v>1.3090976174120141</v>
      </c>
      <c r="F326" s="100" t="s">
        <v>690</v>
      </c>
      <c r="G326" s="100" t="b">
        <v>0</v>
      </c>
      <c r="H326" s="100" t="b">
        <v>0</v>
      </c>
      <c r="I326" s="100" t="b">
        <v>0</v>
      </c>
      <c r="J326" s="100" t="b">
        <v>0</v>
      </c>
      <c r="K326" s="100" t="b">
        <v>0</v>
      </c>
      <c r="L326" s="100" t="b">
        <v>0</v>
      </c>
    </row>
    <row r="327" spans="1:12" ht="15">
      <c r="A327" s="102" t="s">
        <v>718</v>
      </c>
      <c r="B327" s="100" t="s">
        <v>767</v>
      </c>
      <c r="C327" s="100">
        <v>2</v>
      </c>
      <c r="D327" s="104">
        <v>0.013363811022880825</v>
      </c>
      <c r="E327" s="104">
        <v>1.3090976174120141</v>
      </c>
      <c r="F327" s="100" t="s">
        <v>690</v>
      </c>
      <c r="G327" s="100" t="b">
        <v>0</v>
      </c>
      <c r="H327" s="100" t="b">
        <v>0</v>
      </c>
      <c r="I327" s="100" t="b">
        <v>0</v>
      </c>
      <c r="J327" s="100" t="b">
        <v>0</v>
      </c>
      <c r="K327" s="100" t="b">
        <v>0</v>
      </c>
      <c r="L327" s="100" t="b">
        <v>0</v>
      </c>
    </row>
    <row r="328" spans="1:12" ht="15">
      <c r="A328" s="102" t="s">
        <v>809</v>
      </c>
      <c r="B328" s="100" t="s">
        <v>774</v>
      </c>
      <c r="C328" s="100">
        <v>2</v>
      </c>
      <c r="D328" s="104">
        <v>0.013363811022880825</v>
      </c>
      <c r="E328" s="104">
        <v>1.9111576087399766</v>
      </c>
      <c r="F328" s="100" t="s">
        <v>690</v>
      </c>
      <c r="G328" s="100" t="b">
        <v>0</v>
      </c>
      <c r="H328" s="100" t="b">
        <v>0</v>
      </c>
      <c r="I328" s="100" t="b">
        <v>0</v>
      </c>
      <c r="J328" s="100" t="b">
        <v>0</v>
      </c>
      <c r="K328" s="100" t="b">
        <v>0</v>
      </c>
      <c r="L328" s="100" t="b">
        <v>0</v>
      </c>
    </row>
    <row r="329" spans="1:12" ht="15">
      <c r="A329" s="102" t="s">
        <v>774</v>
      </c>
      <c r="B329" s="100" t="s">
        <v>810</v>
      </c>
      <c r="C329" s="100">
        <v>2</v>
      </c>
      <c r="D329" s="104">
        <v>0.013363811022880825</v>
      </c>
      <c r="E329" s="104">
        <v>1.9111576087399766</v>
      </c>
      <c r="F329" s="100" t="s">
        <v>690</v>
      </c>
      <c r="G329" s="100" t="b">
        <v>0</v>
      </c>
      <c r="H329" s="100" t="b">
        <v>0</v>
      </c>
      <c r="I329" s="100" t="b">
        <v>0</v>
      </c>
      <c r="J329" s="100" t="b">
        <v>0</v>
      </c>
      <c r="K329" s="100" t="b">
        <v>0</v>
      </c>
      <c r="L329" s="100" t="b">
        <v>0</v>
      </c>
    </row>
    <row r="330" spans="1:12" ht="15">
      <c r="A330" s="102" t="s">
        <v>810</v>
      </c>
      <c r="B330" s="100" t="s">
        <v>811</v>
      </c>
      <c r="C330" s="100">
        <v>2</v>
      </c>
      <c r="D330" s="104">
        <v>0.013363811022880825</v>
      </c>
      <c r="E330" s="104">
        <v>1.9111576087399766</v>
      </c>
      <c r="F330" s="100" t="s">
        <v>690</v>
      </c>
      <c r="G330" s="100" t="b">
        <v>0</v>
      </c>
      <c r="H330" s="100" t="b">
        <v>0</v>
      </c>
      <c r="I330" s="100" t="b">
        <v>0</v>
      </c>
      <c r="J330" s="100" t="b">
        <v>0</v>
      </c>
      <c r="K330" s="100" t="b">
        <v>0</v>
      </c>
      <c r="L330" s="100" t="b">
        <v>0</v>
      </c>
    </row>
    <row r="331" spans="1:12" ht="15">
      <c r="A331" s="102" t="s">
        <v>722</v>
      </c>
      <c r="B331" s="100" t="s">
        <v>748</v>
      </c>
      <c r="C331" s="100">
        <v>2</v>
      </c>
      <c r="D331" s="104">
        <v>0.013363811022880825</v>
      </c>
      <c r="E331" s="104">
        <v>1.7350663496842953</v>
      </c>
      <c r="F331" s="100" t="s">
        <v>690</v>
      </c>
      <c r="G331" s="100" t="b">
        <v>0</v>
      </c>
      <c r="H331" s="100" t="b">
        <v>0</v>
      </c>
      <c r="I331" s="100" t="b">
        <v>0</v>
      </c>
      <c r="J331" s="100" t="b">
        <v>0</v>
      </c>
      <c r="K331" s="100" t="b">
        <v>0</v>
      </c>
      <c r="L331" s="100" t="b">
        <v>0</v>
      </c>
    </row>
    <row r="332" spans="1:12" ht="15">
      <c r="A332" s="102" t="s">
        <v>748</v>
      </c>
      <c r="B332" s="100" t="s">
        <v>725</v>
      </c>
      <c r="C332" s="100">
        <v>2</v>
      </c>
      <c r="D332" s="104">
        <v>0.013363811022880825</v>
      </c>
      <c r="E332" s="104">
        <v>1.7350663496842953</v>
      </c>
      <c r="F332" s="100" t="s">
        <v>690</v>
      </c>
      <c r="G332" s="100" t="b">
        <v>0</v>
      </c>
      <c r="H332" s="100" t="b">
        <v>0</v>
      </c>
      <c r="I332" s="100" t="b">
        <v>0</v>
      </c>
      <c r="J332" s="100" t="b">
        <v>0</v>
      </c>
      <c r="K332" s="100" t="b">
        <v>0</v>
      </c>
      <c r="L332" s="100" t="b">
        <v>0</v>
      </c>
    </row>
    <row r="333" spans="1:12" ht="15">
      <c r="A333" s="102" t="s">
        <v>758</v>
      </c>
      <c r="B333" s="100" t="s">
        <v>724</v>
      </c>
      <c r="C333" s="100">
        <v>2</v>
      </c>
      <c r="D333" s="104">
        <v>0.013363811022880825</v>
      </c>
      <c r="E333" s="104">
        <v>1.9111576087399766</v>
      </c>
      <c r="F333" s="100" t="s">
        <v>690</v>
      </c>
      <c r="G333" s="100" t="b">
        <v>0</v>
      </c>
      <c r="H333" s="100" t="b">
        <v>0</v>
      </c>
      <c r="I333" s="100" t="b">
        <v>0</v>
      </c>
      <c r="J333" s="100" t="b">
        <v>0</v>
      </c>
      <c r="K333" s="100" t="b">
        <v>0</v>
      </c>
      <c r="L333" s="100" t="b">
        <v>0</v>
      </c>
    </row>
    <row r="334" spans="1:12" ht="15">
      <c r="A334" s="102" t="s">
        <v>724</v>
      </c>
      <c r="B334" s="100" t="s">
        <v>776</v>
      </c>
      <c r="C334" s="100">
        <v>2</v>
      </c>
      <c r="D334" s="104">
        <v>0.013363811022880825</v>
      </c>
      <c r="E334" s="104">
        <v>1.9111576087399766</v>
      </c>
      <c r="F334" s="100" t="s">
        <v>690</v>
      </c>
      <c r="G334" s="100" t="b">
        <v>0</v>
      </c>
      <c r="H334" s="100" t="b">
        <v>0</v>
      </c>
      <c r="I334" s="100" t="b">
        <v>0</v>
      </c>
      <c r="J334" s="100" t="b">
        <v>0</v>
      </c>
      <c r="K334" s="100" t="b">
        <v>0</v>
      </c>
      <c r="L334" s="100" t="b">
        <v>0</v>
      </c>
    </row>
    <row r="335" spans="1:12" ht="15">
      <c r="A335" s="102" t="s">
        <v>855</v>
      </c>
      <c r="B335" s="100" t="s">
        <v>848</v>
      </c>
      <c r="C335" s="100">
        <v>2</v>
      </c>
      <c r="D335" s="104">
        <v>0.016190383752120084</v>
      </c>
      <c r="E335" s="104">
        <v>1.558975090628614</v>
      </c>
      <c r="F335" s="100" t="s">
        <v>690</v>
      </c>
      <c r="G335" s="100" t="b">
        <v>0</v>
      </c>
      <c r="H335" s="100" t="b">
        <v>0</v>
      </c>
      <c r="I335" s="100" t="b">
        <v>0</v>
      </c>
      <c r="J335" s="100" t="b">
        <v>0</v>
      </c>
      <c r="K335" s="100" t="b">
        <v>0</v>
      </c>
      <c r="L335" s="100" t="b">
        <v>0</v>
      </c>
    </row>
    <row r="336" spans="1:12" ht="15">
      <c r="A336" s="102" t="s">
        <v>857</v>
      </c>
      <c r="B336" s="100" t="s">
        <v>857</v>
      </c>
      <c r="C336" s="100">
        <v>2</v>
      </c>
      <c r="D336" s="104">
        <v>0.016190383752120084</v>
      </c>
      <c r="E336" s="104">
        <v>1.558975090628614</v>
      </c>
      <c r="F336" s="100" t="s">
        <v>690</v>
      </c>
      <c r="G336" s="100" t="b">
        <v>0</v>
      </c>
      <c r="H336" s="100" t="b">
        <v>0</v>
      </c>
      <c r="I336" s="100" t="b">
        <v>0</v>
      </c>
      <c r="J336" s="100" t="b">
        <v>0</v>
      </c>
      <c r="K336" s="100" t="b">
        <v>0</v>
      </c>
      <c r="L336" s="100" t="b">
        <v>0</v>
      </c>
    </row>
    <row r="337" spans="1:12" ht="15">
      <c r="A337" s="102" t="s">
        <v>720</v>
      </c>
      <c r="B337" s="100" t="s">
        <v>821</v>
      </c>
      <c r="C337" s="100">
        <v>2</v>
      </c>
      <c r="D337" s="104">
        <v>0.013363811022880825</v>
      </c>
      <c r="E337" s="104">
        <v>1.257945094964633</v>
      </c>
      <c r="F337" s="100" t="s">
        <v>690</v>
      </c>
      <c r="G337" s="100" t="b">
        <v>1</v>
      </c>
      <c r="H337" s="100" t="b">
        <v>0</v>
      </c>
      <c r="I337" s="100" t="b">
        <v>0</v>
      </c>
      <c r="J337" s="100" t="b">
        <v>0</v>
      </c>
      <c r="K337" s="100" t="b">
        <v>0</v>
      </c>
      <c r="L337" s="100" t="b">
        <v>0</v>
      </c>
    </row>
    <row r="338" spans="1:12" ht="15">
      <c r="A338" s="102" t="s">
        <v>742</v>
      </c>
      <c r="B338" s="100" t="s">
        <v>743</v>
      </c>
      <c r="C338" s="100">
        <v>8</v>
      </c>
      <c r="D338" s="104">
        <v>0.026588391112446593</v>
      </c>
      <c r="E338" s="104">
        <v>1.3222192947339193</v>
      </c>
      <c r="F338" s="100" t="s">
        <v>691</v>
      </c>
      <c r="G338" s="100" t="b">
        <v>0</v>
      </c>
      <c r="H338" s="100" t="b">
        <v>0</v>
      </c>
      <c r="I338" s="100" t="b">
        <v>0</v>
      </c>
      <c r="J338" s="100" t="b">
        <v>0</v>
      </c>
      <c r="K338" s="100" t="b">
        <v>0</v>
      </c>
      <c r="L338" s="100" t="b">
        <v>0</v>
      </c>
    </row>
    <row r="339" spans="1:12" ht="15">
      <c r="A339" s="102" t="s">
        <v>721</v>
      </c>
      <c r="B339" s="100" t="s">
        <v>722</v>
      </c>
      <c r="C339" s="100">
        <v>6</v>
      </c>
      <c r="D339" s="104">
        <v>0.02356270598964799</v>
      </c>
      <c r="E339" s="104">
        <v>1.4471580313422192</v>
      </c>
      <c r="F339" s="100" t="s">
        <v>691</v>
      </c>
      <c r="G339" s="100" t="b">
        <v>0</v>
      </c>
      <c r="H339" s="100" t="b">
        <v>0</v>
      </c>
      <c r="I339" s="100" t="b">
        <v>0</v>
      </c>
      <c r="J339" s="100" t="b">
        <v>0</v>
      </c>
      <c r="K339" s="100" t="b">
        <v>0</v>
      </c>
      <c r="L339" s="100" t="b">
        <v>0</v>
      </c>
    </row>
    <row r="340" spans="1:12" ht="15">
      <c r="A340" s="102" t="s">
        <v>734</v>
      </c>
      <c r="B340" s="100" t="s">
        <v>735</v>
      </c>
      <c r="C340" s="100">
        <v>5</v>
      </c>
      <c r="D340" s="104">
        <v>0.0215481788089488</v>
      </c>
      <c r="E340" s="104">
        <v>1.526339277389844</v>
      </c>
      <c r="F340" s="100" t="s">
        <v>691</v>
      </c>
      <c r="G340" s="100" t="b">
        <v>0</v>
      </c>
      <c r="H340" s="100" t="b">
        <v>0</v>
      </c>
      <c r="I340" s="100" t="b">
        <v>0</v>
      </c>
      <c r="J340" s="100" t="b">
        <v>0</v>
      </c>
      <c r="K340" s="100" t="b">
        <v>0</v>
      </c>
      <c r="L340" s="100" t="b">
        <v>0</v>
      </c>
    </row>
    <row r="341" spans="1:12" ht="15">
      <c r="A341" s="102" t="s">
        <v>735</v>
      </c>
      <c r="B341" s="100" t="s">
        <v>736</v>
      </c>
      <c r="C341" s="100">
        <v>5</v>
      </c>
      <c r="D341" s="104">
        <v>0.0215481788089488</v>
      </c>
      <c r="E341" s="104">
        <v>1.526339277389844</v>
      </c>
      <c r="F341" s="100" t="s">
        <v>691</v>
      </c>
      <c r="G341" s="100" t="b">
        <v>0</v>
      </c>
      <c r="H341" s="100" t="b">
        <v>0</v>
      </c>
      <c r="I341" s="100" t="b">
        <v>0</v>
      </c>
      <c r="J341" s="100" t="b">
        <v>0</v>
      </c>
      <c r="K341" s="100" t="b">
        <v>0</v>
      </c>
      <c r="L341" s="100" t="b">
        <v>0</v>
      </c>
    </row>
    <row r="342" spans="1:12" ht="15">
      <c r="A342" s="102" t="s">
        <v>736</v>
      </c>
      <c r="B342" s="100" t="s">
        <v>737</v>
      </c>
      <c r="C342" s="100">
        <v>5</v>
      </c>
      <c r="D342" s="104">
        <v>0.0215481788089488</v>
      </c>
      <c r="E342" s="104">
        <v>1.526339277389844</v>
      </c>
      <c r="F342" s="100" t="s">
        <v>691</v>
      </c>
      <c r="G342" s="100" t="b">
        <v>0</v>
      </c>
      <c r="H342" s="100" t="b">
        <v>0</v>
      </c>
      <c r="I342" s="100" t="b">
        <v>0</v>
      </c>
      <c r="J342" s="100" t="b">
        <v>0</v>
      </c>
      <c r="K342" s="100" t="b">
        <v>0</v>
      </c>
      <c r="L342" s="100" t="b">
        <v>0</v>
      </c>
    </row>
    <row r="343" spans="1:12" ht="15">
      <c r="A343" s="102" t="s">
        <v>737</v>
      </c>
      <c r="B343" s="100" t="s">
        <v>738</v>
      </c>
      <c r="C343" s="100">
        <v>5</v>
      </c>
      <c r="D343" s="104">
        <v>0.0215481788089488</v>
      </c>
      <c r="E343" s="104">
        <v>1.526339277389844</v>
      </c>
      <c r="F343" s="100" t="s">
        <v>691</v>
      </c>
      <c r="G343" s="100" t="b">
        <v>0</v>
      </c>
      <c r="H343" s="100" t="b">
        <v>0</v>
      </c>
      <c r="I343" s="100" t="b">
        <v>0</v>
      </c>
      <c r="J343" s="100" t="b">
        <v>0</v>
      </c>
      <c r="K343" s="100" t="b">
        <v>0</v>
      </c>
      <c r="L343" s="100" t="b">
        <v>0</v>
      </c>
    </row>
    <row r="344" spans="1:12" ht="15">
      <c r="A344" s="102" t="s">
        <v>738</v>
      </c>
      <c r="B344" s="100" t="s">
        <v>733</v>
      </c>
      <c r="C344" s="100">
        <v>5</v>
      </c>
      <c r="D344" s="104">
        <v>0.0215481788089488</v>
      </c>
      <c r="E344" s="104">
        <v>1.526339277389844</v>
      </c>
      <c r="F344" s="100" t="s">
        <v>691</v>
      </c>
      <c r="G344" s="100" t="b">
        <v>0</v>
      </c>
      <c r="H344" s="100" t="b">
        <v>0</v>
      </c>
      <c r="I344" s="100" t="b">
        <v>0</v>
      </c>
      <c r="J344" s="100" t="b">
        <v>0</v>
      </c>
      <c r="K344" s="100" t="b">
        <v>0</v>
      </c>
      <c r="L344" s="100" t="b">
        <v>0</v>
      </c>
    </row>
    <row r="345" spans="1:12" ht="15">
      <c r="A345" s="102" t="s">
        <v>720</v>
      </c>
      <c r="B345" s="100" t="s">
        <v>813</v>
      </c>
      <c r="C345" s="100">
        <v>4</v>
      </c>
      <c r="D345" s="104">
        <v>0.01911120030335337</v>
      </c>
      <c r="E345" s="104">
        <v>1.526339277389844</v>
      </c>
      <c r="F345" s="100" t="s">
        <v>691</v>
      </c>
      <c r="G345" s="100" t="b">
        <v>1</v>
      </c>
      <c r="H345" s="100" t="b">
        <v>0</v>
      </c>
      <c r="I345" s="100" t="b">
        <v>0</v>
      </c>
      <c r="J345" s="100" t="b">
        <v>1</v>
      </c>
      <c r="K345" s="100" t="b">
        <v>0</v>
      </c>
      <c r="L345" s="100" t="b">
        <v>0</v>
      </c>
    </row>
    <row r="346" spans="1:12" ht="15">
      <c r="A346" s="102" t="s">
        <v>813</v>
      </c>
      <c r="B346" s="100" t="s">
        <v>814</v>
      </c>
      <c r="C346" s="100">
        <v>4</v>
      </c>
      <c r="D346" s="104">
        <v>0.01911120030335337</v>
      </c>
      <c r="E346" s="104">
        <v>1.6232492903979006</v>
      </c>
      <c r="F346" s="100" t="s">
        <v>691</v>
      </c>
      <c r="G346" s="100" t="b">
        <v>1</v>
      </c>
      <c r="H346" s="100" t="b">
        <v>0</v>
      </c>
      <c r="I346" s="100" t="b">
        <v>0</v>
      </c>
      <c r="J346" s="100" t="b">
        <v>0</v>
      </c>
      <c r="K346" s="100" t="b">
        <v>0</v>
      </c>
      <c r="L346" s="100" t="b">
        <v>0</v>
      </c>
    </row>
    <row r="347" spans="1:12" ht="15">
      <c r="A347" s="102" t="s">
        <v>812</v>
      </c>
      <c r="B347" s="100" t="s">
        <v>723</v>
      </c>
      <c r="C347" s="100">
        <v>4</v>
      </c>
      <c r="D347" s="104">
        <v>0.01911120030335337</v>
      </c>
      <c r="E347" s="104">
        <v>1.4471580313422192</v>
      </c>
      <c r="F347" s="100" t="s">
        <v>691</v>
      </c>
      <c r="G347" s="100" t="b">
        <v>0</v>
      </c>
      <c r="H347" s="100" t="b">
        <v>0</v>
      </c>
      <c r="I347" s="100" t="b">
        <v>0</v>
      </c>
      <c r="J347" s="100" t="b">
        <v>0</v>
      </c>
      <c r="K347" s="100" t="b">
        <v>0</v>
      </c>
      <c r="L347" s="100" t="b">
        <v>0</v>
      </c>
    </row>
    <row r="348" spans="1:12" ht="15">
      <c r="A348" s="102" t="s">
        <v>718</v>
      </c>
      <c r="B348" s="100" t="s">
        <v>806</v>
      </c>
      <c r="C348" s="100">
        <v>4</v>
      </c>
      <c r="D348" s="104">
        <v>0.01911120030335337</v>
      </c>
      <c r="E348" s="104">
        <v>1.4471580313422192</v>
      </c>
      <c r="F348" s="100" t="s">
        <v>691</v>
      </c>
      <c r="G348" s="100" t="b">
        <v>0</v>
      </c>
      <c r="H348" s="100" t="b">
        <v>0</v>
      </c>
      <c r="I348" s="100" t="b">
        <v>0</v>
      </c>
      <c r="J348" s="100" t="b">
        <v>0</v>
      </c>
      <c r="K348" s="100" t="b">
        <v>1</v>
      </c>
      <c r="L348" s="100" t="b">
        <v>0</v>
      </c>
    </row>
    <row r="349" spans="1:12" ht="15">
      <c r="A349" s="102" t="s">
        <v>806</v>
      </c>
      <c r="B349" s="100" t="s">
        <v>807</v>
      </c>
      <c r="C349" s="100">
        <v>4</v>
      </c>
      <c r="D349" s="104">
        <v>0.01911120030335337</v>
      </c>
      <c r="E349" s="104">
        <v>1.6232492903979006</v>
      </c>
      <c r="F349" s="100" t="s">
        <v>691</v>
      </c>
      <c r="G349" s="100" t="b">
        <v>0</v>
      </c>
      <c r="H349" s="100" t="b">
        <v>1</v>
      </c>
      <c r="I349" s="100" t="b">
        <v>0</v>
      </c>
      <c r="J349" s="100" t="b">
        <v>0</v>
      </c>
      <c r="K349" s="100" t="b">
        <v>0</v>
      </c>
      <c r="L349" s="100" t="b">
        <v>0</v>
      </c>
    </row>
    <row r="350" spans="1:12" ht="15">
      <c r="A350" s="102" t="s">
        <v>807</v>
      </c>
      <c r="B350" s="100" t="s">
        <v>808</v>
      </c>
      <c r="C350" s="100">
        <v>4</v>
      </c>
      <c r="D350" s="104">
        <v>0.01911120030335337</v>
      </c>
      <c r="E350" s="104">
        <v>1.6232492903979006</v>
      </c>
      <c r="F350" s="100" t="s">
        <v>691</v>
      </c>
      <c r="G350" s="100" t="b">
        <v>0</v>
      </c>
      <c r="H350" s="100" t="b">
        <v>0</v>
      </c>
      <c r="I350" s="100" t="b">
        <v>0</v>
      </c>
      <c r="J350" s="100" t="b">
        <v>0</v>
      </c>
      <c r="K350" s="100" t="b">
        <v>1</v>
      </c>
      <c r="L350" s="100" t="b">
        <v>0</v>
      </c>
    </row>
    <row r="351" spans="1:12" ht="15">
      <c r="A351" s="102" t="s">
        <v>750</v>
      </c>
      <c r="B351" s="100" t="s">
        <v>751</v>
      </c>
      <c r="C351" s="100">
        <v>3</v>
      </c>
      <c r="D351" s="104">
        <v>0.016144106555171546</v>
      </c>
      <c r="E351" s="104">
        <v>1.7481880270062005</v>
      </c>
      <c r="F351" s="100" t="s">
        <v>691</v>
      </c>
      <c r="G351" s="100" t="b">
        <v>0</v>
      </c>
      <c r="H351" s="100" t="b">
        <v>1</v>
      </c>
      <c r="I351" s="100" t="b">
        <v>0</v>
      </c>
      <c r="J351" s="100" t="b">
        <v>0</v>
      </c>
      <c r="K351" s="100" t="b">
        <v>1</v>
      </c>
      <c r="L351" s="100" t="b">
        <v>0</v>
      </c>
    </row>
    <row r="352" spans="1:12" ht="15">
      <c r="A352" s="102" t="s">
        <v>751</v>
      </c>
      <c r="B352" s="100" t="s">
        <v>752</v>
      </c>
      <c r="C352" s="100">
        <v>3</v>
      </c>
      <c r="D352" s="104">
        <v>0.016144106555171546</v>
      </c>
      <c r="E352" s="104">
        <v>1.7481880270062005</v>
      </c>
      <c r="F352" s="100" t="s">
        <v>691</v>
      </c>
      <c r="G352" s="100" t="b">
        <v>0</v>
      </c>
      <c r="H352" s="100" t="b">
        <v>1</v>
      </c>
      <c r="I352" s="100" t="b">
        <v>0</v>
      </c>
      <c r="J352" s="100" t="b">
        <v>1</v>
      </c>
      <c r="K352" s="100" t="b">
        <v>0</v>
      </c>
      <c r="L352" s="100" t="b">
        <v>0</v>
      </c>
    </row>
    <row r="353" spans="1:12" ht="15">
      <c r="A353" s="102" t="s">
        <v>752</v>
      </c>
      <c r="B353" s="100" t="s">
        <v>753</v>
      </c>
      <c r="C353" s="100">
        <v>3</v>
      </c>
      <c r="D353" s="104">
        <v>0.016144106555171546</v>
      </c>
      <c r="E353" s="104">
        <v>1.7481880270062005</v>
      </c>
      <c r="F353" s="100" t="s">
        <v>691</v>
      </c>
      <c r="G353" s="100" t="b">
        <v>1</v>
      </c>
      <c r="H353" s="100" t="b">
        <v>0</v>
      </c>
      <c r="I353" s="100" t="b">
        <v>0</v>
      </c>
      <c r="J353" s="100" t="b">
        <v>0</v>
      </c>
      <c r="K353" s="100" t="b">
        <v>0</v>
      </c>
      <c r="L353" s="100" t="b">
        <v>0</v>
      </c>
    </row>
    <row r="354" spans="1:12" ht="15">
      <c r="A354" s="102" t="s">
        <v>856</v>
      </c>
      <c r="B354" s="100" t="s">
        <v>742</v>
      </c>
      <c r="C354" s="100">
        <v>3</v>
      </c>
      <c r="D354" s="104">
        <v>0.016144106555171546</v>
      </c>
      <c r="E354" s="104">
        <v>1.3222192947339193</v>
      </c>
      <c r="F354" s="100" t="s">
        <v>691</v>
      </c>
      <c r="G354" s="100" t="b">
        <v>0</v>
      </c>
      <c r="H354" s="100" t="b">
        <v>0</v>
      </c>
      <c r="I354" s="100" t="b">
        <v>0</v>
      </c>
      <c r="J354" s="100" t="b">
        <v>0</v>
      </c>
      <c r="K354" s="100" t="b">
        <v>0</v>
      </c>
      <c r="L354" s="100" t="b">
        <v>0</v>
      </c>
    </row>
    <row r="355" spans="1:12" ht="15">
      <c r="A355" s="102" t="s">
        <v>866</v>
      </c>
      <c r="B355" s="100" t="s">
        <v>867</v>
      </c>
      <c r="C355" s="100">
        <v>3</v>
      </c>
      <c r="D355" s="104">
        <v>0.02305890734821013</v>
      </c>
      <c r="E355" s="104">
        <v>1.7481880270062005</v>
      </c>
      <c r="F355" s="100" t="s">
        <v>691</v>
      </c>
      <c r="G355" s="100" t="b">
        <v>0</v>
      </c>
      <c r="H355" s="100" t="b">
        <v>0</v>
      </c>
      <c r="I355" s="100" t="b">
        <v>0</v>
      </c>
      <c r="J355" s="100" t="b">
        <v>0</v>
      </c>
      <c r="K355" s="100" t="b">
        <v>0</v>
      </c>
      <c r="L355" s="100" t="b">
        <v>0</v>
      </c>
    </row>
    <row r="356" spans="1:12" ht="15">
      <c r="A356" s="102" t="s">
        <v>867</v>
      </c>
      <c r="B356" s="100" t="s">
        <v>868</v>
      </c>
      <c r="C356" s="100">
        <v>3</v>
      </c>
      <c r="D356" s="104">
        <v>0.02305890734821013</v>
      </c>
      <c r="E356" s="104">
        <v>1.7481880270062005</v>
      </c>
      <c r="F356" s="100" t="s">
        <v>691</v>
      </c>
      <c r="G356" s="100" t="b">
        <v>0</v>
      </c>
      <c r="H356" s="100" t="b">
        <v>0</v>
      </c>
      <c r="I356" s="100" t="b">
        <v>0</v>
      </c>
      <c r="J356" s="100" t="b">
        <v>0</v>
      </c>
      <c r="K356" s="100" t="b">
        <v>0</v>
      </c>
      <c r="L356" s="100" t="b">
        <v>0</v>
      </c>
    </row>
    <row r="357" spans="1:12" ht="15">
      <c r="A357" s="102" t="s">
        <v>868</v>
      </c>
      <c r="B357" s="100" t="s">
        <v>869</v>
      </c>
      <c r="C357" s="100">
        <v>3</v>
      </c>
      <c r="D357" s="104">
        <v>0.02305890734821013</v>
      </c>
      <c r="E357" s="104">
        <v>1.7481880270062005</v>
      </c>
      <c r="F357" s="100" t="s">
        <v>691</v>
      </c>
      <c r="G357" s="100" t="b">
        <v>0</v>
      </c>
      <c r="H357" s="100" t="b">
        <v>0</v>
      </c>
      <c r="I357" s="100" t="b">
        <v>0</v>
      </c>
      <c r="J357" s="100" t="b">
        <v>0</v>
      </c>
      <c r="K357" s="100" t="b">
        <v>0</v>
      </c>
      <c r="L357" s="100" t="b">
        <v>0</v>
      </c>
    </row>
    <row r="358" spans="1:12" ht="15">
      <c r="A358" s="102" t="s">
        <v>741</v>
      </c>
      <c r="B358" s="100" t="s">
        <v>826</v>
      </c>
      <c r="C358" s="100">
        <v>2</v>
      </c>
      <c r="D358" s="104">
        <v>0.01246410252524172</v>
      </c>
      <c r="E358" s="104">
        <v>1.9242792860618818</v>
      </c>
      <c r="F358" s="100" t="s">
        <v>691</v>
      </c>
      <c r="G358" s="100" t="b">
        <v>0</v>
      </c>
      <c r="H358" s="100" t="b">
        <v>0</v>
      </c>
      <c r="I358" s="100" t="b">
        <v>0</v>
      </c>
      <c r="J358" s="100" t="b">
        <v>0</v>
      </c>
      <c r="K358" s="100" t="b">
        <v>0</v>
      </c>
      <c r="L358" s="100" t="b">
        <v>0</v>
      </c>
    </row>
    <row r="359" spans="1:12" ht="15">
      <c r="A359" s="102" t="s">
        <v>753</v>
      </c>
      <c r="B359" s="100" t="s">
        <v>856</v>
      </c>
      <c r="C359" s="100">
        <v>2</v>
      </c>
      <c r="D359" s="104">
        <v>0.01246410252524172</v>
      </c>
      <c r="E359" s="104">
        <v>1.5720967679505191</v>
      </c>
      <c r="F359" s="100" t="s">
        <v>691</v>
      </c>
      <c r="G359" s="100" t="b">
        <v>0</v>
      </c>
      <c r="H359" s="100" t="b">
        <v>0</v>
      </c>
      <c r="I359" s="100" t="b">
        <v>0</v>
      </c>
      <c r="J359" s="100" t="b">
        <v>0</v>
      </c>
      <c r="K359" s="100" t="b">
        <v>0</v>
      </c>
      <c r="L359" s="100" t="b">
        <v>0</v>
      </c>
    </row>
    <row r="360" spans="1:12" ht="15">
      <c r="A360" s="102" t="s">
        <v>719</v>
      </c>
      <c r="B360" s="100" t="s">
        <v>718</v>
      </c>
      <c r="C360" s="100">
        <v>2</v>
      </c>
      <c r="D360" s="104">
        <v>0.01246410252524172</v>
      </c>
      <c r="E360" s="104">
        <v>1.9242792860618818</v>
      </c>
      <c r="F360" s="100" t="s">
        <v>691</v>
      </c>
      <c r="G360" s="100" t="b">
        <v>0</v>
      </c>
      <c r="H360" s="100" t="b">
        <v>0</v>
      </c>
      <c r="I360" s="100" t="b">
        <v>0</v>
      </c>
      <c r="J360" s="100" t="b">
        <v>0</v>
      </c>
      <c r="K360" s="100" t="b">
        <v>0</v>
      </c>
      <c r="L360" s="100" t="b">
        <v>0</v>
      </c>
    </row>
    <row r="361" spans="1:12" ht="15">
      <c r="A361" s="102" t="s">
        <v>758</v>
      </c>
      <c r="B361" s="100" t="s">
        <v>724</v>
      </c>
      <c r="C361" s="100">
        <v>2</v>
      </c>
      <c r="D361" s="104">
        <v>0.01246410252524172</v>
      </c>
      <c r="E361" s="104">
        <v>1.7481880270062005</v>
      </c>
      <c r="F361" s="100" t="s">
        <v>691</v>
      </c>
      <c r="G361" s="100" t="b">
        <v>0</v>
      </c>
      <c r="H361" s="100" t="b">
        <v>0</v>
      </c>
      <c r="I361" s="100" t="b">
        <v>0</v>
      </c>
      <c r="J361" s="100" t="b">
        <v>0</v>
      </c>
      <c r="K361" s="100" t="b">
        <v>0</v>
      </c>
      <c r="L361" s="100" t="b">
        <v>0</v>
      </c>
    </row>
    <row r="362" spans="1:12" ht="15">
      <c r="A362" s="102" t="s">
        <v>869</v>
      </c>
      <c r="B362" s="100" t="s">
        <v>866</v>
      </c>
      <c r="C362" s="100">
        <v>2</v>
      </c>
      <c r="D362" s="104">
        <v>0.015372604898806755</v>
      </c>
      <c r="E362" s="104">
        <v>1.5720967679505191</v>
      </c>
      <c r="F362" s="100" t="s">
        <v>691</v>
      </c>
      <c r="G362" s="100" t="b">
        <v>0</v>
      </c>
      <c r="H362" s="100" t="b">
        <v>0</v>
      </c>
      <c r="I362" s="100" t="b">
        <v>0</v>
      </c>
      <c r="J362" s="100" t="b">
        <v>0</v>
      </c>
      <c r="K362" s="100" t="b">
        <v>0</v>
      </c>
      <c r="L362" s="100" t="b">
        <v>0</v>
      </c>
    </row>
    <row r="363" spans="1:12" ht="15">
      <c r="A363" s="102" t="s">
        <v>722</v>
      </c>
      <c r="B363" s="100" t="s">
        <v>911</v>
      </c>
      <c r="C363" s="100">
        <v>2</v>
      </c>
      <c r="D363" s="104">
        <v>0.01246410252524172</v>
      </c>
      <c r="E363" s="104">
        <v>1.4471580313422192</v>
      </c>
      <c r="F363" s="100" t="s">
        <v>691</v>
      </c>
      <c r="G363" s="100" t="b">
        <v>0</v>
      </c>
      <c r="H363" s="100" t="b">
        <v>0</v>
      </c>
      <c r="I363" s="100" t="b">
        <v>0</v>
      </c>
      <c r="J363" s="100" t="b">
        <v>0</v>
      </c>
      <c r="K363" s="100" t="b">
        <v>0</v>
      </c>
      <c r="L363" s="100" t="b">
        <v>0</v>
      </c>
    </row>
    <row r="364" spans="1:12" ht="15">
      <c r="A364" s="102" t="s">
        <v>911</v>
      </c>
      <c r="B364" s="100" t="s">
        <v>812</v>
      </c>
      <c r="C364" s="100">
        <v>2</v>
      </c>
      <c r="D364" s="104">
        <v>0.01246410252524172</v>
      </c>
      <c r="E364" s="104">
        <v>1.6232492903979006</v>
      </c>
      <c r="F364" s="100" t="s">
        <v>691</v>
      </c>
      <c r="G364" s="100" t="b">
        <v>0</v>
      </c>
      <c r="H364" s="100" t="b">
        <v>0</v>
      </c>
      <c r="I364" s="100" t="b">
        <v>0</v>
      </c>
      <c r="J364" s="100" t="b">
        <v>0</v>
      </c>
      <c r="K364" s="100" t="b">
        <v>0</v>
      </c>
      <c r="L364" s="100" t="b">
        <v>0</v>
      </c>
    </row>
    <row r="365" spans="1:12" ht="15">
      <c r="A365" s="102" t="s">
        <v>782</v>
      </c>
      <c r="B365" s="100" t="s">
        <v>782</v>
      </c>
      <c r="C365" s="100">
        <v>2</v>
      </c>
      <c r="D365" s="104">
        <v>0.015372604898806755</v>
      </c>
      <c r="E365" s="104">
        <v>1.5720967679505191</v>
      </c>
      <c r="F365" s="100" t="s">
        <v>691</v>
      </c>
      <c r="G365" s="100" t="b">
        <v>0</v>
      </c>
      <c r="H365" s="100" t="b">
        <v>0</v>
      </c>
      <c r="I365" s="100" t="b">
        <v>0</v>
      </c>
      <c r="J365" s="100" t="b">
        <v>0</v>
      </c>
      <c r="K365" s="100" t="b">
        <v>0</v>
      </c>
      <c r="L365" s="100" t="b">
        <v>0</v>
      </c>
    </row>
    <row r="366" spans="1:12" ht="15">
      <c r="A366" s="102" t="s">
        <v>722</v>
      </c>
      <c r="B366" s="100" t="s">
        <v>887</v>
      </c>
      <c r="C366" s="100">
        <v>2</v>
      </c>
      <c r="D366" s="104">
        <v>0.01246410252524172</v>
      </c>
      <c r="E366" s="104">
        <v>1.4471580313422192</v>
      </c>
      <c r="F366" s="100" t="s">
        <v>691</v>
      </c>
      <c r="G366" s="100" t="b">
        <v>0</v>
      </c>
      <c r="H366" s="100" t="b">
        <v>0</v>
      </c>
      <c r="I366" s="100" t="b">
        <v>0</v>
      </c>
      <c r="J366" s="100" t="b">
        <v>0</v>
      </c>
      <c r="K366" s="100" t="b">
        <v>0</v>
      </c>
      <c r="L366" s="100" t="b">
        <v>0</v>
      </c>
    </row>
    <row r="367" spans="1:12" ht="15">
      <c r="A367" s="102" t="s">
        <v>887</v>
      </c>
      <c r="B367" s="100" t="s">
        <v>725</v>
      </c>
      <c r="C367" s="100">
        <v>2</v>
      </c>
      <c r="D367" s="104">
        <v>0.01246410252524172</v>
      </c>
      <c r="E367" s="104">
        <v>1.9242792860618818</v>
      </c>
      <c r="F367" s="100" t="s">
        <v>691</v>
      </c>
      <c r="G367" s="100" t="b">
        <v>0</v>
      </c>
      <c r="H367" s="100" t="b">
        <v>0</v>
      </c>
      <c r="I367" s="100" t="b">
        <v>0</v>
      </c>
      <c r="J367" s="100" t="b">
        <v>0</v>
      </c>
      <c r="K367" s="100" t="b">
        <v>0</v>
      </c>
      <c r="L367" s="100" t="b">
        <v>0</v>
      </c>
    </row>
    <row r="368" spans="1:12" ht="15">
      <c r="A368" s="102" t="s">
        <v>725</v>
      </c>
      <c r="B368" s="100" t="s">
        <v>723</v>
      </c>
      <c r="C368" s="100">
        <v>2</v>
      </c>
      <c r="D368" s="104">
        <v>0.01246410252524172</v>
      </c>
      <c r="E368" s="104">
        <v>1.4471580313422192</v>
      </c>
      <c r="F368" s="100" t="s">
        <v>691</v>
      </c>
      <c r="G368" s="100" t="b">
        <v>0</v>
      </c>
      <c r="H368" s="100" t="b">
        <v>0</v>
      </c>
      <c r="I368" s="100" t="b">
        <v>0</v>
      </c>
      <c r="J368" s="100" t="b">
        <v>0</v>
      </c>
      <c r="K368" s="100" t="b">
        <v>0</v>
      </c>
      <c r="L368" s="100" t="b">
        <v>0</v>
      </c>
    </row>
    <row r="369" spans="1:12" ht="15">
      <c r="A369" s="102" t="s">
        <v>749</v>
      </c>
      <c r="B369" s="100" t="s">
        <v>749</v>
      </c>
      <c r="C369" s="100">
        <v>2</v>
      </c>
      <c r="D369" s="104">
        <v>0.015372604898806755</v>
      </c>
      <c r="E369" s="104">
        <v>1.3222192947339193</v>
      </c>
      <c r="F369" s="100" t="s">
        <v>691</v>
      </c>
      <c r="G369" s="100" t="b">
        <v>0</v>
      </c>
      <c r="H369" s="100" t="b">
        <v>0</v>
      </c>
      <c r="I369" s="100" t="b">
        <v>0</v>
      </c>
      <c r="J369" s="100" t="b">
        <v>0</v>
      </c>
      <c r="K369" s="100" t="b">
        <v>0</v>
      </c>
      <c r="L369" s="100" t="b">
        <v>0</v>
      </c>
    </row>
    <row r="370" spans="1:12" ht="15">
      <c r="A370" s="102" t="s">
        <v>895</v>
      </c>
      <c r="B370" s="100" t="s">
        <v>896</v>
      </c>
      <c r="C370" s="100">
        <v>2</v>
      </c>
      <c r="D370" s="104">
        <v>0.015372604898806755</v>
      </c>
      <c r="E370" s="104">
        <v>1.9242792860618818</v>
      </c>
      <c r="F370" s="100" t="s">
        <v>691</v>
      </c>
      <c r="G370" s="100" t="b">
        <v>0</v>
      </c>
      <c r="H370" s="100" t="b">
        <v>0</v>
      </c>
      <c r="I370" s="100" t="b">
        <v>0</v>
      </c>
      <c r="J370" s="100" t="b">
        <v>0</v>
      </c>
      <c r="K370" s="100" t="b">
        <v>0</v>
      </c>
      <c r="L370" s="100" t="b">
        <v>0</v>
      </c>
    </row>
    <row r="371" spans="1:12" ht="15">
      <c r="A371" s="102" t="s">
        <v>896</v>
      </c>
      <c r="B371" s="100" t="s">
        <v>897</v>
      </c>
      <c r="C371" s="100">
        <v>2</v>
      </c>
      <c r="D371" s="104">
        <v>0.015372604898806755</v>
      </c>
      <c r="E371" s="104">
        <v>1.9242792860618818</v>
      </c>
      <c r="F371" s="100" t="s">
        <v>691</v>
      </c>
      <c r="G371" s="100" t="b">
        <v>0</v>
      </c>
      <c r="H371" s="100" t="b">
        <v>0</v>
      </c>
      <c r="I371" s="100" t="b">
        <v>0</v>
      </c>
      <c r="J371" s="100" t="b">
        <v>0</v>
      </c>
      <c r="K371" s="100" t="b">
        <v>0</v>
      </c>
      <c r="L371" s="100" t="b">
        <v>0</v>
      </c>
    </row>
    <row r="372" spans="1:12" ht="15">
      <c r="A372" s="102" t="s">
        <v>722</v>
      </c>
      <c r="B372" s="100" t="s">
        <v>915</v>
      </c>
      <c r="C372" s="100">
        <v>2</v>
      </c>
      <c r="D372" s="104">
        <v>0.01246410252524172</v>
      </c>
      <c r="E372" s="104">
        <v>1.4471580313422192</v>
      </c>
      <c r="F372" s="100" t="s">
        <v>691</v>
      </c>
      <c r="G372" s="100" t="b">
        <v>0</v>
      </c>
      <c r="H372" s="100" t="b">
        <v>0</v>
      </c>
      <c r="I372" s="100" t="b">
        <v>0</v>
      </c>
      <c r="J372" s="100" t="b">
        <v>0</v>
      </c>
      <c r="K372" s="100" t="b">
        <v>0</v>
      </c>
      <c r="L372" s="100" t="b">
        <v>0</v>
      </c>
    </row>
    <row r="373" spans="1:12" ht="15">
      <c r="A373" s="102" t="s">
        <v>915</v>
      </c>
      <c r="B373" s="100" t="s">
        <v>812</v>
      </c>
      <c r="C373" s="100">
        <v>2</v>
      </c>
      <c r="D373" s="104">
        <v>0.01246410252524172</v>
      </c>
      <c r="E373" s="104">
        <v>1.6232492903979006</v>
      </c>
      <c r="F373" s="100" t="s">
        <v>691</v>
      </c>
      <c r="G373" s="100" t="b">
        <v>0</v>
      </c>
      <c r="H373" s="100" t="b">
        <v>0</v>
      </c>
      <c r="I373" s="100" t="b">
        <v>0</v>
      </c>
      <c r="J373" s="100" t="b">
        <v>0</v>
      </c>
      <c r="K373" s="100" t="b">
        <v>0</v>
      </c>
      <c r="L373" s="100" t="b">
        <v>0</v>
      </c>
    </row>
    <row r="374" spans="1:12" ht="15">
      <c r="A374" s="102" t="s">
        <v>919</v>
      </c>
      <c r="B374" s="100" t="s">
        <v>732</v>
      </c>
      <c r="C374" s="100">
        <v>2</v>
      </c>
      <c r="D374" s="104">
        <v>0.01246410252524172</v>
      </c>
      <c r="E374" s="104">
        <v>1.9242792860618818</v>
      </c>
      <c r="F374" s="100" t="s">
        <v>691</v>
      </c>
      <c r="G374" s="100" t="b">
        <v>0</v>
      </c>
      <c r="H374" s="100" t="b">
        <v>0</v>
      </c>
      <c r="I374" s="100" t="b">
        <v>0</v>
      </c>
      <c r="J374" s="100" t="b">
        <v>0</v>
      </c>
      <c r="K374" s="100" t="b">
        <v>1</v>
      </c>
      <c r="L374" s="100" t="b">
        <v>0</v>
      </c>
    </row>
    <row r="375" spans="1:12" ht="15">
      <c r="A375" s="102" t="s">
        <v>732</v>
      </c>
      <c r="B375" s="100" t="s">
        <v>920</v>
      </c>
      <c r="C375" s="100">
        <v>2</v>
      </c>
      <c r="D375" s="104">
        <v>0.01246410252524172</v>
      </c>
      <c r="E375" s="104">
        <v>1.9242792860618818</v>
      </c>
      <c r="F375" s="100" t="s">
        <v>691</v>
      </c>
      <c r="G375" s="100" t="b">
        <v>0</v>
      </c>
      <c r="H375" s="100" t="b">
        <v>1</v>
      </c>
      <c r="I375" s="100" t="b">
        <v>0</v>
      </c>
      <c r="J375" s="100" t="b">
        <v>0</v>
      </c>
      <c r="K375" s="100" t="b">
        <v>0</v>
      </c>
      <c r="L375" s="100" t="b">
        <v>0</v>
      </c>
    </row>
    <row r="376" spans="1:12" ht="15">
      <c r="A376" s="102" t="s">
        <v>734</v>
      </c>
      <c r="B376" s="100" t="s">
        <v>735</v>
      </c>
      <c r="C376" s="100">
        <v>10</v>
      </c>
      <c r="D376" s="104">
        <v>0.03185502599618849</v>
      </c>
      <c r="E376" s="104">
        <v>1.1760912590556813</v>
      </c>
      <c r="F376" s="100" t="s">
        <v>692</v>
      </c>
      <c r="G376" s="100" t="b">
        <v>0</v>
      </c>
      <c r="H376" s="100" t="b">
        <v>0</v>
      </c>
      <c r="I376" s="100" t="b">
        <v>0</v>
      </c>
      <c r="J376" s="100" t="b">
        <v>0</v>
      </c>
      <c r="K376" s="100" t="b">
        <v>0</v>
      </c>
      <c r="L376" s="100" t="b">
        <v>0</v>
      </c>
    </row>
    <row r="377" spans="1:12" ht="15">
      <c r="A377" s="102" t="s">
        <v>735</v>
      </c>
      <c r="B377" s="100" t="s">
        <v>736</v>
      </c>
      <c r="C377" s="100">
        <v>10</v>
      </c>
      <c r="D377" s="104">
        <v>0.03185502599618849</v>
      </c>
      <c r="E377" s="104">
        <v>1.1760912590556813</v>
      </c>
      <c r="F377" s="100" t="s">
        <v>692</v>
      </c>
      <c r="G377" s="100" t="b">
        <v>0</v>
      </c>
      <c r="H377" s="100" t="b">
        <v>0</v>
      </c>
      <c r="I377" s="100" t="b">
        <v>0</v>
      </c>
      <c r="J377" s="100" t="b">
        <v>0</v>
      </c>
      <c r="K377" s="100" t="b">
        <v>0</v>
      </c>
      <c r="L377" s="100" t="b">
        <v>0</v>
      </c>
    </row>
    <row r="378" spans="1:12" ht="15">
      <c r="A378" s="102" t="s">
        <v>736</v>
      </c>
      <c r="B378" s="100" t="s">
        <v>737</v>
      </c>
      <c r="C378" s="100">
        <v>10</v>
      </c>
      <c r="D378" s="104">
        <v>0.03185502599618849</v>
      </c>
      <c r="E378" s="104">
        <v>1.1760912590556813</v>
      </c>
      <c r="F378" s="100" t="s">
        <v>692</v>
      </c>
      <c r="G378" s="100" t="b">
        <v>0</v>
      </c>
      <c r="H378" s="100" t="b">
        <v>0</v>
      </c>
      <c r="I378" s="100" t="b">
        <v>0</v>
      </c>
      <c r="J378" s="100" t="b">
        <v>0</v>
      </c>
      <c r="K378" s="100" t="b">
        <v>0</v>
      </c>
      <c r="L378" s="100" t="b">
        <v>0</v>
      </c>
    </row>
    <row r="379" spans="1:12" ht="15">
      <c r="A379" s="102" t="s">
        <v>737</v>
      </c>
      <c r="B379" s="100" t="s">
        <v>738</v>
      </c>
      <c r="C379" s="100">
        <v>10</v>
      </c>
      <c r="D379" s="104">
        <v>0.03185502599618849</v>
      </c>
      <c r="E379" s="104">
        <v>1.1760912590556813</v>
      </c>
      <c r="F379" s="100" t="s">
        <v>692</v>
      </c>
      <c r="G379" s="100" t="b">
        <v>0</v>
      </c>
      <c r="H379" s="100" t="b">
        <v>0</v>
      </c>
      <c r="I379" s="100" t="b">
        <v>0</v>
      </c>
      <c r="J379" s="100" t="b">
        <v>0</v>
      </c>
      <c r="K379" s="100" t="b">
        <v>0</v>
      </c>
      <c r="L379" s="100" t="b">
        <v>0</v>
      </c>
    </row>
    <row r="380" spans="1:12" ht="15">
      <c r="A380" s="102" t="s">
        <v>738</v>
      </c>
      <c r="B380" s="100" t="s">
        <v>733</v>
      </c>
      <c r="C380" s="100">
        <v>10</v>
      </c>
      <c r="D380" s="104">
        <v>0.03185502599618849</v>
      </c>
      <c r="E380" s="104">
        <v>1.1346985738974562</v>
      </c>
      <c r="F380" s="100" t="s">
        <v>692</v>
      </c>
      <c r="G380" s="100" t="b">
        <v>0</v>
      </c>
      <c r="H380" s="100" t="b">
        <v>0</v>
      </c>
      <c r="I380" s="100" t="b">
        <v>0</v>
      </c>
      <c r="J380" s="100" t="b">
        <v>0</v>
      </c>
      <c r="K380" s="100" t="b">
        <v>0</v>
      </c>
      <c r="L380" s="100" t="b">
        <v>0</v>
      </c>
    </row>
    <row r="381" spans="1:12" ht="15">
      <c r="A381" s="102" t="s">
        <v>719</v>
      </c>
      <c r="B381" s="100" t="s">
        <v>718</v>
      </c>
      <c r="C381" s="100">
        <v>5</v>
      </c>
      <c r="D381" s="104">
        <v>0.026455026455026454</v>
      </c>
      <c r="E381" s="104">
        <v>1.4771212547196624</v>
      </c>
      <c r="F381" s="100" t="s">
        <v>692</v>
      </c>
      <c r="G381" s="100" t="b">
        <v>0</v>
      </c>
      <c r="H381" s="100" t="b">
        <v>0</v>
      </c>
      <c r="I381" s="100" t="b">
        <v>0</v>
      </c>
      <c r="J381" s="100" t="b">
        <v>0</v>
      </c>
      <c r="K381" s="100" t="b">
        <v>0</v>
      </c>
      <c r="L381" s="100" t="b">
        <v>0</v>
      </c>
    </row>
    <row r="382" spans="1:12" ht="15">
      <c r="A382" s="102" t="s">
        <v>754</v>
      </c>
      <c r="B382" s="100" t="s">
        <v>755</v>
      </c>
      <c r="C382" s="100">
        <v>4</v>
      </c>
      <c r="D382" s="104">
        <v>0.021164021164021163</v>
      </c>
      <c r="E382" s="104">
        <v>1.5740312677277188</v>
      </c>
      <c r="F382" s="100" t="s">
        <v>692</v>
      </c>
      <c r="G382" s="100" t="b">
        <v>0</v>
      </c>
      <c r="H382" s="100" t="b">
        <v>0</v>
      </c>
      <c r="I382" s="100" t="b">
        <v>0</v>
      </c>
      <c r="J382" s="100" t="b">
        <v>0</v>
      </c>
      <c r="K382" s="100" t="b">
        <v>0</v>
      </c>
      <c r="L382" s="100" t="b">
        <v>0</v>
      </c>
    </row>
    <row r="383" spans="1:12" ht="15">
      <c r="A383" s="102" t="s">
        <v>755</v>
      </c>
      <c r="B383" s="100" t="s">
        <v>756</v>
      </c>
      <c r="C383" s="100">
        <v>4</v>
      </c>
      <c r="D383" s="104">
        <v>0.021164021164021163</v>
      </c>
      <c r="E383" s="104">
        <v>1.5740312677277188</v>
      </c>
      <c r="F383" s="100" t="s">
        <v>692</v>
      </c>
      <c r="G383" s="100" t="b">
        <v>0</v>
      </c>
      <c r="H383" s="100" t="b">
        <v>0</v>
      </c>
      <c r="I383" s="100" t="b">
        <v>0</v>
      </c>
      <c r="J383" s="100" t="b">
        <v>0</v>
      </c>
      <c r="K383" s="100" t="b">
        <v>0</v>
      </c>
      <c r="L383" s="100" t="b">
        <v>0</v>
      </c>
    </row>
    <row r="384" spans="1:12" ht="15">
      <c r="A384" s="102" t="s">
        <v>756</v>
      </c>
      <c r="B384" s="100" t="s">
        <v>757</v>
      </c>
      <c r="C384" s="100">
        <v>4</v>
      </c>
      <c r="D384" s="104">
        <v>0.021164021164021163</v>
      </c>
      <c r="E384" s="104">
        <v>1.5740312677277188</v>
      </c>
      <c r="F384" s="100" t="s">
        <v>692</v>
      </c>
      <c r="G384" s="100" t="b">
        <v>0</v>
      </c>
      <c r="H384" s="100" t="b">
        <v>0</v>
      </c>
      <c r="I384" s="100" t="b">
        <v>0</v>
      </c>
      <c r="J384" s="100" t="b">
        <v>0</v>
      </c>
      <c r="K384" s="100" t="b">
        <v>0</v>
      </c>
      <c r="L384" s="100" t="b">
        <v>0</v>
      </c>
    </row>
    <row r="385" spans="1:12" ht="15">
      <c r="A385" s="102" t="s">
        <v>839</v>
      </c>
      <c r="B385" s="100" t="s">
        <v>840</v>
      </c>
      <c r="C385" s="100">
        <v>3</v>
      </c>
      <c r="D385" s="104">
        <v>0.025429523671872414</v>
      </c>
      <c r="E385" s="104">
        <v>1.6989700043360187</v>
      </c>
      <c r="F385" s="100" t="s">
        <v>692</v>
      </c>
      <c r="G385" s="100" t="b">
        <v>0</v>
      </c>
      <c r="H385" s="100" t="b">
        <v>0</v>
      </c>
      <c r="I385" s="100" t="b">
        <v>0</v>
      </c>
      <c r="J385" s="100" t="b">
        <v>0</v>
      </c>
      <c r="K385" s="100" t="b">
        <v>0</v>
      </c>
      <c r="L385" s="100" t="b">
        <v>0</v>
      </c>
    </row>
    <row r="386" spans="1:12" ht="15">
      <c r="A386" s="102" t="s">
        <v>749</v>
      </c>
      <c r="B386" s="100" t="s">
        <v>749</v>
      </c>
      <c r="C386" s="100">
        <v>2</v>
      </c>
      <c r="D386" s="104">
        <v>0.016953015781248276</v>
      </c>
      <c r="E386" s="104">
        <v>1.5228787452803376</v>
      </c>
      <c r="F386" s="100" t="s">
        <v>692</v>
      </c>
      <c r="G386" s="100" t="b">
        <v>0</v>
      </c>
      <c r="H386" s="100" t="b">
        <v>0</v>
      </c>
      <c r="I386" s="100" t="b">
        <v>0</v>
      </c>
      <c r="J386" s="100" t="b">
        <v>0</v>
      </c>
      <c r="K386" s="100" t="b">
        <v>0</v>
      </c>
      <c r="L386" s="100" t="b">
        <v>0</v>
      </c>
    </row>
    <row r="387" spans="1:12" ht="15">
      <c r="A387" s="102" t="s">
        <v>840</v>
      </c>
      <c r="B387" s="100" t="s">
        <v>839</v>
      </c>
      <c r="C387" s="100">
        <v>2</v>
      </c>
      <c r="D387" s="104">
        <v>0.016953015781248276</v>
      </c>
      <c r="E387" s="104">
        <v>1.5228787452803376</v>
      </c>
      <c r="F387" s="100" t="s">
        <v>692</v>
      </c>
      <c r="G387" s="100" t="b">
        <v>0</v>
      </c>
      <c r="H387" s="100" t="b">
        <v>0</v>
      </c>
      <c r="I387" s="100" t="b">
        <v>0</v>
      </c>
      <c r="J387" s="100" t="b">
        <v>0</v>
      </c>
      <c r="K387" s="100" t="b">
        <v>0</v>
      </c>
      <c r="L387" s="100" t="b">
        <v>0</v>
      </c>
    </row>
    <row r="388" spans="1:12" ht="15">
      <c r="A388" s="102" t="s">
        <v>732</v>
      </c>
      <c r="B388" s="100" t="s">
        <v>719</v>
      </c>
      <c r="C388" s="100">
        <v>2</v>
      </c>
      <c r="D388" s="104">
        <v>0.016953015781248276</v>
      </c>
      <c r="E388" s="104">
        <v>1.5740312677277188</v>
      </c>
      <c r="F388" s="100" t="s">
        <v>692</v>
      </c>
      <c r="G388" s="100" t="b">
        <v>0</v>
      </c>
      <c r="H388" s="100" t="b">
        <v>1</v>
      </c>
      <c r="I388" s="100" t="b">
        <v>0</v>
      </c>
      <c r="J388" s="100" t="b">
        <v>0</v>
      </c>
      <c r="K388" s="100" t="b">
        <v>0</v>
      </c>
      <c r="L388" s="100" t="b">
        <v>0</v>
      </c>
    </row>
    <row r="389" spans="1:12" ht="15">
      <c r="A389" s="102" t="s">
        <v>719</v>
      </c>
      <c r="B389" s="100" t="s">
        <v>718</v>
      </c>
      <c r="C389" s="100">
        <v>10</v>
      </c>
      <c r="D389" s="104">
        <v>0.025572959899517404</v>
      </c>
      <c r="E389" s="104">
        <v>1.0253058652647702</v>
      </c>
      <c r="F389" s="100" t="s">
        <v>693</v>
      </c>
      <c r="G389" s="100" t="b">
        <v>0</v>
      </c>
      <c r="H389" s="100" t="b">
        <v>0</v>
      </c>
      <c r="I389" s="100" t="b">
        <v>0</v>
      </c>
      <c r="J389" s="100" t="b">
        <v>0</v>
      </c>
      <c r="K389" s="100" t="b">
        <v>0</v>
      </c>
      <c r="L389" s="100" t="b">
        <v>0</v>
      </c>
    </row>
    <row r="390" spans="1:12" ht="15">
      <c r="A390" s="102" t="s">
        <v>718</v>
      </c>
      <c r="B390" s="100" t="s">
        <v>762</v>
      </c>
      <c r="C390" s="100">
        <v>9</v>
      </c>
      <c r="D390" s="104">
        <v>0.02628405609247103</v>
      </c>
      <c r="E390" s="104">
        <v>1.0710633558254454</v>
      </c>
      <c r="F390" s="100" t="s">
        <v>693</v>
      </c>
      <c r="G390" s="100" t="b">
        <v>0</v>
      </c>
      <c r="H390" s="100" t="b">
        <v>0</v>
      </c>
      <c r="I390" s="100" t="b">
        <v>0</v>
      </c>
      <c r="J390" s="100" t="b">
        <v>0</v>
      </c>
      <c r="K390" s="100" t="b">
        <v>0</v>
      </c>
      <c r="L390" s="100" t="b">
        <v>0</v>
      </c>
    </row>
    <row r="391" spans="1:12" ht="15">
      <c r="A391" s="102" t="s">
        <v>762</v>
      </c>
      <c r="B391" s="100" t="s">
        <v>763</v>
      </c>
      <c r="C391" s="100">
        <v>9</v>
      </c>
      <c r="D391" s="104">
        <v>0.02628405609247103</v>
      </c>
      <c r="E391" s="104">
        <v>1.0710633558254454</v>
      </c>
      <c r="F391" s="100" t="s">
        <v>693</v>
      </c>
      <c r="G391" s="100" t="b">
        <v>0</v>
      </c>
      <c r="H391" s="100" t="b">
        <v>0</v>
      </c>
      <c r="I391" s="100" t="b">
        <v>0</v>
      </c>
      <c r="J391" s="100" t="b">
        <v>0</v>
      </c>
      <c r="K391" s="100" t="b">
        <v>0</v>
      </c>
      <c r="L391" s="100" t="b">
        <v>0</v>
      </c>
    </row>
    <row r="392" spans="1:12" ht="15">
      <c r="A392" s="102" t="s">
        <v>830</v>
      </c>
      <c r="B392" s="100" t="s">
        <v>831</v>
      </c>
      <c r="C392" s="100">
        <v>3</v>
      </c>
      <c r="D392" s="104">
        <v>0.03148141177937903</v>
      </c>
      <c r="E392" s="104">
        <v>1.5481846105451078</v>
      </c>
      <c r="F392" s="100" t="s">
        <v>693</v>
      </c>
      <c r="G392" s="100" t="b">
        <v>0</v>
      </c>
      <c r="H392" s="100" t="b">
        <v>0</v>
      </c>
      <c r="I392" s="100" t="b">
        <v>0</v>
      </c>
      <c r="J392" s="100" t="b">
        <v>0</v>
      </c>
      <c r="K392" s="100" t="b">
        <v>0</v>
      </c>
      <c r="L392" s="100" t="b">
        <v>0</v>
      </c>
    </row>
    <row r="393" spans="1:12" ht="15">
      <c r="A393" s="102" t="s">
        <v>831</v>
      </c>
      <c r="B393" s="100" t="s">
        <v>832</v>
      </c>
      <c r="C393" s="100">
        <v>3</v>
      </c>
      <c r="D393" s="104">
        <v>0.03148141177937903</v>
      </c>
      <c r="E393" s="104">
        <v>1.5481846105451078</v>
      </c>
      <c r="F393" s="100" t="s">
        <v>693</v>
      </c>
      <c r="G393" s="100" t="b">
        <v>0</v>
      </c>
      <c r="H393" s="100" t="b">
        <v>0</v>
      </c>
      <c r="I393" s="100" t="b">
        <v>0</v>
      </c>
      <c r="J393" s="100" t="b">
        <v>0</v>
      </c>
      <c r="K393" s="100" t="b">
        <v>0</v>
      </c>
      <c r="L393" s="100" t="b">
        <v>0</v>
      </c>
    </row>
    <row r="394" spans="1:12" ht="15">
      <c r="A394" s="102" t="s">
        <v>832</v>
      </c>
      <c r="B394" s="100" t="s">
        <v>833</v>
      </c>
      <c r="C394" s="100">
        <v>3</v>
      </c>
      <c r="D394" s="104">
        <v>0.03148141177937903</v>
      </c>
      <c r="E394" s="104">
        <v>1.5481846105451078</v>
      </c>
      <c r="F394" s="100" t="s">
        <v>693</v>
      </c>
      <c r="G394" s="100" t="b">
        <v>0</v>
      </c>
      <c r="H394" s="100" t="b">
        <v>0</v>
      </c>
      <c r="I394" s="100" t="b">
        <v>0</v>
      </c>
      <c r="J394" s="100" t="b">
        <v>0</v>
      </c>
      <c r="K394" s="100" t="b">
        <v>0</v>
      </c>
      <c r="L394" s="100" t="b">
        <v>0</v>
      </c>
    </row>
    <row r="395" spans="1:12" ht="15">
      <c r="A395" s="102" t="s">
        <v>833</v>
      </c>
      <c r="B395" s="100" t="s">
        <v>834</v>
      </c>
      <c r="C395" s="100">
        <v>3</v>
      </c>
      <c r="D395" s="104">
        <v>0.03148141177937903</v>
      </c>
      <c r="E395" s="104">
        <v>1.5481846105451078</v>
      </c>
      <c r="F395" s="100" t="s">
        <v>693</v>
      </c>
      <c r="G395" s="100" t="b">
        <v>0</v>
      </c>
      <c r="H395" s="100" t="b">
        <v>0</v>
      </c>
      <c r="I395" s="100" t="b">
        <v>0</v>
      </c>
      <c r="J395" s="100" t="b">
        <v>0</v>
      </c>
      <c r="K395" s="100" t="b">
        <v>0</v>
      </c>
      <c r="L395" s="100" t="b">
        <v>0</v>
      </c>
    </row>
    <row r="396" spans="1:12" ht="15">
      <c r="A396" s="102" t="s">
        <v>834</v>
      </c>
      <c r="B396" s="100" t="s">
        <v>835</v>
      </c>
      <c r="C396" s="100">
        <v>3</v>
      </c>
      <c r="D396" s="104">
        <v>0.03148141177937903</v>
      </c>
      <c r="E396" s="104">
        <v>1.5481846105451078</v>
      </c>
      <c r="F396" s="100" t="s">
        <v>693</v>
      </c>
      <c r="G396" s="100" t="b">
        <v>0</v>
      </c>
      <c r="H396" s="100" t="b">
        <v>0</v>
      </c>
      <c r="I396" s="100" t="b">
        <v>0</v>
      </c>
      <c r="J396" s="100" t="b">
        <v>0</v>
      </c>
      <c r="K396" s="100" t="b">
        <v>0</v>
      </c>
      <c r="L396" s="100" t="b">
        <v>0</v>
      </c>
    </row>
    <row r="397" spans="1:12" ht="15">
      <c r="A397" s="102" t="s">
        <v>786</v>
      </c>
      <c r="B397" s="100" t="s">
        <v>787</v>
      </c>
      <c r="C397" s="100">
        <v>3</v>
      </c>
      <c r="D397" s="104">
        <v>0.020121381905101352</v>
      </c>
      <c r="E397" s="104">
        <v>1.5481846105451078</v>
      </c>
      <c r="F397" s="100" t="s">
        <v>693</v>
      </c>
      <c r="G397" s="100" t="b">
        <v>0</v>
      </c>
      <c r="H397" s="100" t="b">
        <v>0</v>
      </c>
      <c r="I397" s="100" t="b">
        <v>0</v>
      </c>
      <c r="J397" s="100" t="b">
        <v>0</v>
      </c>
      <c r="K397" s="100" t="b">
        <v>0</v>
      </c>
      <c r="L397" s="100" t="b">
        <v>0</v>
      </c>
    </row>
    <row r="398" spans="1:12" ht="15">
      <c r="A398" s="102" t="s">
        <v>787</v>
      </c>
      <c r="B398" s="100" t="s">
        <v>788</v>
      </c>
      <c r="C398" s="100">
        <v>3</v>
      </c>
      <c r="D398" s="104">
        <v>0.020121381905101352</v>
      </c>
      <c r="E398" s="104">
        <v>1.5481846105451078</v>
      </c>
      <c r="F398" s="100" t="s">
        <v>693</v>
      </c>
      <c r="G398" s="100" t="b">
        <v>0</v>
      </c>
      <c r="H398" s="100" t="b">
        <v>0</v>
      </c>
      <c r="I398" s="100" t="b">
        <v>0</v>
      </c>
      <c r="J398" s="100" t="b">
        <v>0</v>
      </c>
      <c r="K398" s="100" t="b">
        <v>0</v>
      </c>
      <c r="L398" s="100" t="b">
        <v>0</v>
      </c>
    </row>
    <row r="399" spans="1:12" ht="15">
      <c r="A399" s="102" t="s">
        <v>788</v>
      </c>
      <c r="B399" s="100" t="s">
        <v>720</v>
      </c>
      <c r="C399" s="100">
        <v>3</v>
      </c>
      <c r="D399" s="104">
        <v>0.020121381905101352</v>
      </c>
      <c r="E399" s="104">
        <v>1.5481846105451078</v>
      </c>
      <c r="F399" s="100" t="s">
        <v>693</v>
      </c>
      <c r="G399" s="100" t="b">
        <v>0</v>
      </c>
      <c r="H399" s="100" t="b">
        <v>0</v>
      </c>
      <c r="I399" s="100" t="b">
        <v>0</v>
      </c>
      <c r="J399" s="100" t="b">
        <v>1</v>
      </c>
      <c r="K399" s="100" t="b">
        <v>0</v>
      </c>
      <c r="L399" s="100" t="b">
        <v>0</v>
      </c>
    </row>
    <row r="400" spans="1:12" ht="15">
      <c r="A400" s="102" t="s">
        <v>835</v>
      </c>
      <c r="B400" s="100" t="s">
        <v>830</v>
      </c>
      <c r="C400" s="100">
        <v>2</v>
      </c>
      <c r="D400" s="104">
        <v>0.02098760785291935</v>
      </c>
      <c r="E400" s="104">
        <v>1.3720933514894265</v>
      </c>
      <c r="F400" s="100" t="s">
        <v>693</v>
      </c>
      <c r="G400" s="100" t="b">
        <v>0</v>
      </c>
      <c r="H400" s="100" t="b">
        <v>0</v>
      </c>
      <c r="I400" s="100" t="b">
        <v>0</v>
      </c>
      <c r="J400" s="100" t="b">
        <v>0</v>
      </c>
      <c r="K400" s="100" t="b">
        <v>0</v>
      </c>
      <c r="L400" s="100" t="b">
        <v>0</v>
      </c>
    </row>
    <row r="401" spans="1:12" ht="15">
      <c r="A401" s="102" t="s">
        <v>742</v>
      </c>
      <c r="B401" s="100" t="s">
        <v>743</v>
      </c>
      <c r="C401" s="100">
        <v>2</v>
      </c>
      <c r="D401" s="104">
        <v>0.01620935395349108</v>
      </c>
      <c r="E401" s="104">
        <v>1.724275869600789</v>
      </c>
      <c r="F401" s="100" t="s">
        <v>693</v>
      </c>
      <c r="G401" s="100" t="b">
        <v>0</v>
      </c>
      <c r="H401" s="100" t="b">
        <v>0</v>
      </c>
      <c r="I401" s="100" t="b">
        <v>0</v>
      </c>
      <c r="J401" s="100" t="b">
        <v>0</v>
      </c>
      <c r="K401" s="100" t="b">
        <v>0</v>
      </c>
      <c r="L401" s="100" t="b">
        <v>0</v>
      </c>
    </row>
    <row r="402" spans="1:12" ht="15">
      <c r="A402" s="102" t="s">
        <v>780</v>
      </c>
      <c r="B402" s="100" t="s">
        <v>746</v>
      </c>
      <c r="C402" s="100">
        <v>2</v>
      </c>
      <c r="D402" s="104">
        <v>0.01620935395349108</v>
      </c>
      <c r="E402" s="104">
        <v>1.5481846105451078</v>
      </c>
      <c r="F402" s="100" t="s">
        <v>693</v>
      </c>
      <c r="G402" s="100" t="b">
        <v>0</v>
      </c>
      <c r="H402" s="100" t="b">
        <v>1</v>
      </c>
      <c r="I402" s="100" t="b">
        <v>0</v>
      </c>
      <c r="J402" s="100" t="b">
        <v>0</v>
      </c>
      <c r="K402" s="100" t="b">
        <v>0</v>
      </c>
      <c r="L402" s="100" t="b">
        <v>0</v>
      </c>
    </row>
    <row r="403" spans="1:12" ht="15">
      <c r="A403" s="102" t="s">
        <v>782</v>
      </c>
      <c r="B403" s="100" t="s">
        <v>782</v>
      </c>
      <c r="C403" s="100">
        <v>2</v>
      </c>
      <c r="D403" s="104">
        <v>0.02098760785291935</v>
      </c>
      <c r="E403" s="104">
        <v>1.3720933514894265</v>
      </c>
      <c r="F403" s="100" t="s">
        <v>693</v>
      </c>
      <c r="G403" s="100" t="b">
        <v>0</v>
      </c>
      <c r="H403" s="100" t="b">
        <v>0</v>
      </c>
      <c r="I403" s="100" t="b">
        <v>0</v>
      </c>
      <c r="J403" s="100" t="b">
        <v>0</v>
      </c>
      <c r="K403" s="100" t="b">
        <v>0</v>
      </c>
      <c r="L403" s="100" t="b">
        <v>0</v>
      </c>
    </row>
    <row r="404" spans="1:12" ht="15">
      <c r="A404" s="102" t="s">
        <v>845</v>
      </c>
      <c r="B404" s="100" t="s">
        <v>845</v>
      </c>
      <c r="C404" s="100">
        <v>2</v>
      </c>
      <c r="D404" s="104">
        <v>0.02098760785291935</v>
      </c>
      <c r="E404" s="104">
        <v>1.3720933514894265</v>
      </c>
      <c r="F404" s="100" t="s">
        <v>693</v>
      </c>
      <c r="G404" s="100" t="b">
        <v>0</v>
      </c>
      <c r="H404" s="100" t="b">
        <v>0</v>
      </c>
      <c r="I404" s="100" t="b">
        <v>0</v>
      </c>
      <c r="J404" s="100" t="b">
        <v>0</v>
      </c>
      <c r="K404" s="100" t="b">
        <v>0</v>
      </c>
      <c r="L404" s="100" t="b">
        <v>0</v>
      </c>
    </row>
    <row r="405" spans="1:12" ht="15">
      <c r="A405" s="102" t="s">
        <v>726</v>
      </c>
      <c r="B405" s="100" t="s">
        <v>727</v>
      </c>
      <c r="C405" s="100">
        <v>4</v>
      </c>
      <c r="D405" s="104">
        <v>0.04106312673998003</v>
      </c>
      <c r="E405" s="104">
        <v>1.153814864344529</v>
      </c>
      <c r="F405" s="100" t="s">
        <v>694</v>
      </c>
      <c r="G405" s="100" t="b">
        <v>0</v>
      </c>
      <c r="H405" s="100" t="b">
        <v>0</v>
      </c>
      <c r="I405" s="100" t="b">
        <v>0</v>
      </c>
      <c r="J405" s="100" t="b">
        <v>0</v>
      </c>
      <c r="K405" s="100" t="b">
        <v>0</v>
      </c>
      <c r="L405" s="100" t="b">
        <v>0</v>
      </c>
    </row>
    <row r="406" spans="1:12" ht="15">
      <c r="A406" s="102" t="s">
        <v>727</v>
      </c>
      <c r="B406" s="100" t="s">
        <v>720</v>
      </c>
      <c r="C406" s="100">
        <v>4</v>
      </c>
      <c r="D406" s="104">
        <v>0.04106312673998003</v>
      </c>
      <c r="E406" s="104">
        <v>1.153814864344529</v>
      </c>
      <c r="F406" s="100" t="s">
        <v>694</v>
      </c>
      <c r="G406" s="100" t="b">
        <v>0</v>
      </c>
      <c r="H406" s="100" t="b">
        <v>0</v>
      </c>
      <c r="I406" s="100" t="b">
        <v>0</v>
      </c>
      <c r="J406" s="100" t="b">
        <v>1</v>
      </c>
      <c r="K406" s="100" t="b">
        <v>0</v>
      </c>
      <c r="L406" s="100" t="b">
        <v>0</v>
      </c>
    </row>
    <row r="407" spans="1:12" ht="15">
      <c r="A407" s="102" t="s">
        <v>720</v>
      </c>
      <c r="B407" s="100" t="s">
        <v>728</v>
      </c>
      <c r="C407" s="100">
        <v>4</v>
      </c>
      <c r="D407" s="104">
        <v>0.04106312673998003</v>
      </c>
      <c r="E407" s="104">
        <v>0.8527848686805478</v>
      </c>
      <c r="F407" s="100" t="s">
        <v>694</v>
      </c>
      <c r="G407" s="100" t="b">
        <v>1</v>
      </c>
      <c r="H407" s="100" t="b">
        <v>0</v>
      </c>
      <c r="I407" s="100" t="b">
        <v>0</v>
      </c>
      <c r="J407" s="100" t="b">
        <v>0</v>
      </c>
      <c r="K407" s="100" t="b">
        <v>1</v>
      </c>
      <c r="L407" s="100" t="b">
        <v>0</v>
      </c>
    </row>
    <row r="408" spans="1:12" ht="15">
      <c r="A408" s="102" t="s">
        <v>728</v>
      </c>
      <c r="B408" s="100" t="s">
        <v>729</v>
      </c>
      <c r="C408" s="100">
        <v>4</v>
      </c>
      <c r="D408" s="104">
        <v>0.04106312673998003</v>
      </c>
      <c r="E408" s="104">
        <v>1.153814864344529</v>
      </c>
      <c r="F408" s="100" t="s">
        <v>694</v>
      </c>
      <c r="G408" s="100" t="b">
        <v>0</v>
      </c>
      <c r="H408" s="100" t="b">
        <v>1</v>
      </c>
      <c r="I408" s="100" t="b">
        <v>0</v>
      </c>
      <c r="J408" s="100" t="b">
        <v>0</v>
      </c>
      <c r="K408" s="100" t="b">
        <v>0</v>
      </c>
      <c r="L408" s="100" t="b">
        <v>0</v>
      </c>
    </row>
    <row r="409" spans="1:12" ht="15">
      <c r="A409" s="102" t="s">
        <v>729</v>
      </c>
      <c r="B409" s="100" t="s">
        <v>730</v>
      </c>
      <c r="C409" s="100">
        <v>4</v>
      </c>
      <c r="D409" s="104">
        <v>0.04106312673998003</v>
      </c>
      <c r="E409" s="104">
        <v>1.153814864344529</v>
      </c>
      <c r="F409" s="100" t="s">
        <v>694</v>
      </c>
      <c r="G409" s="100" t="b">
        <v>0</v>
      </c>
      <c r="H409" s="100" t="b">
        <v>0</v>
      </c>
      <c r="I409" s="100" t="b">
        <v>0</v>
      </c>
      <c r="J409" s="100" t="b">
        <v>0</v>
      </c>
      <c r="K409" s="100" t="b">
        <v>0</v>
      </c>
      <c r="L409" s="100" t="b">
        <v>0</v>
      </c>
    </row>
    <row r="410" spans="1:12" ht="15">
      <c r="A410" s="102" t="s">
        <v>730</v>
      </c>
      <c r="B410" s="100" t="s">
        <v>731</v>
      </c>
      <c r="C410" s="100">
        <v>4</v>
      </c>
      <c r="D410" s="104">
        <v>0.04106312673998003</v>
      </c>
      <c r="E410" s="104">
        <v>1.153814864344529</v>
      </c>
      <c r="F410" s="100" t="s">
        <v>694</v>
      </c>
      <c r="G410" s="100" t="b">
        <v>0</v>
      </c>
      <c r="H410" s="100" t="b">
        <v>0</v>
      </c>
      <c r="I410" s="100" t="b">
        <v>0</v>
      </c>
      <c r="J410" s="100" t="b">
        <v>0</v>
      </c>
      <c r="K410" s="100" t="b">
        <v>0</v>
      </c>
      <c r="L410" s="100" t="b">
        <v>0</v>
      </c>
    </row>
    <row r="411" spans="1:12" ht="15">
      <c r="A411" s="102" t="s">
        <v>789</v>
      </c>
      <c r="B411" s="100" t="s">
        <v>790</v>
      </c>
      <c r="C411" s="100">
        <v>2</v>
      </c>
      <c r="D411" s="104">
        <v>0.02866750919874626</v>
      </c>
      <c r="E411" s="104">
        <v>1.4548448600085102</v>
      </c>
      <c r="F411" s="100" t="s">
        <v>694</v>
      </c>
      <c r="G411" s="100" t="b">
        <v>0</v>
      </c>
      <c r="H411" s="100" t="b">
        <v>1</v>
      </c>
      <c r="I411" s="100" t="b">
        <v>0</v>
      </c>
      <c r="J411" s="100" t="b">
        <v>0</v>
      </c>
      <c r="K411" s="100" t="b">
        <v>0</v>
      </c>
      <c r="L411" s="100" t="b">
        <v>0</v>
      </c>
    </row>
    <row r="412" spans="1:12" ht="15">
      <c r="A412" s="102" t="s">
        <v>790</v>
      </c>
      <c r="B412" s="100" t="s">
        <v>791</v>
      </c>
      <c r="C412" s="100">
        <v>2</v>
      </c>
      <c r="D412" s="104">
        <v>0.02866750919874626</v>
      </c>
      <c r="E412" s="104">
        <v>1.4548448600085102</v>
      </c>
      <c r="F412" s="100" t="s">
        <v>694</v>
      </c>
      <c r="G412" s="100" t="b">
        <v>0</v>
      </c>
      <c r="H412" s="100" t="b">
        <v>0</v>
      </c>
      <c r="I412" s="100" t="b">
        <v>0</v>
      </c>
      <c r="J412" s="100" t="b">
        <v>0</v>
      </c>
      <c r="K412" s="100" t="b">
        <v>0</v>
      </c>
      <c r="L412" s="100" t="b">
        <v>0</v>
      </c>
    </row>
    <row r="413" spans="1:12" ht="15">
      <c r="A413" s="102" t="s">
        <v>754</v>
      </c>
      <c r="B413" s="100" t="s">
        <v>755</v>
      </c>
      <c r="C413" s="100">
        <v>2</v>
      </c>
      <c r="D413" s="104">
        <v>0.02866750919874626</v>
      </c>
      <c r="E413" s="104">
        <v>1.4548448600085102</v>
      </c>
      <c r="F413" s="100" t="s">
        <v>694</v>
      </c>
      <c r="G413" s="100" t="b">
        <v>0</v>
      </c>
      <c r="H413" s="100" t="b">
        <v>0</v>
      </c>
      <c r="I413" s="100" t="b">
        <v>0</v>
      </c>
      <c r="J413" s="100" t="b">
        <v>0</v>
      </c>
      <c r="K413" s="100" t="b">
        <v>0</v>
      </c>
      <c r="L413" s="100" t="b">
        <v>0</v>
      </c>
    </row>
    <row r="414" spans="1:12" ht="15">
      <c r="A414" s="102" t="s">
        <v>755</v>
      </c>
      <c r="B414" s="100" t="s">
        <v>756</v>
      </c>
      <c r="C414" s="100">
        <v>2</v>
      </c>
      <c r="D414" s="104">
        <v>0.02866750919874626</v>
      </c>
      <c r="E414" s="104">
        <v>1.4548448600085102</v>
      </c>
      <c r="F414" s="100" t="s">
        <v>694</v>
      </c>
      <c r="G414" s="100" t="b">
        <v>0</v>
      </c>
      <c r="H414" s="100" t="b">
        <v>0</v>
      </c>
      <c r="I414" s="100" t="b">
        <v>0</v>
      </c>
      <c r="J414" s="100" t="b">
        <v>0</v>
      </c>
      <c r="K414" s="100" t="b">
        <v>0</v>
      </c>
      <c r="L414" s="100" t="b">
        <v>0</v>
      </c>
    </row>
    <row r="415" spans="1:12" ht="15">
      <c r="A415" s="102" t="s">
        <v>756</v>
      </c>
      <c r="B415" s="100" t="s">
        <v>757</v>
      </c>
      <c r="C415" s="100">
        <v>2</v>
      </c>
      <c r="D415" s="104">
        <v>0.02866750919874626</v>
      </c>
      <c r="E415" s="104">
        <v>1.4548448600085102</v>
      </c>
      <c r="F415" s="100" t="s">
        <v>694</v>
      </c>
      <c r="G415" s="100" t="b">
        <v>0</v>
      </c>
      <c r="H415" s="100" t="b">
        <v>0</v>
      </c>
      <c r="I415" s="100" t="b">
        <v>0</v>
      </c>
      <c r="J415" s="100" t="b">
        <v>0</v>
      </c>
      <c r="K415" s="100" t="b">
        <v>0</v>
      </c>
      <c r="L415" s="100" t="b">
        <v>0</v>
      </c>
    </row>
    <row r="416" spans="1:12" ht="15">
      <c r="A416" s="102" t="s">
        <v>718</v>
      </c>
      <c r="B416" s="100" t="s">
        <v>760</v>
      </c>
      <c r="C416" s="100">
        <v>2</v>
      </c>
      <c r="D416" s="104">
        <v>0.02866750919874626</v>
      </c>
      <c r="E416" s="104">
        <v>1.4548448600085102</v>
      </c>
      <c r="F416" s="100" t="s">
        <v>694</v>
      </c>
      <c r="G416" s="100" t="b">
        <v>0</v>
      </c>
      <c r="H416" s="100" t="b">
        <v>0</v>
      </c>
      <c r="I416" s="100" t="b">
        <v>0</v>
      </c>
      <c r="J416" s="100" t="b">
        <v>0</v>
      </c>
      <c r="K416" s="100" t="b">
        <v>0</v>
      </c>
      <c r="L416" s="100" t="b">
        <v>0</v>
      </c>
    </row>
    <row r="417" spans="1:12" ht="15">
      <c r="A417" s="102" t="s">
        <v>760</v>
      </c>
      <c r="B417" s="100" t="s">
        <v>740</v>
      </c>
      <c r="C417" s="100">
        <v>2</v>
      </c>
      <c r="D417" s="104">
        <v>0.02866750919874626</v>
      </c>
      <c r="E417" s="104">
        <v>1.4548448600085102</v>
      </c>
      <c r="F417" s="100" t="s">
        <v>694</v>
      </c>
      <c r="G417" s="100" t="b">
        <v>0</v>
      </c>
      <c r="H417" s="100" t="b">
        <v>0</v>
      </c>
      <c r="I417" s="100" t="b">
        <v>0</v>
      </c>
      <c r="J417" s="100" t="b">
        <v>0</v>
      </c>
      <c r="K417" s="100" t="b">
        <v>0</v>
      </c>
      <c r="L417" s="100" t="b">
        <v>0</v>
      </c>
    </row>
    <row r="418" spans="1:12" ht="15">
      <c r="A418" s="102" t="s">
        <v>740</v>
      </c>
      <c r="B418" s="100" t="s">
        <v>761</v>
      </c>
      <c r="C418" s="100">
        <v>2</v>
      </c>
      <c r="D418" s="104">
        <v>0.02866750919874626</v>
      </c>
      <c r="E418" s="104">
        <v>1.4548448600085102</v>
      </c>
      <c r="F418" s="100" t="s">
        <v>694</v>
      </c>
      <c r="G418" s="100" t="b">
        <v>0</v>
      </c>
      <c r="H418" s="100" t="b">
        <v>0</v>
      </c>
      <c r="I418" s="100" t="b">
        <v>0</v>
      </c>
      <c r="J418" s="100" t="b">
        <v>0</v>
      </c>
      <c r="K418" s="100" t="b">
        <v>0</v>
      </c>
      <c r="L418" s="100" t="b">
        <v>0</v>
      </c>
    </row>
    <row r="419" spans="1:12" ht="15">
      <c r="A419" s="102" t="s">
        <v>720</v>
      </c>
      <c r="B419" s="100" t="s">
        <v>821</v>
      </c>
      <c r="C419" s="100">
        <v>2</v>
      </c>
      <c r="D419" s="104">
        <v>0.02866750919874626</v>
      </c>
      <c r="E419" s="104">
        <v>0.8527848686805478</v>
      </c>
      <c r="F419" s="100" t="s">
        <v>694</v>
      </c>
      <c r="G419" s="100" t="b">
        <v>1</v>
      </c>
      <c r="H419" s="100" t="b">
        <v>0</v>
      </c>
      <c r="I419" s="100" t="b">
        <v>0</v>
      </c>
      <c r="J419" s="100" t="b">
        <v>0</v>
      </c>
      <c r="K419" s="100" t="b">
        <v>0</v>
      </c>
      <c r="L419" s="100" t="b">
        <v>0</v>
      </c>
    </row>
    <row r="420" spans="1:12" ht="15">
      <c r="A420" s="102" t="s">
        <v>721</v>
      </c>
      <c r="B420" s="100" t="s">
        <v>820</v>
      </c>
      <c r="C420" s="100">
        <v>2</v>
      </c>
      <c r="D420" s="104">
        <v>0.02866750919874626</v>
      </c>
      <c r="E420" s="104">
        <v>1.4548448600085102</v>
      </c>
      <c r="F420" s="100" t="s">
        <v>694</v>
      </c>
      <c r="G420" s="100" t="b">
        <v>0</v>
      </c>
      <c r="H420" s="100" t="b">
        <v>0</v>
      </c>
      <c r="I420" s="100" t="b">
        <v>0</v>
      </c>
      <c r="J420" s="100" t="b">
        <v>1</v>
      </c>
      <c r="K420" s="100" t="b">
        <v>0</v>
      </c>
      <c r="L420" s="100" t="b">
        <v>0</v>
      </c>
    </row>
    <row r="421" spans="1:12" ht="15">
      <c r="A421" s="102" t="s">
        <v>734</v>
      </c>
      <c r="B421" s="100" t="s">
        <v>735</v>
      </c>
      <c r="C421" s="100">
        <v>2</v>
      </c>
      <c r="D421" s="104">
        <v>0.026539904602452473</v>
      </c>
      <c r="E421" s="104">
        <v>1.2304489213782739</v>
      </c>
      <c r="F421" s="100" t="s">
        <v>695</v>
      </c>
      <c r="G421" s="100" t="b">
        <v>0</v>
      </c>
      <c r="H421" s="100" t="b">
        <v>0</v>
      </c>
      <c r="I421" s="100" t="b">
        <v>0</v>
      </c>
      <c r="J421" s="100" t="b">
        <v>0</v>
      </c>
      <c r="K421" s="100" t="b">
        <v>0</v>
      </c>
      <c r="L421" s="100" t="b">
        <v>0</v>
      </c>
    </row>
    <row r="422" spans="1:12" ht="15">
      <c r="A422" s="102" t="s">
        <v>735</v>
      </c>
      <c r="B422" s="100" t="s">
        <v>736</v>
      </c>
      <c r="C422" s="100">
        <v>2</v>
      </c>
      <c r="D422" s="104">
        <v>0.026539904602452473</v>
      </c>
      <c r="E422" s="104">
        <v>1.2304489213782739</v>
      </c>
      <c r="F422" s="100" t="s">
        <v>695</v>
      </c>
      <c r="G422" s="100" t="b">
        <v>0</v>
      </c>
      <c r="H422" s="100" t="b">
        <v>0</v>
      </c>
      <c r="I422" s="100" t="b">
        <v>0</v>
      </c>
      <c r="J422" s="100" t="b">
        <v>0</v>
      </c>
      <c r="K422" s="100" t="b">
        <v>0</v>
      </c>
      <c r="L422" s="100" t="b">
        <v>0</v>
      </c>
    </row>
    <row r="423" spans="1:12" ht="15">
      <c r="A423" s="102" t="s">
        <v>736</v>
      </c>
      <c r="B423" s="100" t="s">
        <v>737</v>
      </c>
      <c r="C423" s="100">
        <v>2</v>
      </c>
      <c r="D423" s="104">
        <v>0.026539904602452473</v>
      </c>
      <c r="E423" s="104">
        <v>1.2304489213782739</v>
      </c>
      <c r="F423" s="100" t="s">
        <v>695</v>
      </c>
      <c r="G423" s="100" t="b">
        <v>0</v>
      </c>
      <c r="H423" s="100" t="b">
        <v>0</v>
      </c>
      <c r="I423" s="100" t="b">
        <v>0</v>
      </c>
      <c r="J423" s="100" t="b">
        <v>0</v>
      </c>
      <c r="K423" s="100" t="b">
        <v>0</v>
      </c>
      <c r="L423" s="100" t="b">
        <v>0</v>
      </c>
    </row>
    <row r="424" spans="1:12" ht="15">
      <c r="A424" s="102" t="s">
        <v>737</v>
      </c>
      <c r="B424" s="100" t="s">
        <v>738</v>
      </c>
      <c r="C424" s="100">
        <v>2</v>
      </c>
      <c r="D424" s="104">
        <v>0.026539904602452473</v>
      </c>
      <c r="E424" s="104">
        <v>1.2304489213782739</v>
      </c>
      <c r="F424" s="100" t="s">
        <v>695</v>
      </c>
      <c r="G424" s="100" t="b">
        <v>0</v>
      </c>
      <c r="H424" s="100" t="b">
        <v>0</v>
      </c>
      <c r="I424" s="100" t="b">
        <v>0</v>
      </c>
      <c r="J424" s="100" t="b">
        <v>0</v>
      </c>
      <c r="K424" s="100" t="b">
        <v>0</v>
      </c>
      <c r="L424" s="100" t="b">
        <v>0</v>
      </c>
    </row>
    <row r="425" spans="1:12" ht="15">
      <c r="A425" s="102" t="s">
        <v>738</v>
      </c>
      <c r="B425" s="100" t="s">
        <v>733</v>
      </c>
      <c r="C425" s="100">
        <v>2</v>
      </c>
      <c r="D425" s="104">
        <v>0.026539904602452473</v>
      </c>
      <c r="E425" s="104">
        <v>1.2304489213782739</v>
      </c>
      <c r="F425" s="100" t="s">
        <v>695</v>
      </c>
      <c r="G425" s="100" t="b">
        <v>0</v>
      </c>
      <c r="H425" s="100" t="b">
        <v>0</v>
      </c>
      <c r="I425" s="100" t="b">
        <v>0</v>
      </c>
      <c r="J425" s="100" t="b">
        <v>0</v>
      </c>
      <c r="K425" s="100" t="b">
        <v>0</v>
      </c>
      <c r="L425" s="100" t="b">
        <v>0</v>
      </c>
    </row>
    <row r="426" spans="1:12" ht="15">
      <c r="A426" s="102" t="s">
        <v>721</v>
      </c>
      <c r="B426" s="100" t="s">
        <v>722</v>
      </c>
      <c r="C426" s="100">
        <v>2</v>
      </c>
      <c r="D426" s="104">
        <v>0.026539904602452473</v>
      </c>
      <c r="E426" s="104">
        <v>1.0543576623225925</v>
      </c>
      <c r="F426" s="100" t="s">
        <v>695</v>
      </c>
      <c r="G426" s="100" t="b">
        <v>0</v>
      </c>
      <c r="H426" s="100" t="b">
        <v>0</v>
      </c>
      <c r="I426" s="100" t="b">
        <v>0</v>
      </c>
      <c r="J426" s="100" t="b">
        <v>0</v>
      </c>
      <c r="K426" s="100" t="b">
        <v>0</v>
      </c>
      <c r="L426" s="100" t="b">
        <v>0</v>
      </c>
    </row>
    <row r="427" spans="1:12" ht="15">
      <c r="A427" s="102" t="s">
        <v>722</v>
      </c>
      <c r="B427" s="100" t="s">
        <v>795</v>
      </c>
      <c r="C427" s="100">
        <v>2</v>
      </c>
      <c r="D427" s="104">
        <v>0.026539904602452473</v>
      </c>
      <c r="E427" s="104">
        <v>1.2304489213782739</v>
      </c>
      <c r="F427" s="100" t="s">
        <v>695</v>
      </c>
      <c r="G427" s="100" t="b">
        <v>0</v>
      </c>
      <c r="H427" s="100" t="b">
        <v>0</v>
      </c>
      <c r="I427" s="100" t="b">
        <v>0</v>
      </c>
      <c r="J427" s="100" t="b">
        <v>0</v>
      </c>
      <c r="K427" s="100" t="b">
        <v>0</v>
      </c>
      <c r="L427" s="100" t="b">
        <v>0</v>
      </c>
    </row>
    <row r="428" spans="1:12" ht="15">
      <c r="A428" s="102" t="s">
        <v>795</v>
      </c>
      <c r="B428" s="100" t="s">
        <v>725</v>
      </c>
      <c r="C428" s="100">
        <v>2</v>
      </c>
      <c r="D428" s="104">
        <v>0.026539904602452473</v>
      </c>
      <c r="E428" s="104">
        <v>1.2304489213782739</v>
      </c>
      <c r="F428" s="100" t="s">
        <v>695</v>
      </c>
      <c r="G428" s="100" t="b">
        <v>0</v>
      </c>
      <c r="H428" s="100" t="b">
        <v>0</v>
      </c>
      <c r="I428" s="100" t="b">
        <v>0</v>
      </c>
      <c r="J428" s="100" t="b">
        <v>0</v>
      </c>
      <c r="K428" s="100" t="b">
        <v>0</v>
      </c>
      <c r="L428" s="100" t="b">
        <v>0</v>
      </c>
    </row>
    <row r="429" spans="1:12" ht="15">
      <c r="A429" s="102" t="s">
        <v>725</v>
      </c>
      <c r="B429" s="100" t="s">
        <v>723</v>
      </c>
      <c r="C429" s="100">
        <v>2</v>
      </c>
      <c r="D429" s="104">
        <v>0.026539904602452473</v>
      </c>
      <c r="E429" s="104">
        <v>1.2304489213782739</v>
      </c>
      <c r="F429" s="100" t="s">
        <v>695</v>
      </c>
      <c r="G429" s="100" t="b">
        <v>0</v>
      </c>
      <c r="H429" s="100" t="b">
        <v>0</v>
      </c>
      <c r="I429" s="100" t="b">
        <v>0</v>
      </c>
      <c r="J429" s="100" t="b">
        <v>0</v>
      </c>
      <c r="K429" s="100" t="b">
        <v>0</v>
      </c>
      <c r="L429" s="100" t="b">
        <v>0</v>
      </c>
    </row>
    <row r="430" spans="1:12" ht="15">
      <c r="A430" s="102" t="s">
        <v>777</v>
      </c>
      <c r="B430" s="100" t="s">
        <v>778</v>
      </c>
      <c r="C430" s="100">
        <v>6</v>
      </c>
      <c r="D430" s="104">
        <v>0</v>
      </c>
      <c r="E430" s="104">
        <v>0.7132104434506291</v>
      </c>
      <c r="F430" s="100" t="s">
        <v>696</v>
      </c>
      <c r="G430" s="100" t="b">
        <v>0</v>
      </c>
      <c r="H430" s="100" t="b">
        <v>0</v>
      </c>
      <c r="I430" s="100" t="b">
        <v>0</v>
      </c>
      <c r="J430" s="100" t="b">
        <v>0</v>
      </c>
      <c r="K430" s="100" t="b">
        <v>0</v>
      </c>
      <c r="L430" s="100" t="b">
        <v>0</v>
      </c>
    </row>
    <row r="431" spans="1:12" ht="15">
      <c r="A431" s="102" t="s">
        <v>778</v>
      </c>
      <c r="B431" s="100" t="s">
        <v>759</v>
      </c>
      <c r="C431" s="100">
        <v>6</v>
      </c>
      <c r="D431" s="104">
        <v>0</v>
      </c>
      <c r="E431" s="104">
        <v>0.7132104434506291</v>
      </c>
      <c r="F431" s="100" t="s">
        <v>696</v>
      </c>
      <c r="G431" s="100" t="b">
        <v>0</v>
      </c>
      <c r="H431" s="100" t="b">
        <v>0</v>
      </c>
      <c r="I431" s="100" t="b">
        <v>0</v>
      </c>
      <c r="J431" s="100" t="b">
        <v>0</v>
      </c>
      <c r="K431" s="100" t="b">
        <v>0</v>
      </c>
      <c r="L431" s="100" t="b">
        <v>0</v>
      </c>
    </row>
    <row r="432" spans="1:12" ht="15">
      <c r="A432" s="102" t="s">
        <v>759</v>
      </c>
      <c r="B432" s="100" t="s">
        <v>779</v>
      </c>
      <c r="C432" s="100">
        <v>6</v>
      </c>
      <c r="D432" s="104">
        <v>0</v>
      </c>
      <c r="E432" s="104">
        <v>0.7132104434506291</v>
      </c>
      <c r="F432" s="100" t="s">
        <v>696</v>
      </c>
      <c r="G432" s="100" t="b">
        <v>0</v>
      </c>
      <c r="H432" s="100" t="b">
        <v>0</v>
      </c>
      <c r="I432" s="100" t="b">
        <v>0</v>
      </c>
      <c r="J432" s="100" t="b">
        <v>0</v>
      </c>
      <c r="K432" s="100" t="b">
        <v>0</v>
      </c>
      <c r="L432" s="100" t="b">
        <v>0</v>
      </c>
    </row>
    <row r="433" spans="1:12" ht="15">
      <c r="A433" s="102" t="s">
        <v>779</v>
      </c>
      <c r="B433" s="100" t="s">
        <v>777</v>
      </c>
      <c r="C433" s="100">
        <v>4</v>
      </c>
      <c r="D433" s="104">
        <v>0</v>
      </c>
      <c r="E433" s="104">
        <v>0.5371191843949479</v>
      </c>
      <c r="F433" s="100" t="s">
        <v>696</v>
      </c>
      <c r="G433" s="100" t="b">
        <v>0</v>
      </c>
      <c r="H433" s="100" t="b">
        <v>0</v>
      </c>
      <c r="I433" s="100" t="b">
        <v>0</v>
      </c>
      <c r="J433" s="100" t="b">
        <v>0</v>
      </c>
      <c r="K433" s="100" t="b">
        <v>0</v>
      </c>
      <c r="L433" s="100" t="b">
        <v>0</v>
      </c>
    </row>
    <row r="434" spans="1:12" ht="15">
      <c r="A434" s="102" t="s">
        <v>758</v>
      </c>
      <c r="B434" s="100" t="s">
        <v>724</v>
      </c>
      <c r="C434" s="100">
        <v>2</v>
      </c>
      <c r="D434" s="104">
        <v>0</v>
      </c>
      <c r="E434" s="104">
        <v>1.1903316981702916</v>
      </c>
      <c r="F434" s="100" t="s">
        <v>696</v>
      </c>
      <c r="G434" s="100" t="b">
        <v>0</v>
      </c>
      <c r="H434" s="100" t="b">
        <v>0</v>
      </c>
      <c r="I434" s="100" t="b">
        <v>0</v>
      </c>
      <c r="J434" s="100" t="b">
        <v>0</v>
      </c>
      <c r="K434" s="100" t="b">
        <v>0</v>
      </c>
      <c r="L434" s="10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1C8FE7-82FC-462A-95A3-BE8CF4A994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2021-03-25T23:21:19Z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