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530"/>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<sst xmlns="http://schemas.openxmlformats.org/spreadsheetml/2006/main" count="5450" uniqueCount="1214">
  <si>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</si>
  <si>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</si>
  <si>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</si>
  <si>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</si>
  <si>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</si>
  <si>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</si>
  <si>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</si>
  <si>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</si>
  <si>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</si>
  <si>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</si>
  <si>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</si>
  <si>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</si>
  <si>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</si>
  <si>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</si>
  <si>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</si>
  <si>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</si>
  <si>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</si>
  <si>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</si>
  <si>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</si>
  <si>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</si>
  <si>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</si>
  <si>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</si>
  <si>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</si>
  <si>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</si>
  <si>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</si>
  <si>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</si>
  <si>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</si>
  <si>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</si>
  <si>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</si>
  <si>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</si>
  <si>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</si>
  <si>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</si>
  <si>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</si>
  <si>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</si>
  <si>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</si>
  <si>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</si>
  <si>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</si>
  <si>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</si>
  <si>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</si>
  <si>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</si>
  <si>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</si>
  <si>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</si>
  <si>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</si>
  <si>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</si>
  <si>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</si>
  <si>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</si>
  <si>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</si>
  <si>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</si>
  <si>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</si>
  <si>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</si>
  <si>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</si>
  <si>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</si>
  <si>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</si>
  <si>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</si>
  <si>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</si>
  <si>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</si>
  <si>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</si>
  <si>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</si>
  <si>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</si>
  <si>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</si>
  <si>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</si>
  <si>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</si>
  <si>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</si>
  <si>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</si>
  <si>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</si>
  <si>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</si>
  <si>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</si>
  <si>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</si>
  <si>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</si>
  <si>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</si>
  <si>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</si>
  <si>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</si>
  <si>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</si>
  <si>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</si>
  <si>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</si>
  <si>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</si>
  <si>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</si>
  <si>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</si>
  <si>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</si>
  <si>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</si>
  <si>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</si>
  <si>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</si>
  <si>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</si>
  <si>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</si>
  <si>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</si>
  <si>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</si>
  <si>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</si>
  <si>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</si>
  <si>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</si>
  <si>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</si>
  <si>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</si>
  <si>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</si>
  <si>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</si>
  <si>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</si>
  <si>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</si>
  <si>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</si>
  <si>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</si>
  <si>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</si>
  <si>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</si>
  <si>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</si>
  <si>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</si>
  <si>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</si>
  <si>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</si>
  <si>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</si>
  <si>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</si>
  <si>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</si>
  <si>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</si>
  <si>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</si>
  <si>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</si>
  <si>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</si>
  <si>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</si>
  <si>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</si>
  <si>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</si>
  <si>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</si>
  <si>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</si>
  <si>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</si>
  <si>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</si>
  <si>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</si>
  <si>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</si>
  <si>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</si>
  <si>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</si>
  <si>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</si>
  <si>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</si>
  <si>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</si>
  <si>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</si>
  <si>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</si>
  <si>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</si>
  <si>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</si>
  <si>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</si>
  <si>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</si>
  <si>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</si>
  <si>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</si>
  <si>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</si>
  <si>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</si>
  <si>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</si>
  <si>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</si>
  <si>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</si>
  <si>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</si>
  <si>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</si>
  <si>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</si>
  <si>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</si>
  <si>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</si>
  <si>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</si>
  <si>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</si>
  <si>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</si>
  <si>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</si>
  <si>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</si>
  <si>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</si>
  <si>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</si>
  <si>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</si>
  <si>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</si>
  <si>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</si>
  <si>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</si>
  <si>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</si>
  <si>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</si>
  <si>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</si>
  <si>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</si>
  <si>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</si>
  <si>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</si>
  <si>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</si>
  <si>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</si>
  <si>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</si>
  <si>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</si>
  <si>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</si>
  <si>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</si>
  <si>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</si>
  <si>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</si>
  <si>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</si>
  <si>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</si>
  <si>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</si>
  <si>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</si>
  <si>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</si>
  <si>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</si>
  <si>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</si>
  <si>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</si>
  <si>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</si>
  <si>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</si>
  <si>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</si>
  <si>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</si>
  <si>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</si>
  <si>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</si>
  <si>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</si>
  <si>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</si>
  <si>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</si>
  <si>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</si>
  <si>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</si>
  <si>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</si>
  <si>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</si>
  <si>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</si>
  <si>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</si>
  <si>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 xml:space="preserve">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</si>
  <si>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</si>
  <si>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</si>
  <si>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</si>
  <si>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</si>
  <si>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</si>
  <si>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</si>
  <si>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</si>
  <si>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</si>
  <si>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</si>
  <si>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</si>
  <si>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</si>
  <si>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</si>
  <si>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</si>
  <si>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</si>
  <si>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</si>
  <si>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</si>
  <si>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</si>
  <si>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</si>
  <si>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</si>
  <si>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</si>
  <si>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</si>
  <si>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</si>
  <si>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</si>
  <si>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</si>
  <si>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</si>
  <si>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</si>
  <si>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</si>
  <si>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</si>
  <si>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</si>
  <si>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</si>
  <si>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</si>
  <si>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</si>
  <si>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</si>
  <si>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</si>
  <si>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</si>
  <si>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</si>
  <si>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</si>
  <si>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</si>
  <si>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</si>
  <si>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</si>
  <si>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</si>
  <si>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</si>
  <si>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</si>
  <si>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</si>
  <si>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</si>
  <si>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</si>
  <si>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</si>
  <si>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</si>
  <si>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</si>
  <si>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</si>
  <si>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</si>
  <si>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</si>
  <si>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</si>
  <si>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</si>
  <si>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</si>
  <si>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</si>
  <si>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</si>
  <si>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</si>
  <si>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</si>
  <si>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</si>
  <si>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ses_imt</t>
  </si>
  <si>
    <t>charsquires</t>
  </si>
  <si>
    <t>addymcleod</t>
  </si>
  <si>
    <t>haryjalendheria</t>
  </si>
  <si>
    <t>patchpradeep</t>
  </si>
  <si>
    <t>dundeechest</t>
  </si>
  <si>
    <t>yugant_</t>
  </si>
  <si>
    <t>jonnygucks</t>
  </si>
  <si>
    <t>michellegyenes</t>
  </si>
  <si>
    <t>victor58110002</t>
  </si>
  <si>
    <t>molliejane93</t>
  </si>
  <si>
    <t>datmukherjee</t>
  </si>
  <si>
    <t>lungsatwork</t>
  </si>
  <si>
    <t>labinjohc</t>
  </si>
  <si>
    <t>telehealthbot</t>
  </si>
  <si>
    <t>rcpedin</t>
  </si>
  <si>
    <t>medicinegov</t>
  </si>
  <si>
    <t>vanitarora</t>
  </si>
  <si>
    <t>edinburghstroke</t>
  </si>
  <si>
    <t>drzakakhan</t>
  </si>
  <si>
    <t>kemuol</t>
  </si>
  <si>
    <t>rcpedintrainees</t>
  </si>
  <si>
    <t>tinahen08</t>
  </si>
  <si>
    <t>rahaff</t>
  </si>
  <si>
    <t>bmj</t>
  </si>
  <si>
    <t>ucdmedicine</t>
  </si>
  <si>
    <t>ingridhoeritza1</t>
  </si>
  <si>
    <t>dalmedschool</t>
  </si>
  <si>
    <t>patcroskerry</t>
  </si>
  <si>
    <t>symptomsofsvd</t>
  </si>
  <si>
    <t>rowan_wallace</t>
  </si>
  <si>
    <t>rcpsych</t>
  </si>
  <si>
    <t>Retweet</t>
  </si>
  <si>
    <t>MentionsInRetweet</t>
  </si>
  <si>
    <t>Mentions</t>
  </si>
  <si>
    <t>Replies to</t>
  </si>
  <si>
    <t>There’s still time to join us at our popular Medical Trainees conference which takes place later this month! Hear from our exciting line up of speakers that will showcase a snapshot of a day in the life of a medical trainee: https://t.co/0SXUgtImdv #rcpeTrainees21 https://t.co/B7kUsUvaGr</t>
  </si>
  <si>
    <t>We are so excited to launch our medical trainees symposium! It’s been a year of hard work by our education team hope you enjoy! #rcpeTrainees21</t>
  </si>
  <si>
    <t>Breaking news!! Only 4 decisions to make in neurology. Is it upper motor neurone? Lower motor neurone? Extra-Pyramidal or functional? Phew! #rcpeTrainees21</t>
  </si>
  <si>
    <t>Thanks to the Royal College of Physicians Edinburgh Trainees committee for the invite to speak about breathlessness at their conference today.  A lot to get through in 25 minutes! #rcpeTrainees21</t>
  </si>
  <si>
    <t>Great talk on neurology in the outpatient environment from @ingridHoeritza at the Royal College.  Neurology is tough!   #rcpeTrainees21</t>
  </si>
  <si>
    <t>My colleague Sudhir Tauro (not on Twitter..) giving a really in depth talk on anaemia in the outpatient department.  Haematology is tough!
 #rcpeTrainees21 https://t.co/amdEVDbRiV</t>
  </si>
  <si>
    <t>Great infographic from the @BMJ on functional neurology! Thanks to Dr Ingrid Hoeritzauer who is taking us through how to systematically review a patient presenting with neurological promblems. #rcpeTrainees21 https://t.co/Xast1xtQsZ</t>
  </si>
  <si>
    <t>The eyes sees what the mind knows 
#rcpeTrainees21 https://t.co/QutfxqVpK4</t>
  </si>
  <si>
    <t>We are delighted to announce Dr Una Clancy who is the winner of the Croom lecture. She will be delivering a talk on cerebral small vessel disease and it’s effects on patients. #rcpeTrainees21 https://t.co/79QglRxZTD</t>
  </si>
  <si>
    <t>Excellent talk by @IngridHoeritza1 on an introduction to neurology. I learned so much from the different videos presented on types of tremor and functional neurological disorders - I look forward to checking out Prof Tubridy's videos on YouTube. @ucdmedicine #rcpeTrainees21</t>
  </si>
  <si>
    <t>So excited to hear @patcroskerry of @DalMedSchool speak about clinical decision-making and the diagnostic process. His teaching should be essential for all medical trainees! #rcpeTrainees21</t>
  </si>
  <si>
    <t>To close off the morning, @SymptomsOfSVD Dr. Una Clancy is discussing "incidental" cerebral small vessel disease and red flag symptoms she has identified as part of her PhD as well as experience in geriatric medicine.  #rcpeTrainees21</t>
  </si>
  <si>
    <t>@SymptomsOfSVD brilliant talk by Dr Una Clancy. Small vessel disease isn't always asymptomatic and has associations with 'non-stroke' symptoms including fatigue, apathy and 'general decline' #rcpeTrainees21</t>
  </si>
  <si>
    <t>@RCPEdin brilliant talk about clinical decision making and thinking fast and slow in the medical trainees symposium. Diagnostic failure and understanding our patterns of thinking and cognitive bias is so important, especially in these busy stressful times! #rcpeTrainees21</t>
  </si>
  <si>
    <t>A Great Online CASE BasedTraining in Medicine from Royal College of Physician, Edinburgh. 
#CBL: CASE Based Learning 
#rcpeTrainees21 https://t.co/cc0EpSzoa8</t>
  </si>
  <si>
    <t>Absolutely fantastic quality of poster presentations at the conference today. Well done to all who submitted such excellent quality of work, in the midst of a global pandemic. Your dedication to medical education is outstanding! #rcpeTrainees21</t>
  </si>
  <si>
    <t>We are really enjoying all of the videos of neurological presentations. #rcpeTrainees21</t>
  </si>
  <si>
    <t>If you could only have three tests for anaemia: Dr Tauro suggests the HB, Reticulocyte count and a Blood Film. But thankfully friendly haematologist will always be on hand to help out further. #rcpeTrainees21</t>
  </si>
  <si>
    <t>Great start to a talk on anaemia. Being described in Scotland as ‘Peely Wally’ being a good diagnostic clue that the patient might be anaemic. #rcpeTrainees21</t>
  </si>
  <si>
    <t>It has been a great #rcpeTrainees21 event so far...  This afternoon we have sessions on ITU, Frailty, COVID cognitive bias, managing vague symptoms, prizes and more! Follow from 13:45 for more pearls... #MedEd</t>
  </si>
  <si>
    <t>"Deranged physiology in a patient who is alright is the exception to the rule". Dr Smith highlights the biases we bring to interpreting NEWS2 scored... why don't we believe them? #rcpeTrainees21 #MedEd https://t.co/Nrz9lH42TY</t>
  </si>
  <si>
    <t>Welcome to everyone attending our Medical Trainees online symposium! We hope you enjoy the fantastic line-up of speakers and their talks, and don’t forgot to use #rcpeTrainees21 to follow the conversation</t>
  </si>
  <si>
    <t>Today's #rcpeTrainees21 programme includes:
Session 1 - A morning in the outpatient clinic
Session 2 - Key lectures
Session 3 - An afternoon on the wards
Session 4 - Clinical Lessons &amp;amp; Journal Prize Lecture</t>
  </si>
  <si>
    <t>Delirium is the commonest presentation in the elderly with COVID19 and should be screened with the 4AT. 
@rowan_wallace 
You can find the 4AT below. It can help predict &amp;amp; prevent morbidity and mortality.
#rcpeTrainees21 https://t.co/IgvPQPkROy</t>
  </si>
  <si>
    <t>When you're live-tweeting about airway management for #rcpeTrainees21 but you're a dermatology reg
Pls tell me if I say something silly about capnography https://t.co/WFEyjUUAkh</t>
  </si>
  <si>
    <t>Next up is @rowan_wallace discussing frailty.
Frailty is:
- common
- progressive
- episodic
- expensive
-(partly) preventable
- measured by an accumulation of deficits
#rcpeTrainees21</t>
  </si>
  <si>
    <t>Psychiatry one of the hardest specialties with a large margin for error. We always knew our psychiatry colleagues work really hard and are amazing at their roles but now better appreciate just how complex a specialty it is. #rcpeTrainees21 @rcpsych</t>
  </si>
  <si>
    <t>What do patients mean by breathlessness? Well it’s important to explore the history closely. Is it at rest? Position? Diurnal changes? Constantly? #rcpeTrainees21</t>
  </si>
  <si>
    <t>V/Q scans are best for small clots of if you are worried about chronic PE. Don’t get rid of your V/Q scanners says Dr Tom Fardon. #rcpeTrainees21</t>
  </si>
  <si>
    <t>Anaemic patient with a macrocytosis...with a normal B12 and folate...how do you distinguish between acute blood loss and haemolysis? Dr Tauro is helpfully explaining what further clues generalists can use to decide. #rcpeTrainees21</t>
  </si>
  <si>
    <t>10-20,000 patients die annually in the UK due to diagnostic failures. Professor Pat Croskerry explains why we get it wrong, and what we can do to make better diagnostic decisions for our patients. #rcpeTrainees21</t>
  </si>
  <si>
    <t>Next up we have Dr John Smith, from Raigmore Hospital, Inverness. He's an Anaesthetics &amp;amp; ICU consultant and will be chatting about ICU for medical trainees.
General principles: warning scores are useful but there is no substitute for being at the bedside #rcpeTrainees21 https://t.co/3CKMWtOyfk</t>
  </si>
  <si>
    <t>"Age should be no barrier to acceptance into critical care"
Strong reminder!
Questions to ask:
- Is it reversible?
- What is their physiological reserve?
- Does the patient understand the decision?
- Are there alternatives to Critical Care admission?
#rcpeTrainees21</t>
  </si>
  <si>
    <t>Some top tips on making a critical care referral from #medicine, by Dr John Smith! #rcpeTrainees21 https://t.co/NTpxTduJNu</t>
  </si>
  <si>
    <t>What is the best fluid??
The ultimate question...
The most important thing is to be able to measure if it has worked.
Oh, and to know when to reach for something that packs more punch! This is down to the cause of hypotension.
#rcpeTrainees21</t>
  </si>
  <si>
    <t>What is your favourite fluid??? 
No context here, just what do you like? #rcpeTrainees21</t>
  </si>
  <si>
    <t>It's important to remember the life trajectories of patients with frailty, in terms of function. #rcpeTrainees21 https://t.co/5p7zKrwhrG</t>
  </si>
  <si>
    <t>You can find the clinical frailty score here:
https://t.co/D4E22bCiIj
#rcpeTrainees21</t>
  </si>
  <si>
    <t>ac.uk</t>
  </si>
  <si>
    <t>twitter.com</t>
  </si>
  <si>
    <t>org.uk</t>
  </si>
  <si>
    <t>rcpetrainees21</t>
  </si>
  <si>
    <t>cbl rcpetrainees21</t>
  </si>
  <si>
    <t>rcpetrainees21 meded</t>
  </si>
  <si>
    <t>medicine rcpetrainees21</t>
  </si>
  <si>
    <t>22:14:04</t>
  </si>
  <si>
    <t>09:38:00</t>
  </si>
  <si>
    <t>10:00:04</t>
  </si>
  <si>
    <t>10:18:16</t>
  </si>
  <si>
    <t>10:38:18</t>
  </si>
  <si>
    <t>10:38:07</t>
  </si>
  <si>
    <t>10:49:21</t>
  </si>
  <si>
    <t>10:50:43</t>
  </si>
  <si>
    <t>10:38:32</t>
  </si>
  <si>
    <t>12:04:36</t>
  </si>
  <si>
    <t>12:26:28</t>
  </si>
  <si>
    <t>10:34:48</t>
  </si>
  <si>
    <t>11:39:52</t>
  </si>
  <si>
    <t>12:27:42</t>
  </si>
  <si>
    <t>08:53:47</t>
  </si>
  <si>
    <t>12:35:03</t>
  </si>
  <si>
    <t>13:03:33</t>
  </si>
  <si>
    <t>12:17:54</t>
  </si>
  <si>
    <t>13:16:55</t>
  </si>
  <si>
    <t>12:16:28</t>
  </si>
  <si>
    <t>12:25:21</t>
  </si>
  <si>
    <t>12:26:04</t>
  </si>
  <si>
    <t>12:27:22</t>
  </si>
  <si>
    <t>13:11:47</t>
  </si>
  <si>
    <t>13:18:04</t>
  </si>
  <si>
    <t>13:28:21</t>
  </si>
  <si>
    <t>13:40:23</t>
  </si>
  <si>
    <t>13:57:11</t>
  </si>
  <si>
    <t>09:01:09</t>
  </si>
  <si>
    <t>09:03:07</t>
  </si>
  <si>
    <t>14:10:09</t>
  </si>
  <si>
    <t>15:08:50</t>
  </si>
  <si>
    <t>17:48:12</t>
  </si>
  <si>
    <t>18:41:26</t>
  </si>
  <si>
    <t>02:49:04</t>
  </si>
  <si>
    <t>14:29:22</t>
  </si>
  <si>
    <t>14:39:09</t>
  </si>
  <si>
    <t>14:50:46</t>
  </si>
  <si>
    <t>10:16:08</t>
  </si>
  <si>
    <t>14:53:12</t>
  </si>
  <si>
    <t>11:46:37</t>
  </si>
  <si>
    <t>07:13:53</t>
  </si>
  <si>
    <t>10:01:09</t>
  </si>
  <si>
    <t>09:34:45</t>
  </si>
  <si>
    <t>09:44:24</t>
  </si>
  <si>
    <t>10:07:24</t>
  </si>
  <si>
    <t>10:10:42</t>
  </si>
  <si>
    <t>10:25:28</t>
  </si>
  <si>
    <t>10:38:04</t>
  </si>
  <si>
    <t>10:53:44</t>
  </si>
  <si>
    <t>11:00:26</t>
  </si>
  <si>
    <t>11:09:50</t>
  </si>
  <si>
    <t>11:37:02</t>
  </si>
  <si>
    <t>12:23:40</t>
  </si>
  <si>
    <t>13:15:37</t>
  </si>
  <si>
    <t>13:50:56</t>
  </si>
  <si>
    <t>13:54:19</t>
  </si>
  <si>
    <t>13:57:42</t>
  </si>
  <si>
    <t>14:03:17</t>
  </si>
  <si>
    <t>14:10:57</t>
  </si>
  <si>
    <t>14:12:37</t>
  </si>
  <si>
    <t>14:20:22</t>
  </si>
  <si>
    <t>14:36:21</t>
  </si>
  <si>
    <t>14:37:11</t>
  </si>
  <si>
    <t>13:38:06</t>
  </si>
  <si>
    <t>14:47:17</t>
  </si>
  <si>
    <t>14:50:16</t>
  </si>
  <si>
    <t>16:34:10</t>
  </si>
  <si>
    <t>03:12:58</t>
  </si>
  <si>
    <t>1351654183737257986</t>
  </si>
  <si>
    <t>1352551076864663552</t>
  </si>
  <si>
    <t>1352556628793581569</t>
  </si>
  <si>
    <t>1352561208130478082</t>
  </si>
  <si>
    <t>1352566250967339008</t>
  </si>
  <si>
    <t>1352566203785609217</t>
  </si>
  <si>
    <t>1352569033695096832</t>
  </si>
  <si>
    <t>1352569377984491520</t>
  </si>
  <si>
    <t>1352566312292163585</t>
  </si>
  <si>
    <t>1352587969522094082</t>
  </si>
  <si>
    <t>1352593474000986133</t>
  </si>
  <si>
    <t>1352565369886670848</t>
  </si>
  <si>
    <t>1352581746676674560</t>
  </si>
  <si>
    <t>1352593783251230721</t>
  </si>
  <si>
    <t>1352539949942366209</t>
  </si>
  <si>
    <t>1352595634642153474</t>
  </si>
  <si>
    <t>1352602806839103488</t>
  </si>
  <si>
    <t>1352591317088542721</t>
  </si>
  <si>
    <t>1352606169358020609</t>
  </si>
  <si>
    <t>1352590957351464961</t>
  </si>
  <si>
    <t>1352593192214999048</t>
  </si>
  <si>
    <t>1352593372989579265</t>
  </si>
  <si>
    <t>1352593699339907084</t>
  </si>
  <si>
    <t>1352604876715548674</t>
  </si>
  <si>
    <t>1352606456911114242</t>
  </si>
  <si>
    <t>1352609046302482434</t>
  </si>
  <si>
    <t>1352612072308277249</t>
  </si>
  <si>
    <t>1352616302783983618</t>
  </si>
  <si>
    <t>1352541804881719297</t>
  </si>
  <si>
    <t>1352542299541147648</t>
  </si>
  <si>
    <t>1352619565138796550</t>
  </si>
  <si>
    <t>1352634334742634496</t>
  </si>
  <si>
    <t>1352674440228831233</t>
  </si>
  <si>
    <t>1352687836005330944</t>
  </si>
  <si>
    <t>1352810551781584897</t>
  </si>
  <si>
    <t>1352624403503308804</t>
  </si>
  <si>
    <t>1352626861822631941</t>
  </si>
  <si>
    <t>1352629788838678529</t>
  </si>
  <si>
    <t>1352560671636992000</t>
  </si>
  <si>
    <t>1352630399814533128</t>
  </si>
  <si>
    <t>1352583444308627457</t>
  </si>
  <si>
    <t>1352877196117995520</t>
  </si>
  <si>
    <t>1350020185672048641</t>
  </si>
  <si>
    <t>1352550257519980544</t>
  </si>
  <si>
    <t>1352552687548690433</t>
  </si>
  <si>
    <t>1352558476648734722</t>
  </si>
  <si>
    <t>1352559303824187392</t>
  </si>
  <si>
    <t>1352563022984867841</t>
  </si>
  <si>
    <t>1352566192741998593</t>
  </si>
  <si>
    <t>1352570134876082177</t>
  </si>
  <si>
    <t>1352571821376364545</t>
  </si>
  <si>
    <t>1352574187852996609</t>
  </si>
  <si>
    <t>1352581030386028544</t>
  </si>
  <si>
    <t>1352592769848631296</t>
  </si>
  <si>
    <t>1352605840021319684</t>
  </si>
  <si>
    <t>1352614731408932868</t>
  </si>
  <si>
    <t>1352615580193468417</t>
  </si>
  <si>
    <t>1352616433998557188</t>
  </si>
  <si>
    <t>1352617835881787392</t>
  </si>
  <si>
    <t>1352619767358771203</t>
  </si>
  <si>
    <t>1352620184645881857</t>
  </si>
  <si>
    <t>1352622138302332929</t>
  </si>
  <si>
    <t>1352626157393485825</t>
  </si>
  <si>
    <t>1352626367653961731</t>
  </si>
  <si>
    <t>1352611500335230979</t>
  </si>
  <si>
    <t>1352628912111628292</t>
  </si>
  <si>
    <t>1352629659985440772</t>
  </si>
  <si>
    <t>1352655809050779655</t>
  </si>
  <si>
    <t>1350279852755193857</t>
  </si>
  <si>
    <t/>
  </si>
  <si>
    <t>976115421458944002</t>
  </si>
  <si>
    <t>113298824</t>
  </si>
  <si>
    <t>en</t>
  </si>
  <si>
    <t>1352584475805442048</t>
  </si>
  <si>
    <t>Twitter for Android</t>
  </si>
  <si>
    <t>Twitter for iPhone</t>
  </si>
  <si>
    <t>Twitter Web App</t>
  </si>
  <si>
    <t>Hootsuite Inc.</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</si>
  <si>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</si>
  <si>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</si>
  <si>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</si>
  <si>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</si>
  <si>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</si>
  <si>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</si>
  <si>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</si>
  <si>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</si>
  <si>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</si>
  <si>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</si>
  <si>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</si>
  <si>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</si>
  <si>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</si>
  <si>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</si>
  <si>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</si>
  <si>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</si>
  <si>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</si>
  <si>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</si>
  <si>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</si>
  <si>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</si>
  <si>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</si>
  <si>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</si>
  <si>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</si>
  <si>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RCPEdin Trainees</t>
  </si>
  <si>
    <t>IMT-SES</t>
  </si>
  <si>
    <t>Charlotte Squires</t>
  </si>
  <si>
    <t>adelina mcleod</t>
  </si>
  <si>
    <t>Muhammad Haris</t>
  </si>
  <si>
    <t>Pradeep Rajagopalan</t>
  </si>
  <si>
    <t>Tom Fardon</t>
  </si>
  <si>
    <t>Yugant кhапd</t>
  </si>
  <si>
    <t>@</t>
  </si>
  <si>
    <t>Jonny Guckian</t>
  </si>
  <si>
    <t>Michelle Gyenes</t>
  </si>
  <si>
    <t>UCD Medicine</t>
  </si>
  <si>
    <t>Ingrid Hoeritzauer</t>
  </si>
  <si>
    <t>DalMedSchool</t>
  </si>
  <si>
    <t>Pat Croskerry</t>
  </si>
  <si>
    <t>Una Clancy</t>
  </si>
  <si>
    <t>Mans Salah</t>
  </si>
  <si>
    <t>Mollie Jane</t>
  </si>
  <si>
    <t>RCPEdin</t>
  </si>
  <si>
    <t>Dattatreya Mukherjee</t>
  </si>
  <si>
    <t>Dr Jo Szram _xD83D__xDC99_</t>
  </si>
  <si>
    <t>Catherine Labinjoh</t>
  </si>
  <si>
    <t>MedEd</t>
  </si>
  <si>
    <t>▶️ @MEDICINEGOV</t>
  </si>
  <si>
    <t>Vanita Arora</t>
  </si>
  <si>
    <t>Rowan Wallace</t>
  </si>
  <si>
    <t>Edinburgh Stroke</t>
  </si>
  <si>
    <t>Mohammed Zakaullah Khan</t>
  </si>
  <si>
    <t>King Edward Med Uni</t>
  </si>
  <si>
    <t>Tina Ryan</t>
  </si>
  <si>
    <t>Royal College of Psychiatrists</t>
  </si>
  <si>
    <t>lonely rose</t>
  </si>
  <si>
    <t>4915573046</t>
  </si>
  <si>
    <t>1098590169215782913</t>
  </si>
  <si>
    <t>315754544</t>
  </si>
  <si>
    <t>152046558</t>
  </si>
  <si>
    <t>364844291</t>
  </si>
  <si>
    <t>212426926</t>
  </si>
  <si>
    <t>76742523</t>
  </si>
  <si>
    <t>1320183781</t>
  </si>
  <si>
    <t>540569441</t>
  </si>
  <si>
    <t>159626527</t>
  </si>
  <si>
    <t>3037358518</t>
  </si>
  <si>
    <t>38226816</t>
  </si>
  <si>
    <t>3431477271</t>
  </si>
  <si>
    <t>20060190</t>
  </si>
  <si>
    <t>300422360</t>
  </si>
  <si>
    <t>725068509542240258</t>
  </si>
  <si>
    <t>4125932955</t>
  </si>
  <si>
    <t>3149908802</t>
  </si>
  <si>
    <t>376846753</t>
  </si>
  <si>
    <t>3197124886</t>
  </si>
  <si>
    <t>1329558322744356864</t>
  </si>
  <si>
    <t>3311856665</t>
  </si>
  <si>
    <t>109609546</t>
  </si>
  <si>
    <t>227451696</t>
  </si>
  <si>
    <t>1926190464</t>
  </si>
  <si>
    <t>1207033214809911302</t>
  </si>
  <si>
    <t>3219099573</t>
  </si>
  <si>
    <t>2357053204</t>
  </si>
  <si>
    <t>15300222</t>
  </si>
  <si>
    <t>63094990</t>
  </si>
  <si>
    <t>Twitter account for Royal College of Physicians Edinburgh Trainees &amp; Members' Committee. @RCPEdin trainees@rcpe.ac.uk</t>
  </si>
  <si>
    <t>Internal Medicine Training programme, South East Scotland. Here to share info! For individual enquiries, please email your TPDs. Views our own (of the TPDs)</t>
  </si>
  <si>
    <t>Geriatric Med SpR. Digital Media Editor for @gerisoc and #geribookclub host. Eternal bookworm, occasional blogger, bad knitter, worse runner. She/her.</t>
  </si>
  <si>
    <t>Geriatric medicine trainee @MADEinHEENE | Chair @RCPEdinTrainees | HLA scholar | She/her | Views my own</t>
  </si>
  <si>
    <t>Borderline OCD. Fairy Tale</t>
  </si>
  <si>
    <t>Respiratory , Sleep and General medicine specialist , Passionate about patient centred care.</t>
  </si>
  <si>
    <t>Chest doctor in Tayside, Chair National Advisory Group for Respiratory Medicine, Respiratory Lead Scottish Access Collaborative, runner, cyclist, house trained.</t>
  </si>
  <si>
    <t>Final Year Medical Student #NAIHS, Kathmandu, Nepal                                 Learning and Reflecting</t>
  </si>
  <si>
    <t>this username price 1091 USD. by PayPal.  if you want @bmj, send dm me.</t>
  </si>
  <si>
    <t>Yorkshire’s palest dermatology registrar _xD83C__xDDEE__xD83C__xDDEA_ Founder @MedisenseMeded | #SoMe Director @asmeofficial | Editorial Trainee @BrJDermatol | #MUFC fan | Views mine.</t>
  </si>
  <si>
    <t>1st Gen. _xD83C__xDDE8__xD83C__xDDE6_ 
3rd Yr Medical Student @RCSI_Irl
MSc Public Health @ColumbiaMSPH
_xD83C__xDFC3_‍♀️ _xD83C__xDFD4_ _xD83E__xDD7E_</t>
  </si>
  <si>
    <t>Leading Irish Medical School within a Global University. 
Training Doctors, Radiographers, Paramedics and Scientists 
Twitter policy: https://t.co/9eP6kXXN5O</t>
  </si>
  <si>
    <t>475 med students. 604 residents. 138 graduate students. 2,300 faculty in hospitals &amp; clinics across the Maritimes. $64M in funding for research projects.</t>
  </si>
  <si>
    <t>CSO Clinical Academic Fellow, Geriatric SpR @UofEdinburgh. Detecting early neuropsychiatric/clinical clues of cerebral small vessel disease. Corkonian.</t>
  </si>
  <si>
    <t>Junior doctor, amateur artist, avid reader, enthusiastic climber and terrible guitar player. Views own.</t>
  </si>
  <si>
    <t>Standard-setting &amp; professional membership organisation representing 13,000 Fellows &amp; Members @RCPEdinTrainees @RCPEVenue @RCPEHeritage @RCPEManc</t>
  </si>
  <si>
    <t>MEDICAL STUDENT AND STUDENT RESEARCHER. #ONCOLOGY AND #HEMATOLOGY. #MultipleMyeloma #GATIC #HER2low BC</t>
  </si>
  <si>
    <t>Resp consultant occupational lung disease Royal Brompton; @NACTUK Chair; HEE clinical advisor generalism; @RCPLondon Linacre Fellow and elected Councillor</t>
  </si>
  <si>
    <t>Cardiology, Realistic Medicine, Family, Dogs, Allotment. Not necessarily in that order...
She/her</t>
  </si>
  <si>
    <t>Created by Doctor @KrittanawongMD. A bot that collects Tweets about medicine and medical innovation</t>
  </si>
  <si>
    <t>_xD83C__xDFA5_ HEALTHCARE EDUCATIONAL VIDEOS https://t.co/PkhzaX7Vsu
▶️#MedLearn @David_ukan
▶️#NHS #Video #Learn
▶️#TeamNHS_xD83D__xDC99_ #TeamPatient_xD83D__xDC9A_ #TeamStudent #TeamSurgical</t>
  </si>
  <si>
    <t>Cardiac Electrophysiologist &amp; Device Specialist; Director &amp; Head; Max Hospital, India. Academician, Teacher, Music Lover, Dancer, Singer, Voyager, Life Lover</t>
  </si>
  <si>
    <t>Geriatrician living the suburban dream</t>
  </si>
  <si>
    <t>Dr. Will Whiteley tweeting for the Stroke Research Group at the University of Edinburgh</t>
  </si>
  <si>
    <t>King Edward Medical College Lahore. #KEMC #Lahore</t>
  </si>
  <si>
    <t>Geriatric Registrar West of Scotland, RCPE &amp; BGS  trainee council member, Scottish clinical leadership fellow 2016/17, all views my own</t>
  </si>
  <si>
    <t>Royal College of Psychiatrists: Improving the lives of people affected by mental illness.</t>
  </si>
  <si>
    <t>Melrose, Scotland</t>
  </si>
  <si>
    <t xml:space="preserve">Morpeth, Northumberland </t>
  </si>
  <si>
    <t>Manchester. Lahore</t>
  </si>
  <si>
    <t>London</t>
  </si>
  <si>
    <t>Dundee</t>
  </si>
  <si>
    <t>Kathmandu,Nepal</t>
  </si>
  <si>
    <t>Leeds, England</t>
  </si>
  <si>
    <t>Dublin</t>
  </si>
  <si>
    <t>Halifax, NS, Canada</t>
  </si>
  <si>
    <t>Halifax, Nova Scotia, Canada</t>
  </si>
  <si>
    <t>Centre for Clinical Brain Sciences, University of Edinburgh</t>
  </si>
  <si>
    <t>Preston, England</t>
  </si>
  <si>
    <t>Manchester,</t>
  </si>
  <si>
    <t>Edinburgh</t>
  </si>
  <si>
    <t>Kolkata, India</t>
  </si>
  <si>
    <t>London, UK</t>
  </si>
  <si>
    <t>GJ 357 d</t>
  </si>
  <si>
    <t>England UK</t>
  </si>
  <si>
    <t>New Delhi</t>
  </si>
  <si>
    <t>Glasgow</t>
  </si>
  <si>
    <t>Edinburgh, Scotland, UK</t>
  </si>
  <si>
    <t>Norwich</t>
  </si>
  <si>
    <t>Lahore, Pakistan</t>
  </si>
  <si>
    <t>sudan</t>
  </si>
  <si>
    <t>Open Twitter Page for This Person</t>
  </si>
  <si>
    <t>rcpedintrainees
Delirium is the commonest presentation
in the elderly with COVID19 and
should be screened with the 4AT.
@rowan_wallace You can find the
4AT below. It can help predict
&amp;amp; prevent morbidity and mortality.
#rcpeTrainees21 https://t.co/IgvPQPkROy</t>
  </si>
  <si>
    <t>ses_imt
There’s still time to join us at
our popular Medical Trainees conference
which takes place later this month!
Hear from our exciting line up
of speakers that will showcase
a snapshot of a day in the life
of a medical trainee: https://t.co/0SXUgtImdv
#rcpeTrainees21 https://t.co/B7kUsUvaGr</t>
  </si>
  <si>
    <t>charsquires
We are so excited to launch our
medical trainees symposium! It’s
been a year of hard work by our
education team hope you enjoy!
#rcpeTrainees21</t>
  </si>
  <si>
    <t>addymcleod
We are so excited to launch our
medical trainees symposium! It’s
been a year of hard work by our
education team hope you enjoy!
#rcpeTrainees21</t>
  </si>
  <si>
    <t>haryjalendheria
Breaking news!! Only 4 decisions
to make in neurology. Is it upper
motor neurone? Lower motor neurone?
Extra-Pyramidal or functional?
Phew! #rcpeTrainees21</t>
  </si>
  <si>
    <t>patchpradeep
Thanks to the Royal College of
Physicians Edinburgh Trainees committee
for the invite to speak about breathlessness
at their conference today. A lot
to get through in 25 minutes! #rcpeTrainees21</t>
  </si>
  <si>
    <t>dundeechest
My colleague Sudhir Tauro (not
on Twitter..) giving a really in
depth talk on anaemia in the outpatient
department. Haematology is tough!
#rcpeTrainees21 https://t.co/amdEVDbRiV</t>
  </si>
  <si>
    <t>yugant_
The eyes sees what the mind knows
#rcpeTrainees21 https://t.co/QutfxqVpK4</t>
  </si>
  <si>
    <t xml:space="preserve">bmj
</t>
  </si>
  <si>
    <t>jonnygucks
We are delighted to announce Dr
Una Clancy who is the winner of
the Croom lecture. She will be
delivering a talk on cerebral small
vessel disease and it’s effects
on patients. #rcpeTrainees21 https://t.co/79QglRxZTD</t>
  </si>
  <si>
    <t>michellegyenes
To close off the morning, @SymptomsOfSVD
Dr. Una Clancy is discussing "incidental"
cerebral small vessel disease and
red flag symptoms she has identified
as part of her PhD as well as experience
in geriatric medicine. #rcpeTrainees21</t>
  </si>
  <si>
    <t xml:space="preserve">ucdmedicine
</t>
  </si>
  <si>
    <t xml:space="preserve">ingridhoeritza1
</t>
  </si>
  <si>
    <t xml:space="preserve">dalmedschool
</t>
  </si>
  <si>
    <t xml:space="preserve">patcroskerry
</t>
  </si>
  <si>
    <t xml:space="preserve">symptomsofsvd
</t>
  </si>
  <si>
    <t>victor58110002
Great infographic from the @BMJ
on functional neurology! Thanks
to Dr Ingrid Hoeritzauer who is
taking us through how to systematically
review a patient presenting with
neurological promblems. #rcpeTrainees21
https://t.co/Xast1xtQsZ</t>
  </si>
  <si>
    <t>molliejane93
@SymptomsOfSVD brilliant talk by
Dr Una Clancy. Small vessel disease
isn't always asymptomatic and has
associations with 'non-stroke'
symptoms including fatigue, apathy
and 'general decline' #rcpeTrainees21</t>
  </si>
  <si>
    <t>rcpedin
Today's #rcpeTrainees21 programme
includes: Session 1 - A morning
in the outpatient clinic Session
2 - Key lectures Session 3 - An
afternoon on the wards Session
4 - Clinical Lessons &amp;amp; Journal
Prize Lecture</t>
  </si>
  <si>
    <t>datmukherjee
A Great Online CASE BasedTraining
in Medicine from Royal College
of Physician, Edinburgh. #CBL:
CASE Based Learning #rcpeTrainees21
https://t.co/cc0EpSzoa8</t>
  </si>
  <si>
    <t>lungsatwork
It has been a great #rcpeTrainees21
event so far... This afternoon
we have sessions on ITU, Frailty,
COVID cognitive bias, managing
vague symptoms, prizes and more!
Follow from 13:45 for more pearls...
#MedEd</t>
  </si>
  <si>
    <t>labinjohc
We are so excited to launch our
medical trainees symposium! It’s
been a year of hard work by our
education team hope you enjoy!
#rcpeTrainees21</t>
  </si>
  <si>
    <t>telehealthbot
"Deranged physiology in a patient
who is alright is the exception
to the rule". Dr Smith highlights
the biases we bring to interpreting
NEWS2 scored... why don't we believe
them? #rcpeTrainees21 #MedEd https://t.co/Nrz9lH42TY</t>
  </si>
  <si>
    <t>medicinegov
Welcome to everyone attending our
Medical Trainees online symposium!
We hope you enjoy the fantastic
line-up of speakers and their talks,
and don’t forgot to use #rcpeTrainees21
to follow the conversation</t>
  </si>
  <si>
    <t>vanitarora
Delirium is the commonest presentation
in the elderly with COVID19 and
should be screened with the 4AT.
@rowan_wallace You can find the
4AT below. It can help predict
&amp;amp; prevent morbidity and mortality.
#rcpeTrainees21 https://t.co/IgvPQPkROy</t>
  </si>
  <si>
    <t xml:space="preserve">rowan_wallace
</t>
  </si>
  <si>
    <t>edinburghstroke
We are delighted to announce Dr
Una Clancy who is the winner of
the Croom lecture. She will be
delivering a talk on cerebral small
vessel disease and it’s effects
on patients. #rcpeTrainees21 https://t.co/79QglRxZTD</t>
  </si>
  <si>
    <t>drzakakhan
Breaking news!! Only 4 decisions
to make in neurology. Is it upper
motor neurone? Lower motor neurone?
Extra-Pyramidal or functional?
Phew! #rcpeTrainees21</t>
  </si>
  <si>
    <t>kemuol
When you're live-tweeting about
airway management for #rcpeTrainees21
but you're a dermatology reg Pls
tell me if I say something silly
about capnography https://t.co/WFEyjUUAkh</t>
  </si>
  <si>
    <t>tinahen08
Psychiatry one of the hardest specialties
with a large margin for error.
We always knew our psychiatry colleagues
work really hard and are amazing
at their roles but now better appreciate
just how complex a specialty it
is. #rcpeTrainees21 @rcpsych</t>
  </si>
  <si>
    <t xml:space="preserve">rcpsych
</t>
  </si>
  <si>
    <t>rahaff
There’s still time to join us at
our popular Medical Trainees conference
which takes place later this month!
Hear from our exciting line up
of speakers that will showcase
a snapshot of a day in the life
of a medical trainee: https://t.co/0SXUgtImdv
#rcpeTrainees21 https://t.co/B7kUsUvaGr</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</si>
  <si>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</si>
  <si>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</si>
  <si>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</si>
  <si>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</si>
  <si>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</si>
  <si>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</si>
  <si>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</si>
  <si>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</si>
  <si>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</si>
  <si>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</si>
  <si>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</si>
  <si>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</si>
  <si>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</si>
  <si>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</si>
  <si>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</si>
  <si>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</si>
  <si>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https://events.rcpe.ac.uk/medical-trainees-online-symposium-day-life-medical-trainee</t>
  </si>
  <si>
    <t>https://twitter.com/rcpedintrainees/status/1352584475805442048</t>
  </si>
  <si>
    <t>https://www.nice.org.uk/guidance/ng159/resources/clinical-frailty-scale-pdf-8712262765</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</si>
  <si>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</si>
  <si>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</si>
  <si>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</si>
  <si>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</si>
  <si>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</si>
  <si>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</si>
  <si>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</si>
  <si>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</si>
  <si>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</si>
  <si>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</si>
  <si>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</si>
  <si>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</si>
  <si>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https://events.rcpe.ac.uk/medical-trainees-online-symposium-day-life-medical-trainee https://www.nice.org.uk/guidance/ng159/resources/clinical-frailty-scale-pdf-8712262765 https://twitter.com/rcpedintrainees/status/1352584475805442048</t>
  </si>
  <si>
    <t>Top Domains in Tweet in Entire Graph</t>
  </si>
  <si>
    <t>Top Domains in Tweet in G1</t>
  </si>
  <si>
    <t>Top Domains in Tweet in G2</t>
  </si>
  <si>
    <t>Top Domains in Tweet in G3</t>
  </si>
  <si>
    <t>Top Domains in Tweet in G4</t>
  </si>
  <si>
    <t>Top Domains in Tweet in G5</t>
  </si>
  <si>
    <t>Top Domains in Tweet</t>
  </si>
  <si>
    <t>ac.uk org.uk twitter.com</t>
  </si>
  <si>
    <t>Top Hashtags in Tweet in Entire Graph</t>
  </si>
  <si>
    <t>meded</t>
  </si>
  <si>
    <t>medicine</t>
  </si>
  <si>
    <t>cbl</t>
  </si>
  <si>
    <t>Top Hashtags in Tweet in G1</t>
  </si>
  <si>
    <t>Top Hashtags in Tweet in G2</t>
  </si>
  <si>
    <t>Top Hashtags in Tweet in G3</t>
  </si>
  <si>
    <t>Top Hashtags in Tweet in G4</t>
  </si>
  <si>
    <t>Top Hashtags in Tweet in G5</t>
  </si>
  <si>
    <t>Top Hashtags in Tweet</t>
  </si>
  <si>
    <t>rcpetrainees21 meded medicine</t>
  </si>
  <si>
    <t>rcpetrainees21 medicine</t>
  </si>
  <si>
    <t>Top Words in Tweet in Entire Graph</t>
  </si>
  <si>
    <t>#rcpetrainees21</t>
  </si>
  <si>
    <t>dr</t>
  </si>
  <si>
    <t>medical</t>
  </si>
  <si>
    <t>trainees</t>
  </si>
  <si>
    <t>patient</t>
  </si>
  <si>
    <t>s</t>
  </si>
  <si>
    <t>neurology</t>
  </si>
  <si>
    <t>great</t>
  </si>
  <si>
    <t>talk</t>
  </si>
  <si>
    <t>functional</t>
  </si>
  <si>
    <t>Top Words in Tweet in G1</t>
  </si>
  <si>
    <t>motor</t>
  </si>
  <si>
    <t>neurone</t>
  </si>
  <si>
    <t>Top Words in Tweet in G2</t>
  </si>
  <si>
    <t>session</t>
  </si>
  <si>
    <t>symposium</t>
  </si>
  <si>
    <t>clinical</t>
  </si>
  <si>
    <t>welcome</t>
  </si>
  <si>
    <t>everyone</t>
  </si>
  <si>
    <t>attending</t>
  </si>
  <si>
    <t>Top Words in Tweet in G3</t>
  </si>
  <si>
    <t>critical</t>
  </si>
  <si>
    <t>care</t>
  </si>
  <si>
    <t>psychiatry</t>
  </si>
  <si>
    <t>frailty</t>
  </si>
  <si>
    <t>4at</t>
  </si>
  <si>
    <t>Top Words in Tweet in G4</t>
  </si>
  <si>
    <t>royal</t>
  </si>
  <si>
    <t>college</t>
  </si>
  <si>
    <t>outpatient</t>
  </si>
  <si>
    <t>tough</t>
  </si>
  <si>
    <t>thanks</t>
  </si>
  <si>
    <t>physicians</t>
  </si>
  <si>
    <t>edinburgh</t>
  </si>
  <si>
    <t>Top Words in Tweet in G5</t>
  </si>
  <si>
    <t>case</t>
  </si>
  <si>
    <t>Top Words in Tweet</t>
  </si>
  <si>
    <t>#rcpetrainees21 medical dr s patient trainees neurology motor neurone functional</t>
  </si>
  <si>
    <t>#rcpetrainees21 medical trainees session symposium clinical talk welcome everyone attending</t>
  </si>
  <si>
    <t>#rcpetrainees21 dr critical care patient psychiatry rowan_wallace frailty 4at</t>
  </si>
  <si>
    <t>#rcpetrainees21 royal college talk outpatient tough thanks physicians edinburgh trainees</t>
  </si>
  <si>
    <t>Top Word Pairs in Tweet in Entire Graph</t>
  </si>
  <si>
    <t>medical,trainees</t>
  </si>
  <si>
    <t>motor,neurone</t>
  </si>
  <si>
    <t>critical,care</t>
  </si>
  <si>
    <t>dr,clancy</t>
  </si>
  <si>
    <t>small,vessel</t>
  </si>
  <si>
    <t>vessel,disease</t>
  </si>
  <si>
    <t>hope,enjoy</t>
  </si>
  <si>
    <t>line,up</t>
  </si>
  <si>
    <t>up,speakers</t>
  </si>
  <si>
    <t>great,infographic</t>
  </si>
  <si>
    <t>Top Word Pairs in Tweet in G1</t>
  </si>
  <si>
    <t>s,still</t>
  </si>
  <si>
    <t>still,time</t>
  </si>
  <si>
    <t>time,join</t>
  </si>
  <si>
    <t>join,popular</t>
  </si>
  <si>
    <t>popular,medical</t>
  </si>
  <si>
    <t>trainees,conference</t>
  </si>
  <si>
    <t>conference,takes</t>
  </si>
  <si>
    <t>takes,place</t>
  </si>
  <si>
    <t>Top Word Pairs in Tweet in G2</t>
  </si>
  <si>
    <t>welcome,everyone</t>
  </si>
  <si>
    <t>everyone,attending</t>
  </si>
  <si>
    <t>attending,medical</t>
  </si>
  <si>
    <t>trainees,online</t>
  </si>
  <si>
    <t>online,symposium</t>
  </si>
  <si>
    <t>symposium,hope</t>
  </si>
  <si>
    <t>enjoy,fantastic</t>
  </si>
  <si>
    <t>fantastic,line</t>
  </si>
  <si>
    <t>Top Word Pairs in Tweet in G3</t>
  </si>
  <si>
    <t>Top Word Pairs in Tweet in G4</t>
  </si>
  <si>
    <t>royal,college</t>
  </si>
  <si>
    <t>tough,#rcpetrainees21</t>
  </si>
  <si>
    <t>thanks,royal</t>
  </si>
  <si>
    <t>college,physicians</t>
  </si>
  <si>
    <t>physicians,edinburgh</t>
  </si>
  <si>
    <t>edinburgh,trainees</t>
  </si>
  <si>
    <t>trainees,committee</t>
  </si>
  <si>
    <t>committee,invite</t>
  </si>
  <si>
    <t>invite,speak</t>
  </si>
  <si>
    <t>speak,breathlessness</t>
  </si>
  <si>
    <t>Top Word Pairs in Tweet in G5</t>
  </si>
  <si>
    <t>Top Word Pairs in Tweet</t>
  </si>
  <si>
    <t>medical,trainees  motor,neurone  s,still  still,time  time,join  join,popular  popular,medical  trainees,conference  conference,takes  takes,place</t>
  </si>
  <si>
    <t>medical,trainees  welcome,everyone  everyone,attending  attending,medical  trainees,online  online,symposium  symposium,hope  hope,enjoy  enjoy,fantastic  fantastic,line</t>
  </si>
  <si>
    <t>royal,college  tough,#rcpetrainees21  thanks,royal  college,physicians  physicians,edinburgh  edinburgh,trainees  trainees,committee  committee,invite  invite,speak  speak,breathlessness</t>
  </si>
  <si>
    <t>Top Replied-To in Entire Graph</t>
  </si>
  <si>
    <t>Top Mentioned in Entire Graph</t>
  </si>
  <si>
    <t>ingridhoeritza</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</si>
  <si>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</si>
  <si>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</si>
  <si>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</si>
  <si>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</si>
  <si>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</si>
  <si>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</si>
  <si>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</si>
  <si>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</si>
  <si>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</si>
  <si>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</si>
  <si>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</si>
  <si>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rcpedin symptomsofsvd</t>
  </si>
  <si>
    <t>Top Mentioned in Tweet</t>
  </si>
  <si>
    <t>bmj rowan_wallace rcpsych</t>
  </si>
  <si>
    <t>symptomsofsvd ingridhoeritza1 ucdmedicine patcroskerry dalmedschool</t>
  </si>
  <si>
    <t>rowan_wallace rcpsych bmj</t>
  </si>
  <si>
    <t>Top Tweeters in Entire Graph</t>
  </si>
  <si>
    <t>Top Tweeters in G1</t>
  </si>
  <si>
    <t>Top Tweeters in G2</t>
  </si>
  <si>
    <t>Top Tweeters in G3</t>
  </si>
  <si>
    <t>Top Tweeters in G4</t>
  </si>
  <si>
    <t>Top Tweeters in G5</t>
  </si>
  <si>
    <t>Top Tweeters</t>
  </si>
  <si>
    <t>lungsatwork telehealthbot jonnygucks charsquires haryjalendheria bmj edinburghstroke labinjohc addymcleod rcpedintrainees</t>
  </si>
  <si>
    <t>medicinegov ucdmedicine rcpedin dalmedschool michellegyenes ingridhoeritza1 molliejane93 symptomsofsvd patcroskerry</t>
  </si>
  <si>
    <t>rcpsych rowan_wallace tinahen08 vanitarora</t>
  </si>
  <si>
    <t>patchpradeep dundeechest</t>
  </si>
  <si>
    <t>Top URLs in Tweet by Count</t>
  </si>
  <si>
    <t>https://www.nice.org.uk/guidance/ng159/resources/clinical-frailty-scale-pdf-8712262765 https://events.rcpe.ac.uk/medical-trainees-online-symposium-day-life-medical-trainee</t>
  </si>
  <si>
    <t>Top URLs in Tweet by Salience</t>
  </si>
  <si>
    <t>Top Domains in Tweet by Count</t>
  </si>
  <si>
    <t>org.uk ac.uk</t>
  </si>
  <si>
    <t>Top Domains in Tweet by Salience</t>
  </si>
  <si>
    <t>Top Hashtags in Tweet by Count</t>
  </si>
  <si>
    <t>Top Hashtags in Tweet by Salience</t>
  </si>
  <si>
    <t>meded medicine rcpetrainees21</t>
  </si>
  <si>
    <t>meded rcpetrainees21</t>
  </si>
  <si>
    <t>Top Words in Tweet by Count</t>
  </si>
  <si>
    <t>medical s still time join popular trainees conference takes place</t>
  </si>
  <si>
    <t>dr frailty patient patients medical s work up great important</t>
  </si>
  <si>
    <t>excited launch medical trainees symposium s year hard work education</t>
  </si>
  <si>
    <t>motor neurone breaking news 4 decisions make neurology upper lower</t>
  </si>
  <si>
    <t>thanks royal college physicians edinburgh trainees committee invite speak breathlessness</t>
  </si>
  <si>
    <t>talk outpatient tough neurology royal college colleague sudhir tauro twitter</t>
  </si>
  <si>
    <t>great infographic bmj functional neurology thanks dr ingrid hoeritzauer taking</t>
  </si>
  <si>
    <t>delighted announce dr una clancy winner croom lecture delivering talk</t>
  </si>
  <si>
    <t>videos close morning symptomsofsvd dr una clancy discussing incidental cerebral</t>
  </si>
  <si>
    <t>medical great infographic bmj functional neurology thanks dr ingrid hoeritzauer</t>
  </si>
  <si>
    <t>brilliant talk thinking rcpedin clinical decision making fast slow medical</t>
  </si>
  <si>
    <t>session today's programme includes 1 morning outpatient clinic 2 key</t>
  </si>
  <si>
    <t>case great online basedtraining medicine royal college physician edinburgh #cbl</t>
  </si>
  <si>
    <t>great more anaemia being patient functional neurology dr neurological motor</t>
  </si>
  <si>
    <t>deranged physiology patient alright exception rule dr smith highlights biases</t>
  </si>
  <si>
    <t>welcome everyone attending medical trainees online symposium hope enjoy fantastic</t>
  </si>
  <si>
    <t>4at delirium commonest presentation elderly covid19 screened rowan_wallace find below</t>
  </si>
  <si>
    <t>live tweeting airway management dermatology reg pls tell something silly</t>
  </si>
  <si>
    <t>dr patient critical care psychiatry frailty one hardest specialties large</t>
  </si>
  <si>
    <t>Top Words in Tweet by Salience</t>
  </si>
  <si>
    <t>dr frailty patients medical patient more critical care being diagnostic</t>
  </si>
  <si>
    <t>neurology colleague sudhir tauro twitter giving really depth anaemia department</t>
  </si>
  <si>
    <t>thinking rcpedin clinical decision making fast slow medical trainees symposium</t>
  </si>
  <si>
    <t>more being motor neurone quality great anaemia patient functional neurology</t>
  </si>
  <si>
    <t>psychiatry frailty critical care patient dr one hardest specialties large</t>
  </si>
  <si>
    <t>Top Word Pairs in Tweet by Count</t>
  </si>
  <si>
    <t>s,still  still,time  time,join  join,popular  popular,medical  medical,trainees  trainees,conference  conference,takes  takes,place  place,later</t>
  </si>
  <si>
    <t>critical,care  medical,trainees  next,up  here,#rcpetrainees21  dr,john  john,smith  patients,#rcpetrainees21  dr,tauro  motor,neurone  v,q</t>
  </si>
  <si>
    <t>excited,launch  launch,medical  medical,trainees  trainees,symposium  symposium,s  s,year  year,hard  hard,work  work,education  education,team</t>
  </si>
  <si>
    <t>motor,neurone  breaking,news  news,4  4,decisions  decisions,make  make,neurology  neurology,upper  upper,motor  neurone,lower  lower,motor</t>
  </si>
  <si>
    <t>thanks,royal  royal,college  college,physicians  physicians,edinburgh  edinburgh,trainees  trainees,committee  committee,invite  invite,speak  speak,breathlessness  breathlessness,conference</t>
  </si>
  <si>
    <t>tough,#rcpetrainees21  royal,college  colleague,sudhir  sudhir,tauro  tauro,twitter  twitter,giving  giving,really  really,depth  depth,talk  talk,anaemia</t>
  </si>
  <si>
    <t>great,infographic  infographic,bmj  bmj,functional  functional,neurology  neurology,thanks  thanks,dr  dr,ingrid  ingrid,hoeritzauer  hoeritzauer,taking  taking,through</t>
  </si>
  <si>
    <t>delighted,announce  announce,dr  dr,una  una,clancy  clancy,winner  winner,croom  croom,lecture  lecture,delivering  delivering,talk  talk,cerebral</t>
  </si>
  <si>
    <t>close,morning  morning,symptomsofsvd  symptomsofsvd,dr  dr,una  una,clancy  clancy,discussing  discussing,incidental  incidental,cerebral  cerebral,small  small,vessel</t>
  </si>
  <si>
    <t>brilliant,talk  rcpedin,brilliant  talk,clinical  clinical,decision  decision,making  making,thinking  thinking,fast  fast,slow  slow,medical  medical,trainees</t>
  </si>
  <si>
    <t>today's,#rcpetrainees21  #rcpetrainees21,programme  programme,includes  includes,session  session,1  1,morning  morning,outpatient  outpatient,clinic  clinic,session  session,2</t>
  </si>
  <si>
    <t>great,online  online,case  case,basedtraining  basedtraining,medicine  medicine,royal  royal,college  college,physician  physician,edinburgh  edinburgh,#cbl  #cbl,case</t>
  </si>
  <si>
    <t>motor,neurone  great,#rcpetrainees21  #rcpetrainees21,event  event,far  far,afternoon  afternoon,sessions  sessions,itu  itu,frailty  frailty,covid  covid,cognitive</t>
  </si>
  <si>
    <t>deranged,physiology  physiology,patient  patient,alright  alright,exception  exception,rule  rule,dr  dr,smith  smith,highlights  highlights,biases  biases,bring</t>
  </si>
  <si>
    <t>welcome,everyone  everyone,attending  attending,medical  medical,trainees  trainees,online  online,symposium  symposium,hope  hope,enjoy  enjoy,fantastic  fantastic,line</t>
  </si>
  <si>
    <t>delirium,commonest  commonest,presentation  presentation,elderly  elderly,covid19  covid19,screened  screened,4at  4at,rowan_wallace  rowan_wallace,find  find,4at  4at,below</t>
  </si>
  <si>
    <t>live,tweeting  tweeting,airway  airway,management  management,#rcpetrainees21  #rcpetrainees21,dermatology  dermatology,reg  reg,pls  pls,tell  tell,something  something,silly</t>
  </si>
  <si>
    <t>critical,care  psychiatry,one  one,hardest  hardest,specialties  specialties,large  large,margin  margin,error  error,always  always,knew  knew,psychiatry</t>
  </si>
  <si>
    <t>Top Word Pairs in Tweet by Salience</t>
  </si>
  <si>
    <t>critical,care  motor,neurone  v,q  medical,trainees  next,up  here,#rcpetrainees21  dr,john  john,smith  patients,#rcpetrainees21  dr,tauro</t>
  </si>
  <si>
    <t>colleague,sudhir  sudhir,tauro  tauro,twitter  twitter,giving  giving,really  really,depth  depth,talk  talk,anaemia  anaemia,outpatient  outpatient,department</t>
  </si>
  <si>
    <t>rcpedin,brilliant  talk,clinical  clinical,decision  decision,making  making,thinking  thinking,fast  fast,slow  slow,medical  medical,trainees  trainees,symposium</t>
  </si>
  <si>
    <t>Word</t>
  </si>
  <si>
    <t>Sentiment List#1</t>
  </si>
  <si>
    <t>Sentiment List#2</t>
  </si>
  <si>
    <t>Sentiment List#3</t>
  </si>
  <si>
    <t>Words in Sentiment List#1</t>
  </si>
  <si>
    <t>Words in Sentiment List#2</t>
  </si>
  <si>
    <t>Words in Sentiment List#3</t>
  </si>
  <si>
    <t>Non-categorized Words</t>
  </si>
  <si>
    <t>Total Words</t>
  </si>
  <si>
    <t>up</t>
  </si>
  <si>
    <t>work</t>
  </si>
  <si>
    <t>neurological</t>
  </si>
  <si>
    <t>patients</t>
  </si>
  <si>
    <t>conference</t>
  </si>
  <si>
    <t>through</t>
  </si>
  <si>
    <t>small</t>
  </si>
  <si>
    <t>hard</t>
  </si>
  <si>
    <t>clancy</t>
  </si>
  <si>
    <t>vessel</t>
  </si>
  <si>
    <t>disease</t>
  </si>
  <si>
    <t>hope</t>
  </si>
  <si>
    <t>enjoy</t>
  </si>
  <si>
    <t>line</t>
  </si>
  <si>
    <t>speakers</t>
  </si>
  <si>
    <t>education</t>
  </si>
  <si>
    <t>diagnostic</t>
  </si>
  <si>
    <t>always</t>
  </si>
  <si>
    <t>really</t>
  </si>
  <si>
    <t>tauro</t>
  </si>
  <si>
    <t>infographic</t>
  </si>
  <si>
    <t>ingrid</t>
  </si>
  <si>
    <t>hoeritzauer</t>
  </si>
  <si>
    <t>taking</t>
  </si>
  <si>
    <t>systematically</t>
  </si>
  <si>
    <t>review</t>
  </si>
  <si>
    <t>presenting</t>
  </si>
  <si>
    <t>promblems</t>
  </si>
  <si>
    <t>smith</t>
  </si>
  <si>
    <t>lecture</t>
  </si>
  <si>
    <t>cerebral</t>
  </si>
  <si>
    <t>4</t>
  </si>
  <si>
    <t>decisions</t>
  </si>
  <si>
    <t>make</t>
  </si>
  <si>
    <t>excited</t>
  </si>
  <si>
    <t>more</t>
  </si>
  <si>
    <t>anaemia</t>
  </si>
  <si>
    <t>being</t>
  </si>
  <si>
    <t>hear</t>
  </si>
  <si>
    <t>life</t>
  </si>
  <si>
    <t>anaemic</t>
  </si>
  <si>
    <t>blood</t>
  </si>
  <si>
    <t>further</t>
  </si>
  <si>
    <t>use</t>
  </si>
  <si>
    <t>making</t>
  </si>
  <si>
    <t>decision</t>
  </si>
  <si>
    <t>delighted</t>
  </si>
  <si>
    <t>announce</t>
  </si>
  <si>
    <t>winner</t>
  </si>
  <si>
    <t>croom</t>
  </si>
  <si>
    <t>delivering</t>
  </si>
  <si>
    <t>effects</t>
  </si>
  <si>
    <t>breaking</t>
  </si>
  <si>
    <t>news</t>
  </si>
  <si>
    <t>upper</t>
  </si>
  <si>
    <t>lower</t>
  </si>
  <si>
    <t>extra</t>
  </si>
  <si>
    <t>pyramidal</t>
  </si>
  <si>
    <t>phew</t>
  </si>
  <si>
    <t>help</t>
  </si>
  <si>
    <t>fantastic</t>
  </si>
  <si>
    <t>follow</t>
  </si>
  <si>
    <t>#meded</t>
  </si>
  <si>
    <t>launch</t>
  </si>
  <si>
    <t>year</t>
  </si>
  <si>
    <t>team</t>
  </si>
  <si>
    <t>symptoms</t>
  </si>
  <si>
    <t>videos</t>
  </si>
  <si>
    <t>presentations</t>
  </si>
  <si>
    <t>quality</t>
  </si>
  <si>
    <t>today</t>
  </si>
  <si>
    <t>well</t>
  </si>
  <si>
    <t>important</t>
  </si>
  <si>
    <t>still</t>
  </si>
  <si>
    <t>time</t>
  </si>
  <si>
    <t>join</t>
  </si>
  <si>
    <t>popular</t>
  </si>
  <si>
    <t>takes</t>
  </si>
  <si>
    <t>place</t>
  </si>
  <si>
    <t>later</t>
  </si>
  <si>
    <t>month</t>
  </si>
  <si>
    <t>exciting</t>
  </si>
  <si>
    <t>showcase</t>
  </si>
  <si>
    <t>snapshot</t>
  </si>
  <si>
    <t>day</t>
  </si>
  <si>
    <t>trainee</t>
  </si>
  <si>
    <t>better</t>
  </si>
  <si>
    <t>next</t>
  </si>
  <si>
    <t>discussing</t>
  </si>
  <si>
    <t>john</t>
  </si>
  <si>
    <t>something</t>
  </si>
  <si>
    <t>find</t>
  </si>
  <si>
    <t>online</t>
  </si>
  <si>
    <t>don</t>
  </si>
  <si>
    <t>t</t>
  </si>
  <si>
    <t>afternoon</t>
  </si>
  <si>
    <t>cognitive</t>
  </si>
  <si>
    <t>bias</t>
  </si>
  <si>
    <t>out</t>
  </si>
  <si>
    <t>excellent</t>
  </si>
  <si>
    <t>speak</t>
  </si>
  <si>
    <t>breathlessness</t>
  </si>
  <si>
    <t>one</t>
  </si>
  <si>
    <t>hardest</t>
  </si>
  <si>
    <t>specialties</t>
  </si>
  <si>
    <t>large</t>
  </si>
  <si>
    <t>margin</t>
  </si>
  <si>
    <t>error</t>
  </si>
  <si>
    <t>knew</t>
  </si>
  <si>
    <t>colleagues</t>
  </si>
  <si>
    <t>amazing</t>
  </si>
  <si>
    <t>roles</t>
  </si>
  <si>
    <t>now</t>
  </si>
  <si>
    <t>appreciate</t>
  </si>
  <si>
    <t>complex</t>
  </si>
  <si>
    <t>specialty</t>
  </si>
  <si>
    <t>macrocytosis</t>
  </si>
  <si>
    <t>normal</t>
  </si>
  <si>
    <t>b12</t>
  </si>
  <si>
    <t>folate</t>
  </si>
  <si>
    <t>distinguish</t>
  </si>
  <si>
    <t>between</t>
  </si>
  <si>
    <t>acute</t>
  </si>
  <si>
    <t>loss</t>
  </si>
  <si>
    <t>haemolysis</t>
  </si>
  <si>
    <t>helpfully</t>
  </si>
  <si>
    <t>explaining</t>
  </si>
  <si>
    <t>clues</t>
  </si>
  <si>
    <t>generalists</t>
  </si>
  <si>
    <t>decide</t>
  </si>
  <si>
    <t>common</t>
  </si>
  <si>
    <t>progressive</t>
  </si>
  <si>
    <t>episodic</t>
  </si>
  <si>
    <t>expensive</t>
  </si>
  <si>
    <t>partly</t>
  </si>
  <si>
    <t>preventable</t>
  </si>
  <si>
    <t>measured</t>
  </si>
  <si>
    <t>accumulation</t>
  </si>
  <si>
    <t>deficits</t>
  </si>
  <si>
    <t>top</t>
  </si>
  <si>
    <t>tips</t>
  </si>
  <si>
    <t>referral</t>
  </si>
  <si>
    <t>#medicine</t>
  </si>
  <si>
    <t>age</t>
  </si>
  <si>
    <t>barrier</t>
  </si>
  <si>
    <t>acceptance</t>
  </si>
  <si>
    <t>strong</t>
  </si>
  <si>
    <t>reminder</t>
  </si>
  <si>
    <t>questions</t>
  </si>
  <si>
    <t>ask</t>
  </si>
  <si>
    <t>reversible</t>
  </si>
  <si>
    <t>physiological</t>
  </si>
  <si>
    <t>reserve</t>
  </si>
  <si>
    <t>understand</t>
  </si>
  <si>
    <t>alternatives</t>
  </si>
  <si>
    <t>admission</t>
  </si>
  <si>
    <t>live</t>
  </si>
  <si>
    <t>tweeting</t>
  </si>
  <si>
    <t>airway</t>
  </si>
  <si>
    <t>management</t>
  </si>
  <si>
    <t>dermatology</t>
  </si>
  <si>
    <t>reg</t>
  </si>
  <si>
    <t>pls</t>
  </si>
  <si>
    <t>tell</t>
  </si>
  <si>
    <t>silly</t>
  </si>
  <si>
    <t>capnography</t>
  </si>
  <si>
    <t>delirium</t>
  </si>
  <si>
    <t>commonest</t>
  </si>
  <si>
    <t>presentation</t>
  </si>
  <si>
    <t>elderly</t>
  </si>
  <si>
    <t>covid19</t>
  </si>
  <si>
    <t>screened</t>
  </si>
  <si>
    <t>below</t>
  </si>
  <si>
    <t>predict</t>
  </si>
  <si>
    <t>prevent</t>
  </si>
  <si>
    <t>morbidity</t>
  </si>
  <si>
    <t>mortality</t>
  </si>
  <si>
    <t>talks</t>
  </si>
  <si>
    <t>forgot</t>
  </si>
  <si>
    <t>conversation</t>
  </si>
  <si>
    <t>deranged</t>
  </si>
  <si>
    <t>physiology</t>
  </si>
  <si>
    <t>alright</t>
  </si>
  <si>
    <t>exception</t>
  </si>
  <si>
    <t>rule</t>
  </si>
  <si>
    <t>highlights</t>
  </si>
  <si>
    <t>biases</t>
  </si>
  <si>
    <t>bring</t>
  </si>
  <si>
    <t>interpreting</t>
  </si>
  <si>
    <t>news2</t>
  </si>
  <si>
    <t>scored</t>
  </si>
  <si>
    <t>believe</t>
  </si>
  <si>
    <t>event</t>
  </si>
  <si>
    <t>far</t>
  </si>
  <si>
    <t>sessions</t>
  </si>
  <si>
    <t>itu</t>
  </si>
  <si>
    <t>covid</t>
  </si>
  <si>
    <t>managing</t>
  </si>
  <si>
    <t>vague</t>
  </si>
  <si>
    <t>prizes</t>
  </si>
  <si>
    <t>13</t>
  </si>
  <si>
    <t>45</t>
  </si>
  <si>
    <t>pearls</t>
  </si>
  <si>
    <t>start</t>
  </si>
  <si>
    <t>described</t>
  </si>
  <si>
    <t>scotland</t>
  </si>
  <si>
    <t>peely</t>
  </si>
  <si>
    <t>wally</t>
  </si>
  <si>
    <t>good</t>
  </si>
  <si>
    <t>clue</t>
  </si>
  <si>
    <t>three</t>
  </si>
  <si>
    <t>tests</t>
  </si>
  <si>
    <t>suggests</t>
  </si>
  <si>
    <t>hb</t>
  </si>
  <si>
    <t>reticulocyte</t>
  </si>
  <si>
    <t>count</t>
  </si>
  <si>
    <t>film</t>
  </si>
  <si>
    <t>thankfully</t>
  </si>
  <si>
    <t>friendly</t>
  </si>
  <si>
    <t>haematologist</t>
  </si>
  <si>
    <t>hand</t>
  </si>
  <si>
    <t>enjoying</t>
  </si>
  <si>
    <t>absolutely</t>
  </si>
  <si>
    <t>poster</t>
  </si>
  <si>
    <t>done</t>
  </si>
  <si>
    <t>submitted</t>
  </si>
  <si>
    <t>such</t>
  </si>
  <si>
    <t>midst</t>
  </si>
  <si>
    <t>global</t>
  </si>
  <si>
    <t>pandemic</t>
  </si>
  <si>
    <t>dedication</t>
  </si>
  <si>
    <t>outstanding</t>
  </si>
  <si>
    <t>morning</t>
  </si>
  <si>
    <t>brilliant</t>
  </si>
  <si>
    <t>thinking</t>
  </si>
  <si>
    <t>committee</t>
  </si>
  <si>
    <t>invite</t>
  </si>
  <si>
    <t>lot</t>
  </si>
  <si>
    <t>25</t>
  </si>
  <si>
    <t>minutes</t>
  </si>
  <si>
    <t>here</t>
  </si>
  <si>
    <t>fluid</t>
  </si>
  <si>
    <t>best</t>
  </si>
  <si>
    <t>icu</t>
  </si>
  <si>
    <t>v</t>
  </si>
  <si>
    <t>q</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</si>
  <si>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</si>
  <si>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</si>
  <si>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</si>
  <si>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</si>
  <si>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</si>
  <si>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</si>
  <si>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</si>
  <si>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</si>
  <si>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</si>
  <si>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</si>
  <si>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</si>
  <si>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</si>
  <si>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</si>
  <si>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</si>
  <si>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</si>
  <si>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</si>
  <si>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</si>
  <si>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</si>
  <si>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</si>
  <si>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</si>
  <si>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</si>
  <si>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</si>
  <si>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</si>
  <si>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</si>
  <si>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</si>
  <si>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</si>
  <si>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</si>
  <si>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</si>
  <si>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</si>
  <si>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</si>
  <si>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</si>
  <si>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</si>
  <si>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</si>
  <si>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</si>
  <si>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</si>
  <si>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</si>
  <si>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</si>
  <si>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</si>
  <si>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</si>
  <si>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</si>
  <si>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</si>
  <si>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</si>
  <si>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</si>
  <si>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</si>
  <si>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</si>
  <si>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</si>
  <si>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</si>
  <si>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</si>
  <si>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</si>
  <si>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</si>
  <si>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</si>
  <si>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</si>
  <si>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</si>
  <si>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</si>
  <si>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</si>
  <si>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</si>
  <si>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</si>
  <si>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</si>
  <si>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</si>
  <si>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</si>
  <si>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</si>
  <si>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</si>
  <si>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Green</t>
  </si>
  <si>
    <t>20, 118, 0</t>
  </si>
  <si>
    <t>7, 125, 0</t>
  </si>
  <si>
    <t>72, 92, 0</t>
  </si>
  <si>
    <t>Red</t>
  </si>
  <si>
    <t>G1: #rcpetrainees21 medical dr s patient trainees neurology motor neurone functional</t>
  </si>
  <si>
    <t>G2: #rcpetrainees21 medical trainees session symposium clinical talk welcome everyone attending</t>
  </si>
  <si>
    <t>G3: #rcpetrainees21 dr critical care patient psychiatry rowan_wallace frailty 4at</t>
  </si>
  <si>
    <t>G4: #rcpetrainees21 royal college talk outpatient tough thanks physicians edinburgh trainees</t>
  </si>
  <si>
    <t>G5: case</t>
  </si>
  <si>
    <t>Edge Weight▓1▓22▓0▓True▓Green▓Red▓▓Edge Weight▓1▓7▓0▓3▓10▓False▓Edge Weight▓1▓22▓0▓32▓6▓False▓▓0▓0▓0▓True▓Black▓Black▓▓Followers▓2▓10587▓0▓162▓1000▓False▓Followers▓2▓96567▓0▓100▓70▓False▓▓0▓0▓0▓0▓0▓False▓▓0▓0▓0▓0▓0▓False</t>
  </si>
  <si>
    <t>Subgraph</t>
  </si>
  <si>
    <t>GraphSource░TwitterSearch▓GraphTerm░#rcpeTrainees21▓ImportDescription░The graph represents a network of 32 Twitter users whose recent tweets contained "#rcpeTrainees21", or who were replied to or mentioned in those tweets, taken from a data set limited to a maximum of 18,000 tweets.  The network was obtained from Twitter on Saturday, 23 January 2021 at 18:36 UTC.
The tweets in the network were tweeted over the 5-hour, 38-minute period from Friday, 22 January 2021 at 09:01 UTC to Friday, 22 January 2021 at 14:39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"mentions".▓ImportSuggestedTitle░#rcpeTrainees21 Twitter NodeXL SNA Map and Report for Saturday, 23 January 2021 at 18:36 UTC▓ImportSuggestedFileNameNoExtension░2021-01-23 18-36-50 NodeXL Twitter Search #rcpeTrainees21▓GroupingDescription░The graph's vertices were grouped by cluster using the Clauset-Newman-Moore cluster algorithm.▓LayoutAlgorithm░The graph was laid out using the Harel-Koren Fast Multiscale layout algorithm.▓GraphDirectedness░The graph is directed.</t>
  </si>
  <si>
    <t>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t>
  </si>
  <si>
    <t>TwitterSearch</t>
  </si>
  <si>
    <t>#rcpeTrainees21</t>
  </si>
  <si>
    <t>The graph represents a network of 32 Twitter users whose recent tweets contained "#rcpeTrainees21", or who were replied to or mentioned in those tweets, taken from a data set limited to a maximum of 18,000 tweets.  The network was obtained from Twitter on Saturday, 23 January 2021 at 18:36 UTC.
The tweets in the network were tweeted over the 5-hour, 38-minute period from Friday, 22 January 2021 at 09:01 UTC to Friday, 22 January 2021 at 14:39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</si>
  <si>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</si>
  <si>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</si>
  <si>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https://nodexlgraphgallery.org/Pages/Graph.aspx?graphID=246307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</si>
</sst>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8">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7"/>
      <tableStyleElement type="headerRow" dxfId="356"/>
    </tableStyle>
    <tableStyle name="NodeXL Table" pivot="0" count="1">
      <tableStyleElement type="headerRow" dxfId="35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18054"/>
        <c:axId val="64335895"/>
      </c:barChart>
      <c:catAx>
        <c:axId val="295180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335895"/>
        <c:crosses val="autoZero"/>
        <c:auto val="1"/>
        <c:lblOffset val="100"/>
        <c:noMultiLvlLbl val="0"/>
      </c:catAx>
      <c:valAx>
        <c:axId val="64335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8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152144"/>
        <c:axId val="43824977"/>
      </c:barChart>
      <c:catAx>
        <c:axId val="421521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824977"/>
        <c:crosses val="autoZero"/>
        <c:auto val="1"/>
        <c:lblOffset val="100"/>
        <c:noMultiLvlLbl val="0"/>
      </c:catAx>
      <c:valAx>
        <c:axId val="43824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2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880474"/>
        <c:axId val="60162219"/>
      </c:barChart>
      <c:catAx>
        <c:axId val="5888047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62219"/>
        <c:crosses val="autoZero"/>
        <c:auto val="1"/>
        <c:lblOffset val="100"/>
        <c:noMultiLvlLbl val="0"/>
      </c:catAx>
      <c:valAx>
        <c:axId val="60162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0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89060"/>
        <c:axId val="41301541"/>
      </c:barChart>
      <c:catAx>
        <c:axId val="4589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301541"/>
        <c:crosses val="autoZero"/>
        <c:auto val="1"/>
        <c:lblOffset val="100"/>
        <c:noMultiLvlLbl val="0"/>
      </c:catAx>
      <c:valAx>
        <c:axId val="4130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9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169550"/>
        <c:axId val="57090495"/>
      </c:barChart>
      <c:catAx>
        <c:axId val="361695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90495"/>
        <c:crosses val="autoZero"/>
        <c:auto val="1"/>
        <c:lblOffset val="100"/>
        <c:noMultiLvlLbl val="0"/>
      </c:catAx>
      <c:valAx>
        <c:axId val="57090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69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052408"/>
        <c:axId val="60927353"/>
      </c:barChart>
      <c:catAx>
        <c:axId val="440524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927353"/>
        <c:crosses val="autoZero"/>
        <c:auto val="1"/>
        <c:lblOffset val="100"/>
        <c:noMultiLvlLbl val="0"/>
      </c:catAx>
      <c:valAx>
        <c:axId val="60927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52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75266"/>
        <c:axId val="36168531"/>
      </c:barChart>
      <c:catAx>
        <c:axId val="11475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168531"/>
        <c:crosses val="autoZero"/>
        <c:auto val="1"/>
        <c:lblOffset val="100"/>
        <c:noMultiLvlLbl val="0"/>
      </c:catAx>
      <c:valAx>
        <c:axId val="36168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75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081324"/>
        <c:axId val="43969869"/>
      </c:barChart>
      <c:catAx>
        <c:axId val="57081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969869"/>
        <c:crosses val="autoZero"/>
        <c:auto val="1"/>
        <c:lblOffset val="100"/>
        <c:noMultiLvlLbl val="0"/>
      </c:catAx>
      <c:valAx>
        <c:axId val="43969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1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84502"/>
        <c:axId val="4789607"/>
      </c:barChart>
      <c:catAx>
        <c:axId val="60184502"/>
        <c:scaling>
          <c:orientation val="minMax"/>
        </c:scaling>
        <c:axPos val="b"/>
        <c:delete val="1"/>
        <c:majorTickMark val="out"/>
        <c:minorTickMark val="none"/>
        <c:tickLblPos val="none"/>
        <c:crossAx val="4789607"/>
        <c:crosses val="autoZero"/>
        <c:auto val="1"/>
        <c:lblOffset val="100"/>
        <c:noMultiLvlLbl val="0"/>
      </c:catAx>
      <c:valAx>
        <c:axId val="4789607"/>
        <c:scaling>
          <c:orientation val="minMax"/>
        </c:scaling>
        <c:axPos val="l"/>
        <c:delete val="1"/>
        <c:majorTickMark val="out"/>
        <c:minorTickMark val="none"/>
        <c:tickLblPos val="none"/>
        <c:crossAx val="601845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rahaf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rcpedintraine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es_im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charsquir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addymcleo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haryjalendher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patchpradee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dundeeche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yugant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bmj"/>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nnyguck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michellegyen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ucdmedici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ingridhoeritza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dalmedschoo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patcroskerr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symptomsofsv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victor5811000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molliejane9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rcpedi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datmukherje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lungsatwor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labinjoh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elehealthbo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medicinegov"/>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vanitarora"/>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rowan_wallac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edinburghstrok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drzakakh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kemuo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tinahen0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cpsyc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80" totalsRowShown="0" headerRowDxfId="354" dataDxfId="353">
  <autoFilter ref="A2:BN80"/>
  <tableColumns count="66">
    <tableColumn id="1" name="Vertex 1" dataDxfId="303"/>
    <tableColumn id="2" name="Vertex 2" dataDxfId="301"/>
    <tableColumn id="3" name="Color" dataDxfId="302"/>
    <tableColumn id="4" name="Width" dataDxfId="352"/>
    <tableColumn id="11" name="Style" dataDxfId="351"/>
    <tableColumn id="5" name="Opacity" dataDxfId="350"/>
    <tableColumn id="6" name="Visibility" dataDxfId="349"/>
    <tableColumn id="10" name="Label" dataDxfId="348"/>
    <tableColumn id="12" name="Label Text Color" dataDxfId="347"/>
    <tableColumn id="13" name="Label Font Size" dataDxfId="346"/>
    <tableColumn id="14" name="Reciprocated?" dataDxfId="207"/>
    <tableColumn id="7" name="ID" dataDxfId="345"/>
    <tableColumn id="9" name="Dynamic Filter" dataDxfId="344"/>
    <tableColumn id="8" name="Add Your Own Columns Here" dataDxfId="300"/>
    <tableColumn id="15" name="Relationship" dataDxfId="299"/>
    <tableColumn id="16" name="Relationship Date (UTC)" dataDxfId="298"/>
    <tableColumn id="17" name="Tweet" dataDxfId="297"/>
    <tableColumn id="18" name="URLs in Tweet" dataDxfId="296"/>
    <tableColumn id="19" name="Domains in Tweet" dataDxfId="295"/>
    <tableColumn id="20" name="Hashtags in Tweet" dataDxfId="294"/>
    <tableColumn id="21" name="Media in Tweet" dataDxfId="293"/>
    <tableColumn id="22" name="Tweet Image File" dataDxfId="292"/>
    <tableColumn id="23" name="Tweet Date (UTC)" dataDxfId="291"/>
    <tableColumn id="24" name="Date" dataDxfId="290"/>
    <tableColumn id="25" name="Time" dataDxfId="289"/>
    <tableColumn id="26" name="Twitter Page for Tweet" dataDxfId="288"/>
    <tableColumn id="27" name="Latitude" dataDxfId="287"/>
    <tableColumn id="28" name="Longitude" dataDxfId="286"/>
    <tableColumn id="29" name="Imported ID" dataDxfId="285"/>
    <tableColumn id="30" name="In-Reply-To Tweet ID" dataDxfId="284"/>
    <tableColumn id="31" name="Favorited" dataDxfId="283"/>
    <tableColumn id="32" name="Favorite Count" dataDxfId="282"/>
    <tableColumn id="33" name="In-Reply-To User ID" dataDxfId="281"/>
    <tableColumn id="34" name="Is Quote Status" dataDxfId="280"/>
    <tableColumn id="35" name="Language" dataDxfId="279"/>
    <tableColumn id="36" name="Possibly Sensitive" dataDxfId="278"/>
    <tableColumn id="37" name="Quoted Status ID" dataDxfId="277"/>
    <tableColumn id="38" name="Retweeted" dataDxfId="276"/>
    <tableColumn id="39" name="Retweet Count" dataDxfId="275"/>
    <tableColumn id="40" name="Retweet ID" dataDxfId="274"/>
    <tableColumn id="41" name="Source" dataDxfId="273"/>
    <tableColumn id="42" name="Truncated" dataDxfId="272"/>
    <tableColumn id="43" name="Unified Twitter ID" dataDxfId="271"/>
    <tableColumn id="44" name="Imported Tweet Type" dataDxfId="270"/>
    <tableColumn id="45" name="Added By Extended Analysis" dataDxfId="269"/>
    <tableColumn id="46" name="Corrected By Extended Analysis" dataDxfId="268"/>
    <tableColumn id="47" name="Place Bounding Box" dataDxfId="267"/>
    <tableColumn id="48" name="Place Country" dataDxfId="266"/>
    <tableColumn id="49" name="Place Country Code" dataDxfId="265"/>
    <tableColumn id="50" name="Place Full Name" dataDxfId="264"/>
    <tableColumn id="51" name="Place ID" dataDxfId="263"/>
    <tableColumn id="52" name="Place Name" dataDxfId="262"/>
    <tableColumn id="53" name="Place Type" dataDxfId="261"/>
    <tableColumn id="54" name="Place URL" dataDxfId="260"/>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List1 Word Count" dataDxfId="52"/>
    <tableColumn id="59" name="Sentiment List #1: List1 Word Percentage (%)" dataDxfId="51"/>
    <tableColumn id="60" name="Sentiment List #2: List2 Word Count" dataDxfId="50"/>
    <tableColumn id="61" name="Sentiment List #2: List2 Word Percentage (%)" dataDxfId="49"/>
    <tableColumn id="62" name="Sentiment List #3: List3 Word Count" dataDxfId="48"/>
    <tableColumn id="63" name="Sentiment List #3: List3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4" totalsRowShown="0" headerRowDxfId="206" dataDxfId="205">
  <autoFilter ref="A1:L4"/>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L10" totalsRowShown="0" headerRowDxfId="191" dataDxfId="190">
  <autoFilter ref="A7:L10"/>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3:L17" totalsRowShown="0" headerRowDxfId="176" dataDxfId="175">
  <autoFilter ref="A13:L17"/>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L30" totalsRowShown="0" headerRowDxfId="161" dataDxfId="160">
  <autoFilter ref="A20:L30"/>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L43" totalsRowShown="0" headerRowDxfId="146" dataDxfId="145">
  <autoFilter ref="A33:L43"/>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L48" totalsRowShown="0" headerRowDxfId="131" dataDxfId="130">
  <autoFilter ref="A46:L48"/>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L60" totalsRowShown="0" headerRowDxfId="128" dataDxfId="127">
  <autoFilter ref="A51:L6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L73" totalsRowShown="0" headerRowDxfId="101" dataDxfId="100">
  <autoFilter ref="A63:L7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42" totalsRowShown="0" headerRowDxfId="76" dataDxfId="75">
  <autoFilter ref="A1:G542"/>
  <tableColumns count="7">
    <tableColumn id="1" name="Word" dataDxfId="74"/>
    <tableColumn id="2" name="Count" dataDxfId="73"/>
    <tableColumn id="3" name="Salience" dataDxfId="72"/>
    <tableColumn id="4" name="Group" dataDxfId="71"/>
    <tableColumn id="5" name="Word on Sentiment List #1: List1" dataDxfId="70"/>
    <tableColumn id="6" name="Word on Sentiment List #2: List2" dataDxfId="69"/>
    <tableColumn id="7" name="Word on Sentiment List #3: List3"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4" totalsRowShown="0" headerRowDxfId="343" dataDxfId="342">
  <autoFilter ref="A2:BU34"/>
  <tableColumns count="73">
    <tableColumn id="1" name="Vertex" dataDxfId="341"/>
    <tableColumn id="73" name="Subgraph"/>
    <tableColumn id="2" name="Color" dataDxfId="340"/>
    <tableColumn id="5" name="Shape" dataDxfId="339"/>
    <tableColumn id="6" name="Size" dataDxfId="338"/>
    <tableColumn id="4" name="Opacity" dataDxfId="239"/>
    <tableColumn id="7" name="Image File" dataDxfId="237"/>
    <tableColumn id="3" name="Visibility" dataDxfId="238"/>
    <tableColumn id="10" name="Label" dataDxfId="337"/>
    <tableColumn id="16" name="Label Fill Color" dataDxfId="336"/>
    <tableColumn id="9" name="Label Position" dataDxfId="233"/>
    <tableColumn id="8" name="Tooltip" dataDxfId="231"/>
    <tableColumn id="18" name="Layout Order" dataDxfId="232"/>
    <tableColumn id="13" name="X" dataDxfId="335"/>
    <tableColumn id="14" name="Y" dataDxfId="334"/>
    <tableColumn id="12" name="Locked?" dataDxfId="333"/>
    <tableColumn id="19" name="Polar R" dataDxfId="332"/>
    <tableColumn id="20" name="Polar Angle" dataDxfId="331"/>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30"/>
    <tableColumn id="28" name="Dynamic Filter" dataDxfId="329"/>
    <tableColumn id="17" name="Add Your Own Columns Here" dataDxfId="259"/>
    <tableColumn id="30" name="Name" dataDxfId="258"/>
    <tableColumn id="31" name="User ID" dataDxfId="257"/>
    <tableColumn id="32" name="Followed" dataDxfId="256"/>
    <tableColumn id="33" name="Followers" dataDxfId="255"/>
    <tableColumn id="34" name="Tweets" dataDxfId="254"/>
    <tableColumn id="35" name="Favorites" dataDxfId="253"/>
    <tableColumn id="36" name="Time Zone UTC Offset (Seconds)" dataDxfId="252"/>
    <tableColumn id="37" name="Description" dataDxfId="251"/>
    <tableColumn id="38" name="Location" dataDxfId="250"/>
    <tableColumn id="39" name="Web" dataDxfId="249"/>
    <tableColumn id="40" name="Time Zone" dataDxfId="248"/>
    <tableColumn id="41" name="Joined Twitter Date (UTC)" dataDxfId="247"/>
    <tableColumn id="42" name="Profile Banner Url" dataDxfId="246"/>
    <tableColumn id="43" name="Default Profile" dataDxfId="245"/>
    <tableColumn id="44" name="Default Profile Image" dataDxfId="244"/>
    <tableColumn id="45" name="Geo Enabled" dataDxfId="243"/>
    <tableColumn id="46" name="Language" dataDxfId="242"/>
    <tableColumn id="47" name="Listed Count" dataDxfId="241"/>
    <tableColumn id="48" name="Profile Background Image Url" dataDxfId="240"/>
    <tableColumn id="49" name="Verified" dataDxfId="236"/>
    <tableColumn id="50" name="Custom Menu Item Text" dataDxfId="235"/>
    <tableColumn id="51" name="Custom Menu Item Action" dataDxfId="234"/>
    <tableColumn id="52" name="Tweeted Search Term?" dataDxfId="223"/>
    <tableColumn id="53" name="Vertex Group" dataDxfId="86">
      <calculatedColumnFormula>REPLACE(INDEX(GroupVertices[Group], MATCH(Vertices[[#This Row],[Vertex]],GroupVertices[Vertex],0)),1,1,"")</calculatedColumnFormula>
    </tableColumn>
    <tableColumn id="54" name="Top URLs in Tweet by Count" dataDxfId="85"/>
    <tableColumn id="55" name="Top URLs in Tweet by Salience" dataDxfId="84"/>
    <tableColumn id="56" name="Top Domains in Tweet by Count" dataDxfId="83"/>
    <tableColumn id="57" name="Top Domains in Tweet by Salience" dataDxfId="82"/>
    <tableColumn id="58" name="Top Hashtags in Tweet by Count" dataDxfId="81"/>
    <tableColumn id="59" name="Top Hashtags in Tweet by Salience" dataDxfId="80"/>
    <tableColumn id="60" name="Top Words in Tweet by Count" dataDxfId="79"/>
    <tableColumn id="61" name="Top Words in Tweet by Salience" dataDxfId="78"/>
    <tableColumn id="62" name="Top Word Pairs in Tweet by Count" dataDxfId="77"/>
    <tableColumn id="63" name="Top Word Pairs in Tweet by Salience" dataDxfId="43"/>
    <tableColumn id="64" name="Sentiment List #1: List1 Word Count" dataDxfId="42"/>
    <tableColumn id="65" name="Sentiment List #1: List1 Word Percentage (%)" dataDxfId="41"/>
    <tableColumn id="66" name="Sentiment List #2: List2 Word Count" dataDxfId="40"/>
    <tableColumn id="67" name="Sentiment List #2: List2 Word Percentage (%)" dataDxfId="39"/>
    <tableColumn id="68" name="Sentiment List #3: List3 Word Count" dataDxfId="38"/>
    <tableColumn id="69" name="Sentiment List #3: List3 Word Percentage (%)" dataDxfId="37"/>
    <tableColumn id="70" name="Non-categorized Word Count" dataDxfId="36"/>
    <tableColumn id="71" name="Non-categorized Word Percentage (%)" dataDxfId="35"/>
    <tableColumn id="72"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70" totalsRowShown="0" headerRowDxfId="67" dataDxfId="66">
  <autoFilter ref="A1:L57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List1" dataDxfId="59"/>
    <tableColumn id="8" name="Word1 on Sentiment List #2: List2" dataDxfId="58"/>
    <tableColumn id="9" name="Word1 on Sentiment List #3: List3" dataDxfId="57"/>
    <tableColumn id="10" name="Word2 on Sentiment List #1: List1" dataDxfId="56"/>
    <tableColumn id="11" name="Word2 on Sentiment List #2: List2" dataDxfId="55"/>
    <tableColumn id="12" name="Word2 on Sentiment List #3: List3"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23" dataDxfId="22">
  <autoFilter ref="A2:C9"/>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8">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327"/>
    <tableColumn id="20" name="Collapsed X"/>
    <tableColumn id="21" name="Collapsed Y"/>
    <tableColumn id="6" name="ID" dataDxfId="326"/>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List1 Word Count" dataDxfId="32"/>
    <tableColumn id="34" name="Sentiment List #1: List1 Word Percentage (%)" dataDxfId="31"/>
    <tableColumn id="35" name="Sentiment List #2: List2 Word Count" dataDxfId="30"/>
    <tableColumn id="36" name="Sentiment List #2: List2 Word Percentage (%)" dataDxfId="29"/>
    <tableColumn id="37" name="Sentiment List #3: List3 Word Count" dataDxfId="28"/>
    <tableColumn id="38" name="Sentiment List #3: List3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5" dataDxfId="324">
  <autoFilter ref="A1:C33"/>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3"/>
    <tableColumn id="2" name="Degree Frequency" dataDxfId="322">
      <calculatedColumnFormula>COUNTIF(Vertices[Degree], "&gt;= " &amp; D2) - COUNTIF(Vertices[Degree], "&gt;=" &amp; D3)</calculatedColumnFormula>
    </tableColumn>
    <tableColumn id="3" name="In-Degree Bin" dataDxfId="321"/>
    <tableColumn id="4" name="In-Degree Frequency" dataDxfId="320">
      <calculatedColumnFormula>COUNTIF(Vertices[In-Degree], "&gt;= " &amp; F2) - COUNTIF(Vertices[In-Degree], "&gt;=" &amp; F3)</calculatedColumnFormula>
    </tableColumn>
    <tableColumn id="5" name="Out-Degree Bin" dataDxfId="319"/>
    <tableColumn id="6" name="Out-Degree Frequency" dataDxfId="318">
      <calculatedColumnFormula>COUNTIF(Vertices[Out-Degree], "&gt;= " &amp; H2) - COUNTIF(Vertices[Out-Degree], "&gt;=" &amp; H3)</calculatedColumnFormula>
    </tableColumn>
    <tableColumn id="7" name="Betweenness Centrality Bin" dataDxfId="317"/>
    <tableColumn id="8" name="Betweenness Centrality Frequency" dataDxfId="316">
      <calculatedColumnFormula>COUNTIF(Vertices[Betweenness Centrality], "&gt;= " &amp; J2) - COUNTIF(Vertices[Betweenness Centrality], "&gt;=" &amp; J3)</calculatedColumnFormula>
    </tableColumn>
    <tableColumn id="9" name="Closeness Centrality Bin" dataDxfId="315"/>
    <tableColumn id="10" name="Closeness Centrality Frequency" dataDxfId="314">
      <calculatedColumnFormula>COUNTIF(Vertices[Closeness Centrality], "&gt;= " &amp; L2) - COUNTIF(Vertices[Closeness Centrality], "&gt;=" &amp; L3)</calculatedColumnFormula>
    </tableColumn>
    <tableColumn id="11" name="Eigenvector Centrality Bin" dataDxfId="313"/>
    <tableColumn id="12" name="Eigenvector Centrality Frequency" dataDxfId="312">
      <calculatedColumnFormula>COUNTIF(Vertices[Eigenvector Centrality], "&gt;= " &amp; N2) - COUNTIF(Vertices[Eigenvector Centrality], "&gt;=" &amp; N3)</calculatedColumnFormula>
    </tableColumn>
    <tableColumn id="18" name="PageRank Bin" dataDxfId="311"/>
    <tableColumn id="17" name="PageRank Frequency" dataDxfId="310">
      <calculatedColumnFormula>COUNTIF(Vertices[Eigenvector Centrality], "&gt;= " &amp; P2) - COUNTIF(Vertices[Eigenvector Centrality], "&gt;=" &amp; P3)</calculatedColumnFormula>
    </tableColumn>
    <tableColumn id="13" name="Clustering Coefficient Bin" dataDxfId="309"/>
    <tableColumn id="14" name="Clustering Coefficient Frequency" dataDxfId="308">
      <calculatedColumnFormula>COUNTIF(Vertices[Clustering Coefficient], "&gt;= " &amp; R2) - COUNTIF(Vertices[Clustering Coefficient], "&gt;=" &amp; R3)</calculatedColumnFormula>
    </tableColumn>
    <tableColumn id="15" name="Dynamic Filter Bin" dataDxfId="307"/>
    <tableColumn id="16" name="Dynamic Filter Frequency" dataDxfId="3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vents.rcpe.ac.uk/medical-trainees-online-symposium-day-life-medical-trainee" TargetMode="External" /><Relationship Id="rId2" Type="http://schemas.openxmlformats.org/officeDocument/2006/relationships/hyperlink" Target="https://twitter.com/rcpedintrainees/status/1352584475805442048" TargetMode="External" /><Relationship Id="rId3" Type="http://schemas.openxmlformats.org/officeDocument/2006/relationships/hyperlink" Target="https://www.nice.org.uk/guidance/ng159/resources/clinical-frailty-scale-pdf-8712262765" TargetMode="External" /><Relationship Id="rId4" Type="http://schemas.openxmlformats.org/officeDocument/2006/relationships/hyperlink" Target="https://events.rcpe.ac.uk/medical-trainees-online-symposium-day-life-medical-trainee" TargetMode="External" /><Relationship Id="rId5" Type="http://schemas.openxmlformats.org/officeDocument/2006/relationships/hyperlink" Target="https://www.nice.org.uk/guidance/ng159/resources/clinical-frailty-scale-pdf-8712262765" TargetMode="External" /><Relationship Id="rId6" Type="http://schemas.openxmlformats.org/officeDocument/2006/relationships/hyperlink" Target="https://twitter.com/rcpedintrainees/status/1352584475805442048" TargetMode="External" /><Relationship Id="rId7" Type="http://schemas.openxmlformats.org/officeDocument/2006/relationships/table" Target="../tables/table11.xm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5" width="6.421875" style="0" bestFit="1" customWidth="1"/>
    <col min="26" max="26" width="12.28125" style="0" bestFit="1" customWidth="1"/>
    <col min="28" max="28" width="10.421875" style="0" bestFit="1" customWidth="1"/>
    <col min="29" max="29" width="12.00390625" style="0" bestFit="1" customWidth="1"/>
    <col min="30" max="30" width="11.57421875" style="0" bestFit="1" customWidth="1"/>
    <col min="31" max="31" width="10.00390625" style="0" bestFit="1" customWidth="1"/>
    <col min="33" max="33" width="11.57421875" style="0" bestFit="1" customWidth="1"/>
    <col min="34" max="34" width="9.2812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14062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7.57421875" style="0" bestFit="1" customWidth="1"/>
    <col min="46" max="46" width="16.421875" style="0" bestFit="1" customWidth="1"/>
    <col min="47" max="47" width="14.421875" style="0" bestFit="1" customWidth="1"/>
    <col min="49" max="49" width="13.28125" style="0" bestFit="1" customWidth="1"/>
    <col min="50" max="50" width="9.710937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6.7109375" style="0" bestFit="1" customWidth="1"/>
    <col min="59" max="59" width="20.7109375" style="0" bestFit="1" customWidth="1"/>
    <col min="60" max="60" width="16.7109375" style="0" bestFit="1" customWidth="1"/>
    <col min="61" max="61" width="20.7109375" style="0" bestFit="1" customWidth="1"/>
    <col min="62" max="62" width="16.7109375" style="0" bestFit="1" customWidth="1"/>
    <col min="63" max="63" width="20.7109375" style="0" bestFit="1" customWidth="1"/>
    <col min="64" max="64" width="15.8515625" style="0" bestFit="1" customWidth="1"/>
    <col min="65" max="65" width="19.140625" style="0" bestFit="1" customWidth="1"/>
    <col min="66" max="66" width="13.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648</v>
      </c>
      <c r="BD2" s="13" t="s">
        <v>660</v>
      </c>
      <c r="BE2" s="13" t="s">
        <v>661</v>
      </c>
      <c r="BF2" s="68" t="s">
        <v>1150</v>
      </c>
      <c r="BG2" s="68" t="s">
        <v>1151</v>
      </c>
      <c r="BH2" s="68" t="s">
        <v>1152</v>
      </c>
      <c r="BI2" s="68" t="s">
        <v>1153</v>
      </c>
      <c r="BJ2" s="68" t="s">
        <v>1154</v>
      </c>
      <c r="BK2" s="68" t="s">
        <v>1155</v>
      </c>
      <c r="BL2" s="68" t="s">
        <v>1156</v>
      </c>
      <c r="BM2" s="68" t="s">
        <v>1157</v>
      </c>
      <c r="BN2" s="68" t="s">
        <v>1158</v>
      </c>
    </row>
    <row r="3" spans="1:66" ht="15" customHeight="1">
      <c r="A3" s="83" t="s">
        <v>274</v>
      </c>
      <c r="B3" s="83" t="s">
        <v>272</v>
      </c>
      <c r="C3" s="53" t="s">
        <v>1194</v>
      </c>
      <c r="D3" s="54">
        <v>3</v>
      </c>
      <c r="E3" s="66" t="s">
        <v>132</v>
      </c>
      <c r="F3" s="55">
        <v>32</v>
      </c>
      <c r="G3" s="53"/>
      <c r="H3" s="57"/>
      <c r="I3" s="56"/>
      <c r="J3" s="56"/>
      <c r="K3" s="36" t="s">
        <v>65</v>
      </c>
      <c r="L3" s="62">
        <v>3</v>
      </c>
      <c r="M3" s="62"/>
      <c r="N3" s="63"/>
      <c r="O3" s="84" t="s">
        <v>283</v>
      </c>
      <c r="P3" s="86">
        <v>44212.13400462963</v>
      </c>
      <c r="Q3" s="84" t="s">
        <v>287</v>
      </c>
      <c r="R3" s="88" t="str">
        <f>HYPERLINK("https://events.rcpe.ac.uk/medical-trainees-online-symposium-day-life-medical-trainee")</f>
        <v>https://events.rcpe.ac.uk/medical-trainees-online-symposium-day-life-medical-trainee</v>
      </c>
      <c r="S3" s="84" t="s">
        <v>325</v>
      </c>
      <c r="T3" s="84" t="s">
        <v>328</v>
      </c>
      <c r="U3" s="88" t="str">
        <f>HYPERLINK("https://pbs.twimg.com/media/Erw8NG7XUAAnYxH.jpg")</f>
        <v>https://pbs.twimg.com/media/Erw8NG7XUAAnYxH.jpg</v>
      </c>
      <c r="V3" s="88" t="str">
        <f>HYPERLINK("https://pbs.twimg.com/media/Erw8NG7XUAAnYxH.jpg")</f>
        <v>https://pbs.twimg.com/media/Erw8NG7XUAAnYxH.jpg</v>
      </c>
      <c r="W3" s="86">
        <v>44212.13400462963</v>
      </c>
      <c r="X3" s="90">
        <v>44212</v>
      </c>
      <c r="Y3" s="92" t="s">
        <v>400</v>
      </c>
      <c r="Z3" s="88" t="str">
        <f>HYPERLINK("https://twitter.com/rahaff/status/1350279852755193857")</f>
        <v>https://twitter.com/rahaff/status/1350279852755193857</v>
      </c>
      <c r="AA3" s="84"/>
      <c r="AB3" s="84"/>
      <c r="AC3" s="92" t="s">
        <v>469</v>
      </c>
      <c r="AD3" s="84"/>
      <c r="AE3" s="84" t="b">
        <v>0</v>
      </c>
      <c r="AF3" s="84">
        <v>0</v>
      </c>
      <c r="AG3" s="92" t="s">
        <v>470</v>
      </c>
      <c r="AH3" s="84" t="b">
        <v>0</v>
      </c>
      <c r="AI3" s="84" t="s">
        <v>473</v>
      </c>
      <c r="AJ3" s="84"/>
      <c r="AK3" s="92" t="s">
        <v>470</v>
      </c>
      <c r="AL3" s="84" t="b">
        <v>0</v>
      </c>
      <c r="AM3" s="84">
        <v>8</v>
      </c>
      <c r="AN3" s="92" t="s">
        <v>443</v>
      </c>
      <c r="AO3" s="84" t="s">
        <v>477</v>
      </c>
      <c r="AP3" s="84" t="b">
        <v>0</v>
      </c>
      <c r="AQ3" s="92" t="s">
        <v>443</v>
      </c>
      <c r="AR3" s="84" t="s">
        <v>213</v>
      </c>
      <c r="AS3" s="84">
        <v>0</v>
      </c>
      <c r="AT3" s="84">
        <v>0</v>
      </c>
      <c r="AU3" s="84"/>
      <c r="AV3" s="84"/>
      <c r="AW3" s="84"/>
      <c r="AX3" s="84"/>
      <c r="AY3" s="84"/>
      <c r="AZ3" s="84"/>
      <c r="BA3" s="84"/>
      <c r="BB3" s="84"/>
      <c r="BC3">
        <v>1</v>
      </c>
      <c r="BD3" s="84" t="str">
        <f>REPLACE(INDEX(GroupVertices[Group],MATCH(Edges[[#This Row],[Vertex 1]],GroupVertices[Vertex],0)),1,1,"")</f>
        <v>1</v>
      </c>
      <c r="BE3" s="84" t="str">
        <f>REPLACE(INDEX(GroupVertices[Group],MATCH(Edges[[#This Row],[Vertex 2]],GroupVertices[Vertex],0)),1,1,"")</f>
        <v>1</v>
      </c>
      <c r="BF3" s="51">
        <v>2</v>
      </c>
      <c r="BG3" s="52">
        <v>4.651162790697675</v>
      </c>
      <c r="BH3" s="51">
        <v>0</v>
      </c>
      <c r="BI3" s="52">
        <v>0</v>
      </c>
      <c r="BJ3" s="51">
        <v>0</v>
      </c>
      <c r="BK3" s="52">
        <v>0</v>
      </c>
      <c r="BL3" s="51">
        <v>41</v>
      </c>
      <c r="BM3" s="52">
        <v>95.34883720930233</v>
      </c>
      <c r="BN3" s="51">
        <v>43</v>
      </c>
    </row>
    <row r="4" spans="1:66" ht="15" customHeight="1">
      <c r="A4" s="83" t="s">
        <v>251</v>
      </c>
      <c r="B4" s="83" t="s">
        <v>272</v>
      </c>
      <c r="C4" s="53" t="s">
        <v>1194</v>
      </c>
      <c r="D4" s="54">
        <v>3</v>
      </c>
      <c r="E4" s="66" t="s">
        <v>132</v>
      </c>
      <c r="F4" s="55">
        <v>32</v>
      </c>
      <c r="G4" s="53"/>
      <c r="H4" s="57"/>
      <c r="I4" s="56"/>
      <c r="J4" s="56"/>
      <c r="K4" s="36" t="s">
        <v>65</v>
      </c>
      <c r="L4" s="82">
        <v>4</v>
      </c>
      <c r="M4" s="82"/>
      <c r="N4" s="63"/>
      <c r="O4" s="85" t="s">
        <v>283</v>
      </c>
      <c r="P4" s="87">
        <v>44215.92643518518</v>
      </c>
      <c r="Q4" s="85" t="s">
        <v>287</v>
      </c>
      <c r="R4" s="89" t="str">
        <f>HYPERLINK("https://events.rcpe.ac.uk/medical-trainees-online-symposium-day-life-medical-trainee")</f>
        <v>https://events.rcpe.ac.uk/medical-trainees-online-symposium-day-life-medical-trainee</v>
      </c>
      <c r="S4" s="85" t="s">
        <v>325</v>
      </c>
      <c r="T4" s="85" t="s">
        <v>328</v>
      </c>
      <c r="U4" s="89" t="str">
        <f>HYPERLINK("https://pbs.twimg.com/media/Erw8NG7XUAAnYxH.jpg")</f>
        <v>https://pbs.twimg.com/media/Erw8NG7XUAAnYxH.jpg</v>
      </c>
      <c r="V4" s="89" t="str">
        <f>HYPERLINK("https://pbs.twimg.com/media/Erw8NG7XUAAnYxH.jpg")</f>
        <v>https://pbs.twimg.com/media/Erw8NG7XUAAnYxH.jpg</v>
      </c>
      <c r="W4" s="87">
        <v>44215.92643518518</v>
      </c>
      <c r="X4" s="91">
        <v>44215</v>
      </c>
      <c r="Y4" s="93" t="s">
        <v>332</v>
      </c>
      <c r="Z4" s="89" t="str">
        <f>HYPERLINK("https://twitter.com/ses_imt/status/1351654183737257986")</f>
        <v>https://twitter.com/ses_imt/status/1351654183737257986</v>
      </c>
      <c r="AA4" s="85"/>
      <c r="AB4" s="85"/>
      <c r="AC4" s="93" t="s">
        <v>401</v>
      </c>
      <c r="AD4" s="85"/>
      <c r="AE4" s="85" t="b">
        <v>0</v>
      </c>
      <c r="AF4" s="85">
        <v>0</v>
      </c>
      <c r="AG4" s="93" t="s">
        <v>470</v>
      </c>
      <c r="AH4" s="85" t="b">
        <v>0</v>
      </c>
      <c r="AI4" s="85" t="s">
        <v>473</v>
      </c>
      <c r="AJ4" s="85"/>
      <c r="AK4" s="93" t="s">
        <v>470</v>
      </c>
      <c r="AL4" s="85" t="b">
        <v>0</v>
      </c>
      <c r="AM4" s="85">
        <v>8</v>
      </c>
      <c r="AN4" s="93" t="s">
        <v>443</v>
      </c>
      <c r="AO4" s="85" t="s">
        <v>475</v>
      </c>
      <c r="AP4" s="85" t="b">
        <v>0</v>
      </c>
      <c r="AQ4" s="93" t="s">
        <v>443</v>
      </c>
      <c r="AR4" s="85" t="s">
        <v>213</v>
      </c>
      <c r="AS4" s="85">
        <v>0</v>
      </c>
      <c r="AT4" s="85">
        <v>0</v>
      </c>
      <c r="AU4" s="85"/>
      <c r="AV4" s="85"/>
      <c r="AW4" s="85"/>
      <c r="AX4" s="85"/>
      <c r="AY4" s="85"/>
      <c r="AZ4" s="85"/>
      <c r="BA4" s="85"/>
      <c r="BB4" s="85"/>
      <c r="BC4">
        <v>1</v>
      </c>
      <c r="BD4" s="84" t="str">
        <f>REPLACE(INDEX(GroupVertices[Group],MATCH(Edges[[#This Row],[Vertex 1]],GroupVertices[Vertex],0)),1,1,"")</f>
        <v>1</v>
      </c>
      <c r="BE4" s="84" t="str">
        <f>REPLACE(INDEX(GroupVertices[Group],MATCH(Edges[[#This Row],[Vertex 2]],GroupVertices[Vertex],0)),1,1,"")</f>
        <v>1</v>
      </c>
      <c r="BF4" s="51">
        <v>2</v>
      </c>
      <c r="BG4" s="52">
        <v>4.651162790697675</v>
      </c>
      <c r="BH4" s="51">
        <v>0</v>
      </c>
      <c r="BI4" s="52">
        <v>0</v>
      </c>
      <c r="BJ4" s="51">
        <v>0</v>
      </c>
      <c r="BK4" s="52">
        <v>0</v>
      </c>
      <c r="BL4" s="51">
        <v>41</v>
      </c>
      <c r="BM4" s="52">
        <v>95.34883720930233</v>
      </c>
      <c r="BN4" s="51">
        <v>43</v>
      </c>
    </row>
    <row r="5" spans="1:66" ht="15">
      <c r="A5" s="83" t="s">
        <v>252</v>
      </c>
      <c r="B5" s="83" t="s">
        <v>272</v>
      </c>
      <c r="C5" s="53" t="s">
        <v>1194</v>
      </c>
      <c r="D5" s="54">
        <v>3</v>
      </c>
      <c r="E5" s="66" t="s">
        <v>132</v>
      </c>
      <c r="F5" s="55">
        <v>32</v>
      </c>
      <c r="G5" s="53"/>
      <c r="H5" s="57"/>
      <c r="I5" s="56"/>
      <c r="J5" s="56"/>
      <c r="K5" s="36" t="s">
        <v>65</v>
      </c>
      <c r="L5" s="82">
        <v>5</v>
      </c>
      <c r="M5" s="82"/>
      <c r="N5" s="63"/>
      <c r="O5" s="85" t="s">
        <v>283</v>
      </c>
      <c r="P5" s="87">
        <v>44218.40138888889</v>
      </c>
      <c r="Q5" s="85" t="s">
        <v>288</v>
      </c>
      <c r="R5" s="85"/>
      <c r="S5" s="85"/>
      <c r="T5" s="85" t="s">
        <v>328</v>
      </c>
      <c r="U5" s="85"/>
      <c r="V5" s="89" t="str">
        <f>HYPERLINK("https://pbs.twimg.com/profile_images/1317158576650149893/YGFebG7P_normal.jpg")</f>
        <v>https://pbs.twimg.com/profile_images/1317158576650149893/YGFebG7P_normal.jpg</v>
      </c>
      <c r="W5" s="87">
        <v>44218.40138888889</v>
      </c>
      <c r="X5" s="91">
        <v>44218</v>
      </c>
      <c r="Y5" s="93" t="s">
        <v>333</v>
      </c>
      <c r="Z5" s="89" t="str">
        <f>HYPERLINK("https://twitter.com/charsquires/status/1352551076864663552")</f>
        <v>https://twitter.com/charsquires/status/1352551076864663552</v>
      </c>
      <c r="AA5" s="85"/>
      <c r="AB5" s="85"/>
      <c r="AC5" s="93" t="s">
        <v>402</v>
      </c>
      <c r="AD5" s="85"/>
      <c r="AE5" s="85" t="b">
        <v>0</v>
      </c>
      <c r="AF5" s="85">
        <v>0</v>
      </c>
      <c r="AG5" s="93" t="s">
        <v>470</v>
      </c>
      <c r="AH5" s="85" t="b">
        <v>0</v>
      </c>
      <c r="AI5" s="85" t="s">
        <v>473</v>
      </c>
      <c r="AJ5" s="85"/>
      <c r="AK5" s="93" t="s">
        <v>470</v>
      </c>
      <c r="AL5" s="85" t="b">
        <v>0</v>
      </c>
      <c r="AM5" s="85">
        <v>3</v>
      </c>
      <c r="AN5" s="93" t="s">
        <v>444</v>
      </c>
      <c r="AO5" s="85" t="s">
        <v>476</v>
      </c>
      <c r="AP5" s="85" t="b">
        <v>0</v>
      </c>
      <c r="AQ5" s="93" t="s">
        <v>444</v>
      </c>
      <c r="AR5" s="85" t="s">
        <v>213</v>
      </c>
      <c r="AS5" s="85">
        <v>0</v>
      </c>
      <c r="AT5" s="85">
        <v>0</v>
      </c>
      <c r="AU5" s="85"/>
      <c r="AV5" s="85"/>
      <c r="AW5" s="85"/>
      <c r="AX5" s="85"/>
      <c r="AY5" s="85"/>
      <c r="AZ5" s="85"/>
      <c r="BA5" s="85"/>
      <c r="BB5" s="85"/>
      <c r="BC5">
        <v>1</v>
      </c>
      <c r="BD5" s="84" t="str">
        <f>REPLACE(INDEX(GroupVertices[Group],MATCH(Edges[[#This Row],[Vertex 1]],GroupVertices[Vertex],0)),1,1,"")</f>
        <v>1</v>
      </c>
      <c r="BE5" s="84" t="str">
        <f>REPLACE(INDEX(GroupVertices[Group],MATCH(Edges[[#This Row],[Vertex 2]],GroupVertices[Vertex],0)),1,1,"")</f>
        <v>1</v>
      </c>
      <c r="BF5" s="51">
        <v>3</v>
      </c>
      <c r="BG5" s="52">
        <v>11.538461538461538</v>
      </c>
      <c r="BH5" s="51">
        <v>1</v>
      </c>
      <c r="BI5" s="52">
        <v>3.8461538461538463</v>
      </c>
      <c r="BJ5" s="51">
        <v>0</v>
      </c>
      <c r="BK5" s="52">
        <v>0</v>
      </c>
      <c r="BL5" s="51">
        <v>22</v>
      </c>
      <c r="BM5" s="52">
        <v>84.61538461538461</v>
      </c>
      <c r="BN5" s="51">
        <v>26</v>
      </c>
    </row>
    <row r="6" spans="1:66" ht="15">
      <c r="A6" s="83" t="s">
        <v>253</v>
      </c>
      <c r="B6" s="83" t="s">
        <v>272</v>
      </c>
      <c r="C6" s="53" t="s">
        <v>1194</v>
      </c>
      <c r="D6" s="54">
        <v>3</v>
      </c>
      <c r="E6" s="66" t="s">
        <v>132</v>
      </c>
      <c r="F6" s="55">
        <v>32</v>
      </c>
      <c r="G6" s="53"/>
      <c r="H6" s="57"/>
      <c r="I6" s="56"/>
      <c r="J6" s="56"/>
      <c r="K6" s="36" t="s">
        <v>65</v>
      </c>
      <c r="L6" s="82">
        <v>6</v>
      </c>
      <c r="M6" s="82"/>
      <c r="N6" s="63"/>
      <c r="O6" s="85" t="s">
        <v>283</v>
      </c>
      <c r="P6" s="87">
        <v>44218.416712962964</v>
      </c>
      <c r="Q6" s="85" t="s">
        <v>288</v>
      </c>
      <c r="R6" s="85"/>
      <c r="S6" s="85"/>
      <c r="T6" s="85" t="s">
        <v>328</v>
      </c>
      <c r="U6" s="85"/>
      <c r="V6" s="89" t="str">
        <f>HYPERLINK("https://pbs.twimg.com/profile_images/1260335097477292036/e7Ve9UW6_normal.jpg")</f>
        <v>https://pbs.twimg.com/profile_images/1260335097477292036/e7Ve9UW6_normal.jpg</v>
      </c>
      <c r="W6" s="87">
        <v>44218.416712962964</v>
      </c>
      <c r="X6" s="91">
        <v>44218</v>
      </c>
      <c r="Y6" s="93" t="s">
        <v>334</v>
      </c>
      <c r="Z6" s="89" t="str">
        <f>HYPERLINK("https://twitter.com/addymcleod/status/1352556628793581569")</f>
        <v>https://twitter.com/addymcleod/status/1352556628793581569</v>
      </c>
      <c r="AA6" s="85"/>
      <c r="AB6" s="85"/>
      <c r="AC6" s="93" t="s">
        <v>403</v>
      </c>
      <c r="AD6" s="85"/>
      <c r="AE6" s="85" t="b">
        <v>0</v>
      </c>
      <c r="AF6" s="85">
        <v>0</v>
      </c>
      <c r="AG6" s="93" t="s">
        <v>470</v>
      </c>
      <c r="AH6" s="85" t="b">
        <v>0</v>
      </c>
      <c r="AI6" s="85" t="s">
        <v>473</v>
      </c>
      <c r="AJ6" s="85"/>
      <c r="AK6" s="93" t="s">
        <v>470</v>
      </c>
      <c r="AL6" s="85" t="b">
        <v>0</v>
      </c>
      <c r="AM6" s="85">
        <v>3</v>
      </c>
      <c r="AN6" s="93" t="s">
        <v>444</v>
      </c>
      <c r="AO6" s="85" t="s">
        <v>476</v>
      </c>
      <c r="AP6" s="85" t="b">
        <v>0</v>
      </c>
      <c r="AQ6" s="93" t="s">
        <v>444</v>
      </c>
      <c r="AR6" s="85" t="s">
        <v>213</v>
      </c>
      <c r="AS6" s="85">
        <v>0</v>
      </c>
      <c r="AT6" s="85">
        <v>0</v>
      </c>
      <c r="AU6" s="85"/>
      <c r="AV6" s="85"/>
      <c r="AW6" s="85"/>
      <c r="AX6" s="85"/>
      <c r="AY6" s="85"/>
      <c r="AZ6" s="85"/>
      <c r="BA6" s="85"/>
      <c r="BB6" s="85"/>
      <c r="BC6">
        <v>1</v>
      </c>
      <c r="BD6" s="84" t="str">
        <f>REPLACE(INDEX(GroupVertices[Group],MATCH(Edges[[#This Row],[Vertex 1]],GroupVertices[Vertex],0)),1,1,"")</f>
        <v>1</v>
      </c>
      <c r="BE6" s="84" t="str">
        <f>REPLACE(INDEX(GroupVertices[Group],MATCH(Edges[[#This Row],[Vertex 2]],GroupVertices[Vertex],0)),1,1,"")</f>
        <v>1</v>
      </c>
      <c r="BF6" s="51">
        <v>3</v>
      </c>
      <c r="BG6" s="52">
        <v>11.538461538461538</v>
      </c>
      <c r="BH6" s="51">
        <v>1</v>
      </c>
      <c r="BI6" s="52">
        <v>3.8461538461538463</v>
      </c>
      <c r="BJ6" s="51">
        <v>0</v>
      </c>
      <c r="BK6" s="52">
        <v>0</v>
      </c>
      <c r="BL6" s="51">
        <v>22</v>
      </c>
      <c r="BM6" s="52">
        <v>84.61538461538461</v>
      </c>
      <c r="BN6" s="51">
        <v>26</v>
      </c>
    </row>
    <row r="7" spans="1:66" ht="15">
      <c r="A7" s="83" t="s">
        <v>254</v>
      </c>
      <c r="B7" s="83" t="s">
        <v>272</v>
      </c>
      <c r="C7" s="53" t="s">
        <v>1194</v>
      </c>
      <c r="D7" s="54">
        <v>3</v>
      </c>
      <c r="E7" s="66" t="s">
        <v>132</v>
      </c>
      <c r="F7" s="55">
        <v>32</v>
      </c>
      <c r="G7" s="53"/>
      <c r="H7" s="57"/>
      <c r="I7" s="56"/>
      <c r="J7" s="56"/>
      <c r="K7" s="36" t="s">
        <v>65</v>
      </c>
      <c r="L7" s="82">
        <v>7</v>
      </c>
      <c r="M7" s="82"/>
      <c r="N7" s="63"/>
      <c r="O7" s="85" t="s">
        <v>283</v>
      </c>
      <c r="P7" s="87">
        <v>44218.42935185185</v>
      </c>
      <c r="Q7" s="85" t="s">
        <v>289</v>
      </c>
      <c r="R7" s="85"/>
      <c r="S7" s="85"/>
      <c r="T7" s="85" t="s">
        <v>328</v>
      </c>
      <c r="U7" s="85"/>
      <c r="V7" s="89" t="str">
        <f>HYPERLINK("https://pbs.twimg.com/profile_images/1109180321176715264/fNTI4GWd_normal.jpg")</f>
        <v>https://pbs.twimg.com/profile_images/1109180321176715264/fNTI4GWd_normal.jpg</v>
      </c>
      <c r="W7" s="87">
        <v>44218.42935185185</v>
      </c>
      <c r="X7" s="91">
        <v>44218</v>
      </c>
      <c r="Y7" s="93" t="s">
        <v>335</v>
      </c>
      <c r="Z7" s="89" t="str">
        <f>HYPERLINK("https://twitter.com/haryjalendheria/status/1352561208130478082")</f>
        <v>https://twitter.com/haryjalendheria/status/1352561208130478082</v>
      </c>
      <c r="AA7" s="85"/>
      <c r="AB7" s="85"/>
      <c r="AC7" s="93" t="s">
        <v>404</v>
      </c>
      <c r="AD7" s="85"/>
      <c r="AE7" s="85" t="b">
        <v>0</v>
      </c>
      <c r="AF7" s="85">
        <v>0</v>
      </c>
      <c r="AG7" s="93" t="s">
        <v>470</v>
      </c>
      <c r="AH7" s="85" t="b">
        <v>0</v>
      </c>
      <c r="AI7" s="85" t="s">
        <v>473</v>
      </c>
      <c r="AJ7" s="85"/>
      <c r="AK7" s="93" t="s">
        <v>470</v>
      </c>
      <c r="AL7" s="85" t="b">
        <v>0</v>
      </c>
      <c r="AM7" s="85">
        <v>4</v>
      </c>
      <c r="AN7" s="93" t="s">
        <v>447</v>
      </c>
      <c r="AO7" s="85" t="s">
        <v>476</v>
      </c>
      <c r="AP7" s="85" t="b">
        <v>0</v>
      </c>
      <c r="AQ7" s="93" t="s">
        <v>447</v>
      </c>
      <c r="AR7" s="85" t="s">
        <v>213</v>
      </c>
      <c r="AS7" s="85">
        <v>0</v>
      </c>
      <c r="AT7" s="85">
        <v>0</v>
      </c>
      <c r="AU7" s="85"/>
      <c r="AV7" s="85"/>
      <c r="AW7" s="85"/>
      <c r="AX7" s="85"/>
      <c r="AY7" s="85"/>
      <c r="AZ7" s="85"/>
      <c r="BA7" s="85"/>
      <c r="BB7" s="85"/>
      <c r="BC7">
        <v>1</v>
      </c>
      <c r="BD7" s="84" t="str">
        <f>REPLACE(INDEX(GroupVertices[Group],MATCH(Edges[[#This Row],[Vertex 1]],GroupVertices[Vertex],0)),1,1,"")</f>
        <v>1</v>
      </c>
      <c r="BE7" s="84" t="str">
        <f>REPLACE(INDEX(GroupVertices[Group],MATCH(Edges[[#This Row],[Vertex 2]],GroupVertices[Vertex],0)),1,1,"")</f>
        <v>1</v>
      </c>
      <c r="BF7" s="51">
        <v>0</v>
      </c>
      <c r="BG7" s="52">
        <v>0</v>
      </c>
      <c r="BH7" s="51">
        <v>1</v>
      </c>
      <c r="BI7" s="52">
        <v>4.3478260869565215</v>
      </c>
      <c r="BJ7" s="51">
        <v>0</v>
      </c>
      <c r="BK7" s="52">
        <v>0</v>
      </c>
      <c r="BL7" s="51">
        <v>22</v>
      </c>
      <c r="BM7" s="52">
        <v>95.65217391304348</v>
      </c>
      <c r="BN7" s="51">
        <v>23</v>
      </c>
    </row>
    <row r="8" spans="1:66" ht="15">
      <c r="A8" s="83" t="s">
        <v>255</v>
      </c>
      <c r="B8" s="83" t="s">
        <v>256</v>
      </c>
      <c r="C8" s="53" t="s">
        <v>1194</v>
      </c>
      <c r="D8" s="54">
        <v>3</v>
      </c>
      <c r="E8" s="66" t="s">
        <v>132</v>
      </c>
      <c r="F8" s="55">
        <v>32</v>
      </c>
      <c r="G8" s="53"/>
      <c r="H8" s="57"/>
      <c r="I8" s="56"/>
      <c r="J8" s="56"/>
      <c r="K8" s="36" t="s">
        <v>65</v>
      </c>
      <c r="L8" s="82">
        <v>8</v>
      </c>
      <c r="M8" s="82"/>
      <c r="N8" s="63"/>
      <c r="O8" s="85" t="s">
        <v>283</v>
      </c>
      <c r="P8" s="87">
        <v>44218.44326388889</v>
      </c>
      <c r="Q8" s="85" t="s">
        <v>290</v>
      </c>
      <c r="R8" s="85"/>
      <c r="S8" s="85"/>
      <c r="T8" s="85" t="s">
        <v>328</v>
      </c>
      <c r="U8" s="85"/>
      <c r="V8" s="89" t="str">
        <f>HYPERLINK("https://pbs.twimg.com/profile_images/1303710998134697986/YoTcTLy8_normal.jpg")</f>
        <v>https://pbs.twimg.com/profile_images/1303710998134697986/YoTcTLy8_normal.jpg</v>
      </c>
      <c r="W8" s="87">
        <v>44218.44326388889</v>
      </c>
      <c r="X8" s="91">
        <v>44218</v>
      </c>
      <c r="Y8" s="93" t="s">
        <v>336</v>
      </c>
      <c r="Z8" s="89" t="str">
        <f>HYPERLINK("https://twitter.com/patchpradeep/status/1352566250967339008")</f>
        <v>https://twitter.com/patchpradeep/status/1352566250967339008</v>
      </c>
      <c r="AA8" s="85"/>
      <c r="AB8" s="85"/>
      <c r="AC8" s="93" t="s">
        <v>405</v>
      </c>
      <c r="AD8" s="85"/>
      <c r="AE8" s="85" t="b">
        <v>0</v>
      </c>
      <c r="AF8" s="85">
        <v>0</v>
      </c>
      <c r="AG8" s="93" t="s">
        <v>470</v>
      </c>
      <c r="AH8" s="85" t="b">
        <v>0</v>
      </c>
      <c r="AI8" s="85" t="s">
        <v>473</v>
      </c>
      <c r="AJ8" s="85"/>
      <c r="AK8" s="93" t="s">
        <v>470</v>
      </c>
      <c r="AL8" s="85" t="b">
        <v>0</v>
      </c>
      <c r="AM8" s="85">
        <v>1</v>
      </c>
      <c r="AN8" s="93" t="s">
        <v>406</v>
      </c>
      <c r="AO8" s="85" t="s">
        <v>476</v>
      </c>
      <c r="AP8" s="85" t="b">
        <v>0</v>
      </c>
      <c r="AQ8" s="93" t="s">
        <v>406</v>
      </c>
      <c r="AR8" s="85" t="s">
        <v>213</v>
      </c>
      <c r="AS8" s="85">
        <v>0</v>
      </c>
      <c r="AT8" s="85">
        <v>0</v>
      </c>
      <c r="AU8" s="85"/>
      <c r="AV8" s="85"/>
      <c r="AW8" s="85"/>
      <c r="AX8" s="85"/>
      <c r="AY8" s="85"/>
      <c r="AZ8" s="85"/>
      <c r="BA8" s="85"/>
      <c r="BB8" s="85"/>
      <c r="BC8">
        <v>1</v>
      </c>
      <c r="BD8" s="84" t="str">
        <f>REPLACE(INDEX(GroupVertices[Group],MATCH(Edges[[#This Row],[Vertex 1]],GroupVertices[Vertex],0)),1,1,"")</f>
        <v>4</v>
      </c>
      <c r="BE8" s="84" t="str">
        <f>REPLACE(INDEX(GroupVertices[Group],MATCH(Edges[[#This Row],[Vertex 2]],GroupVertices[Vertex],0)),1,1,"")</f>
        <v>4</v>
      </c>
      <c r="BF8" s="51">
        <v>1</v>
      </c>
      <c r="BG8" s="52">
        <v>3.3333333333333335</v>
      </c>
      <c r="BH8" s="51">
        <v>0</v>
      </c>
      <c r="BI8" s="52">
        <v>0</v>
      </c>
      <c r="BJ8" s="51">
        <v>0</v>
      </c>
      <c r="BK8" s="52">
        <v>0</v>
      </c>
      <c r="BL8" s="51">
        <v>29</v>
      </c>
      <c r="BM8" s="52">
        <v>96.66666666666667</v>
      </c>
      <c r="BN8" s="51">
        <v>30</v>
      </c>
    </row>
    <row r="9" spans="1:66" ht="30">
      <c r="A9" s="83" t="s">
        <v>256</v>
      </c>
      <c r="B9" s="83" t="s">
        <v>256</v>
      </c>
      <c r="C9" s="53" t="s">
        <v>1195</v>
      </c>
      <c r="D9" s="54">
        <v>5.333333333333334</v>
      </c>
      <c r="E9" s="66" t="s">
        <v>136</v>
      </c>
      <c r="F9" s="55">
        <v>29.523809523809526</v>
      </c>
      <c r="G9" s="53"/>
      <c r="H9" s="57"/>
      <c r="I9" s="56"/>
      <c r="J9" s="56"/>
      <c r="K9" s="36" t="s">
        <v>65</v>
      </c>
      <c r="L9" s="82">
        <v>9</v>
      </c>
      <c r="M9" s="82"/>
      <c r="N9" s="63"/>
      <c r="O9" s="85" t="s">
        <v>213</v>
      </c>
      <c r="P9" s="87">
        <v>44218.443136574075</v>
      </c>
      <c r="Q9" s="85" t="s">
        <v>290</v>
      </c>
      <c r="R9" s="85"/>
      <c r="S9" s="85"/>
      <c r="T9" s="85" t="s">
        <v>328</v>
      </c>
      <c r="U9" s="85"/>
      <c r="V9" s="89" t="str">
        <f>HYPERLINK("https://pbs.twimg.com/profile_images/924914130/CXR_Red_normal.png")</f>
        <v>https://pbs.twimg.com/profile_images/924914130/CXR_Red_normal.png</v>
      </c>
      <c r="W9" s="87">
        <v>44218.443136574075</v>
      </c>
      <c r="X9" s="91">
        <v>44218</v>
      </c>
      <c r="Y9" s="93" t="s">
        <v>337</v>
      </c>
      <c r="Z9" s="89" t="str">
        <f>HYPERLINK("https://twitter.com/dundeechest/status/1352566203785609217")</f>
        <v>https://twitter.com/dundeechest/status/1352566203785609217</v>
      </c>
      <c r="AA9" s="85"/>
      <c r="AB9" s="85"/>
      <c r="AC9" s="93" t="s">
        <v>406</v>
      </c>
      <c r="AD9" s="85"/>
      <c r="AE9" s="85" t="b">
        <v>0</v>
      </c>
      <c r="AF9" s="85">
        <v>7</v>
      </c>
      <c r="AG9" s="93" t="s">
        <v>470</v>
      </c>
      <c r="AH9" s="85" t="b">
        <v>0</v>
      </c>
      <c r="AI9" s="85" t="s">
        <v>473</v>
      </c>
      <c r="AJ9" s="85"/>
      <c r="AK9" s="93" t="s">
        <v>470</v>
      </c>
      <c r="AL9" s="85" t="b">
        <v>0</v>
      </c>
      <c r="AM9" s="85">
        <v>1</v>
      </c>
      <c r="AN9" s="93" t="s">
        <v>470</v>
      </c>
      <c r="AO9" s="85" t="s">
        <v>477</v>
      </c>
      <c r="AP9" s="85" t="b">
        <v>0</v>
      </c>
      <c r="AQ9" s="93" t="s">
        <v>406</v>
      </c>
      <c r="AR9" s="85" t="s">
        <v>213</v>
      </c>
      <c r="AS9" s="85">
        <v>0</v>
      </c>
      <c r="AT9" s="85">
        <v>0</v>
      </c>
      <c r="AU9" s="85"/>
      <c r="AV9" s="85"/>
      <c r="AW9" s="85"/>
      <c r="AX9" s="85"/>
      <c r="AY9" s="85"/>
      <c r="AZ9" s="85"/>
      <c r="BA9" s="85"/>
      <c r="BB9" s="85"/>
      <c r="BC9">
        <v>3</v>
      </c>
      <c r="BD9" s="84" t="str">
        <f>REPLACE(INDEX(GroupVertices[Group],MATCH(Edges[[#This Row],[Vertex 1]],GroupVertices[Vertex],0)),1,1,"")</f>
        <v>4</v>
      </c>
      <c r="BE9" s="84" t="str">
        <f>REPLACE(INDEX(GroupVertices[Group],MATCH(Edges[[#This Row],[Vertex 2]],GroupVertices[Vertex],0)),1,1,"")</f>
        <v>4</v>
      </c>
      <c r="BF9" s="51">
        <v>1</v>
      </c>
      <c r="BG9" s="52">
        <v>3.3333333333333335</v>
      </c>
      <c r="BH9" s="51">
        <v>0</v>
      </c>
      <c r="BI9" s="52">
        <v>0</v>
      </c>
      <c r="BJ9" s="51">
        <v>0</v>
      </c>
      <c r="BK9" s="52">
        <v>0</v>
      </c>
      <c r="BL9" s="51">
        <v>29</v>
      </c>
      <c r="BM9" s="52">
        <v>96.66666666666667</v>
      </c>
      <c r="BN9" s="51">
        <v>30</v>
      </c>
    </row>
    <row r="10" spans="1:66" ht="30">
      <c r="A10" s="83" t="s">
        <v>256</v>
      </c>
      <c r="B10" s="83" t="s">
        <v>256</v>
      </c>
      <c r="C10" s="53" t="s">
        <v>1195</v>
      </c>
      <c r="D10" s="54">
        <v>5.333333333333334</v>
      </c>
      <c r="E10" s="66" t="s">
        <v>136</v>
      </c>
      <c r="F10" s="55">
        <v>29.523809523809526</v>
      </c>
      <c r="G10" s="53"/>
      <c r="H10" s="57"/>
      <c r="I10" s="56"/>
      <c r="J10" s="56"/>
      <c r="K10" s="36" t="s">
        <v>65</v>
      </c>
      <c r="L10" s="82">
        <v>10</v>
      </c>
      <c r="M10" s="82"/>
      <c r="N10" s="63"/>
      <c r="O10" s="85" t="s">
        <v>213</v>
      </c>
      <c r="P10" s="87">
        <v>44218.4509375</v>
      </c>
      <c r="Q10" s="85" t="s">
        <v>291</v>
      </c>
      <c r="R10" s="85"/>
      <c r="S10" s="85"/>
      <c r="T10" s="85" t="s">
        <v>328</v>
      </c>
      <c r="U10" s="85"/>
      <c r="V10" s="89" t="str">
        <f>HYPERLINK("https://pbs.twimg.com/profile_images/924914130/CXR_Red_normal.png")</f>
        <v>https://pbs.twimg.com/profile_images/924914130/CXR_Red_normal.png</v>
      </c>
      <c r="W10" s="87">
        <v>44218.4509375</v>
      </c>
      <c r="X10" s="91">
        <v>44218</v>
      </c>
      <c r="Y10" s="93" t="s">
        <v>338</v>
      </c>
      <c r="Z10" s="89" t="str">
        <f>HYPERLINK("https://twitter.com/dundeechest/status/1352569033695096832")</f>
        <v>https://twitter.com/dundeechest/status/1352569033695096832</v>
      </c>
      <c r="AA10" s="85"/>
      <c r="AB10" s="85"/>
      <c r="AC10" s="93" t="s">
        <v>407</v>
      </c>
      <c r="AD10" s="85"/>
      <c r="AE10" s="85" t="b">
        <v>0</v>
      </c>
      <c r="AF10" s="85">
        <v>0</v>
      </c>
      <c r="AG10" s="93" t="s">
        <v>470</v>
      </c>
      <c r="AH10" s="85" t="b">
        <v>0</v>
      </c>
      <c r="AI10" s="85" t="s">
        <v>473</v>
      </c>
      <c r="AJ10" s="85"/>
      <c r="AK10" s="93" t="s">
        <v>470</v>
      </c>
      <c r="AL10" s="85" t="b">
        <v>0</v>
      </c>
      <c r="AM10" s="85">
        <v>0</v>
      </c>
      <c r="AN10" s="93" t="s">
        <v>470</v>
      </c>
      <c r="AO10" s="85" t="s">
        <v>477</v>
      </c>
      <c r="AP10" s="85" t="b">
        <v>0</v>
      </c>
      <c r="AQ10" s="93" t="s">
        <v>407</v>
      </c>
      <c r="AR10" s="85" t="s">
        <v>213</v>
      </c>
      <c r="AS10" s="85">
        <v>0</v>
      </c>
      <c r="AT10" s="85">
        <v>0</v>
      </c>
      <c r="AU10" s="85"/>
      <c r="AV10" s="85"/>
      <c r="AW10" s="85"/>
      <c r="AX10" s="85"/>
      <c r="AY10" s="85"/>
      <c r="AZ10" s="85"/>
      <c r="BA10" s="85"/>
      <c r="BB10" s="85"/>
      <c r="BC10">
        <v>3</v>
      </c>
      <c r="BD10" s="84" t="str">
        <f>REPLACE(INDEX(GroupVertices[Group],MATCH(Edges[[#This Row],[Vertex 1]],GroupVertices[Vertex],0)),1,1,"")</f>
        <v>4</v>
      </c>
      <c r="BE10" s="84" t="str">
        <f>REPLACE(INDEX(GroupVertices[Group],MATCH(Edges[[#This Row],[Vertex 2]],GroupVertices[Vertex],0)),1,1,"")</f>
        <v>4</v>
      </c>
      <c r="BF10" s="51">
        <v>2</v>
      </c>
      <c r="BG10" s="52">
        <v>11.11111111111111</v>
      </c>
      <c r="BH10" s="51">
        <v>0</v>
      </c>
      <c r="BI10" s="52">
        <v>0</v>
      </c>
      <c r="BJ10" s="51">
        <v>0</v>
      </c>
      <c r="BK10" s="52">
        <v>0</v>
      </c>
      <c r="BL10" s="51">
        <v>16</v>
      </c>
      <c r="BM10" s="52">
        <v>88.88888888888889</v>
      </c>
      <c r="BN10" s="51">
        <v>18</v>
      </c>
    </row>
    <row r="11" spans="1:66" ht="30">
      <c r="A11" s="83" t="s">
        <v>256</v>
      </c>
      <c r="B11" s="83" t="s">
        <v>256</v>
      </c>
      <c r="C11" s="53" t="s">
        <v>1195</v>
      </c>
      <c r="D11" s="54">
        <v>5.333333333333334</v>
      </c>
      <c r="E11" s="66" t="s">
        <v>136</v>
      </c>
      <c r="F11" s="55">
        <v>29.523809523809526</v>
      </c>
      <c r="G11" s="53"/>
      <c r="H11" s="57"/>
      <c r="I11" s="56"/>
      <c r="J11" s="56"/>
      <c r="K11" s="36" t="s">
        <v>65</v>
      </c>
      <c r="L11" s="82">
        <v>11</v>
      </c>
      <c r="M11" s="82"/>
      <c r="N11" s="63"/>
      <c r="O11" s="85" t="s">
        <v>213</v>
      </c>
      <c r="P11" s="87">
        <v>44218.451886574076</v>
      </c>
      <c r="Q11" s="85" t="s">
        <v>292</v>
      </c>
      <c r="R11" s="85"/>
      <c r="S11" s="85"/>
      <c r="T11" s="85" t="s">
        <v>328</v>
      </c>
      <c r="U11" s="89" t="str">
        <f>HYPERLINK("https://pbs.twimg.com/media/EsVKqEFXEAgaY1h.jpg")</f>
        <v>https://pbs.twimg.com/media/EsVKqEFXEAgaY1h.jpg</v>
      </c>
      <c r="V11" s="89" t="str">
        <f>HYPERLINK("https://pbs.twimg.com/media/EsVKqEFXEAgaY1h.jpg")</f>
        <v>https://pbs.twimg.com/media/EsVKqEFXEAgaY1h.jpg</v>
      </c>
      <c r="W11" s="87">
        <v>44218.451886574076</v>
      </c>
      <c r="X11" s="91">
        <v>44218</v>
      </c>
      <c r="Y11" s="93" t="s">
        <v>339</v>
      </c>
      <c r="Z11" s="89" t="str">
        <f>HYPERLINK("https://twitter.com/dundeechest/status/1352569377984491520")</f>
        <v>https://twitter.com/dundeechest/status/1352569377984491520</v>
      </c>
      <c r="AA11" s="85"/>
      <c r="AB11" s="85"/>
      <c r="AC11" s="93" t="s">
        <v>408</v>
      </c>
      <c r="AD11" s="85"/>
      <c r="AE11" s="85" t="b">
        <v>0</v>
      </c>
      <c r="AF11" s="85">
        <v>6</v>
      </c>
      <c r="AG11" s="93" t="s">
        <v>470</v>
      </c>
      <c r="AH11" s="85" t="b">
        <v>0</v>
      </c>
      <c r="AI11" s="85" t="s">
        <v>473</v>
      </c>
      <c r="AJ11" s="85"/>
      <c r="AK11" s="93" t="s">
        <v>470</v>
      </c>
      <c r="AL11" s="85" t="b">
        <v>0</v>
      </c>
      <c r="AM11" s="85">
        <v>0</v>
      </c>
      <c r="AN11" s="93" t="s">
        <v>470</v>
      </c>
      <c r="AO11" s="85" t="s">
        <v>477</v>
      </c>
      <c r="AP11" s="85" t="b">
        <v>0</v>
      </c>
      <c r="AQ11" s="93" t="s">
        <v>408</v>
      </c>
      <c r="AR11" s="85" t="s">
        <v>213</v>
      </c>
      <c r="AS11" s="85">
        <v>0</v>
      </c>
      <c r="AT11" s="85">
        <v>0</v>
      </c>
      <c r="AU11" s="85"/>
      <c r="AV11" s="85"/>
      <c r="AW11" s="85"/>
      <c r="AX11" s="85"/>
      <c r="AY11" s="85"/>
      <c r="AZ11" s="85"/>
      <c r="BA11" s="85"/>
      <c r="BB11" s="85"/>
      <c r="BC11">
        <v>3</v>
      </c>
      <c r="BD11" s="84" t="str">
        <f>REPLACE(INDEX(GroupVertices[Group],MATCH(Edges[[#This Row],[Vertex 1]],GroupVertices[Vertex],0)),1,1,"")</f>
        <v>4</v>
      </c>
      <c r="BE11" s="84" t="str">
        <f>REPLACE(INDEX(GroupVertices[Group],MATCH(Edges[[#This Row],[Vertex 2]],GroupVertices[Vertex],0)),1,1,"")</f>
        <v>4</v>
      </c>
      <c r="BF11" s="51">
        <v>1</v>
      </c>
      <c r="BG11" s="52">
        <v>4.3478260869565215</v>
      </c>
      <c r="BH11" s="51">
        <v>0</v>
      </c>
      <c r="BI11" s="52">
        <v>0</v>
      </c>
      <c r="BJ11" s="51">
        <v>0</v>
      </c>
      <c r="BK11" s="52">
        <v>0</v>
      </c>
      <c r="BL11" s="51">
        <v>22</v>
      </c>
      <c r="BM11" s="52">
        <v>95.65217391304348</v>
      </c>
      <c r="BN11" s="51">
        <v>23</v>
      </c>
    </row>
    <row r="12" spans="1:66" ht="15">
      <c r="A12" s="83" t="s">
        <v>257</v>
      </c>
      <c r="B12" s="83" t="s">
        <v>275</v>
      </c>
      <c r="C12" s="53" t="s">
        <v>1194</v>
      </c>
      <c r="D12" s="54">
        <v>3</v>
      </c>
      <c r="E12" s="66" t="s">
        <v>132</v>
      </c>
      <c r="F12" s="55">
        <v>32</v>
      </c>
      <c r="G12" s="53"/>
      <c r="H12" s="57"/>
      <c r="I12" s="56"/>
      <c r="J12" s="56"/>
      <c r="K12" s="36" t="s">
        <v>65</v>
      </c>
      <c r="L12" s="82">
        <v>12</v>
      </c>
      <c r="M12" s="82"/>
      <c r="N12" s="63"/>
      <c r="O12" s="85" t="s">
        <v>284</v>
      </c>
      <c r="P12" s="87">
        <v>44218.44342592593</v>
      </c>
      <c r="Q12" s="85" t="s">
        <v>293</v>
      </c>
      <c r="R12" s="85"/>
      <c r="S12" s="85"/>
      <c r="T12" s="85" t="s">
        <v>328</v>
      </c>
      <c r="U12" s="89" t="str">
        <f>HYPERLINK("https://pbs.twimg.com/media/EsVCPJAXEAENCgh.jpg")</f>
        <v>https://pbs.twimg.com/media/EsVCPJAXEAENCgh.jpg</v>
      </c>
      <c r="V12" s="89" t="str">
        <f>HYPERLINK("https://pbs.twimg.com/media/EsVCPJAXEAENCgh.jpg")</f>
        <v>https://pbs.twimg.com/media/EsVCPJAXEAENCgh.jpg</v>
      </c>
      <c r="W12" s="87">
        <v>44218.44342592593</v>
      </c>
      <c r="X12" s="91">
        <v>44218</v>
      </c>
      <c r="Y12" s="93" t="s">
        <v>340</v>
      </c>
      <c r="Z12" s="89" t="str">
        <f>HYPERLINK("https://twitter.com/yugant_/status/1352566312292163585")</f>
        <v>https://twitter.com/yugant_/status/1352566312292163585</v>
      </c>
      <c r="AA12" s="85"/>
      <c r="AB12" s="85"/>
      <c r="AC12" s="93" t="s">
        <v>409</v>
      </c>
      <c r="AD12" s="85"/>
      <c r="AE12" s="85" t="b">
        <v>0</v>
      </c>
      <c r="AF12" s="85">
        <v>0</v>
      </c>
      <c r="AG12" s="93" t="s">
        <v>470</v>
      </c>
      <c r="AH12" s="85" t="b">
        <v>0</v>
      </c>
      <c r="AI12" s="85" t="s">
        <v>473</v>
      </c>
      <c r="AJ12" s="85"/>
      <c r="AK12" s="93" t="s">
        <v>470</v>
      </c>
      <c r="AL12" s="85" t="b">
        <v>0</v>
      </c>
      <c r="AM12" s="85">
        <v>4</v>
      </c>
      <c r="AN12" s="93" t="s">
        <v>439</v>
      </c>
      <c r="AO12" s="85" t="s">
        <v>476</v>
      </c>
      <c r="AP12" s="85" t="b">
        <v>0</v>
      </c>
      <c r="AQ12" s="93" t="s">
        <v>439</v>
      </c>
      <c r="AR12" s="85" t="s">
        <v>213</v>
      </c>
      <c r="AS12" s="85">
        <v>0</v>
      </c>
      <c r="AT12" s="85">
        <v>0</v>
      </c>
      <c r="AU12" s="85"/>
      <c r="AV12" s="85"/>
      <c r="AW12" s="85"/>
      <c r="AX12" s="85"/>
      <c r="AY12" s="85"/>
      <c r="AZ12" s="85"/>
      <c r="BA12" s="85"/>
      <c r="BB12" s="85"/>
      <c r="BC12">
        <v>1</v>
      </c>
      <c r="BD12" s="84" t="str">
        <f>REPLACE(INDEX(GroupVertices[Group],MATCH(Edges[[#This Row],[Vertex 1]],GroupVertices[Vertex],0)),1,1,"")</f>
        <v>1</v>
      </c>
      <c r="BE12" s="84" t="str">
        <f>REPLACE(INDEX(GroupVertices[Group],MATCH(Edges[[#This Row],[Vertex 2]],GroupVertices[Vertex],0)),1,1,"")</f>
        <v>1</v>
      </c>
      <c r="BF12" s="51">
        <v>2</v>
      </c>
      <c r="BG12" s="52">
        <v>6.896551724137931</v>
      </c>
      <c r="BH12" s="51">
        <v>0</v>
      </c>
      <c r="BI12" s="52">
        <v>0</v>
      </c>
      <c r="BJ12" s="51">
        <v>0</v>
      </c>
      <c r="BK12" s="52">
        <v>0</v>
      </c>
      <c r="BL12" s="51">
        <v>27</v>
      </c>
      <c r="BM12" s="52">
        <v>93.10344827586206</v>
      </c>
      <c r="BN12" s="51">
        <v>29</v>
      </c>
    </row>
    <row r="13" spans="1:66" ht="15">
      <c r="A13" s="83" t="s">
        <v>257</v>
      </c>
      <c r="B13" s="83" t="s">
        <v>272</v>
      </c>
      <c r="C13" s="53" t="s">
        <v>1194</v>
      </c>
      <c r="D13" s="54">
        <v>3</v>
      </c>
      <c r="E13" s="66" t="s">
        <v>132</v>
      </c>
      <c r="F13" s="55">
        <v>32</v>
      </c>
      <c r="G13" s="53"/>
      <c r="H13" s="57"/>
      <c r="I13" s="56"/>
      <c r="J13" s="56"/>
      <c r="K13" s="36" t="s">
        <v>65</v>
      </c>
      <c r="L13" s="82">
        <v>13</v>
      </c>
      <c r="M13" s="82"/>
      <c r="N13" s="63"/>
      <c r="O13" s="85" t="s">
        <v>283</v>
      </c>
      <c r="P13" s="87">
        <v>44218.44342592593</v>
      </c>
      <c r="Q13" s="85" t="s">
        <v>293</v>
      </c>
      <c r="R13" s="85"/>
      <c r="S13" s="85"/>
      <c r="T13" s="85" t="s">
        <v>328</v>
      </c>
      <c r="U13" s="89" t="str">
        <f>HYPERLINK("https://pbs.twimg.com/media/EsVCPJAXEAENCgh.jpg")</f>
        <v>https://pbs.twimg.com/media/EsVCPJAXEAENCgh.jpg</v>
      </c>
      <c r="V13" s="89" t="str">
        <f>HYPERLINK("https://pbs.twimg.com/media/EsVCPJAXEAENCgh.jpg")</f>
        <v>https://pbs.twimg.com/media/EsVCPJAXEAENCgh.jpg</v>
      </c>
      <c r="W13" s="87">
        <v>44218.44342592593</v>
      </c>
      <c r="X13" s="91">
        <v>44218</v>
      </c>
      <c r="Y13" s="93" t="s">
        <v>340</v>
      </c>
      <c r="Z13" s="89" t="str">
        <f>HYPERLINK("https://twitter.com/yugant_/status/1352566312292163585")</f>
        <v>https://twitter.com/yugant_/status/1352566312292163585</v>
      </c>
      <c r="AA13" s="85"/>
      <c r="AB13" s="85"/>
      <c r="AC13" s="93" t="s">
        <v>409</v>
      </c>
      <c r="AD13" s="85"/>
      <c r="AE13" s="85" t="b">
        <v>0</v>
      </c>
      <c r="AF13" s="85">
        <v>0</v>
      </c>
      <c r="AG13" s="93" t="s">
        <v>470</v>
      </c>
      <c r="AH13" s="85" t="b">
        <v>0</v>
      </c>
      <c r="AI13" s="85" t="s">
        <v>473</v>
      </c>
      <c r="AJ13" s="85"/>
      <c r="AK13" s="93" t="s">
        <v>470</v>
      </c>
      <c r="AL13" s="85" t="b">
        <v>0</v>
      </c>
      <c r="AM13" s="85">
        <v>4</v>
      </c>
      <c r="AN13" s="93" t="s">
        <v>439</v>
      </c>
      <c r="AO13" s="85" t="s">
        <v>476</v>
      </c>
      <c r="AP13" s="85" t="b">
        <v>0</v>
      </c>
      <c r="AQ13" s="93" t="s">
        <v>439</v>
      </c>
      <c r="AR13" s="85" t="s">
        <v>213</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c r="BF13" s="51"/>
      <c r="BG13" s="52"/>
      <c r="BH13" s="51"/>
      <c r="BI13" s="52"/>
      <c r="BJ13" s="51"/>
      <c r="BK13" s="52"/>
      <c r="BL13" s="51"/>
      <c r="BM13" s="52"/>
      <c r="BN13" s="51"/>
    </row>
    <row r="14" spans="1:66" ht="15">
      <c r="A14" s="83" t="s">
        <v>257</v>
      </c>
      <c r="B14" s="83" t="s">
        <v>257</v>
      </c>
      <c r="C14" s="53" t="s">
        <v>1194</v>
      </c>
      <c r="D14" s="54">
        <v>3</v>
      </c>
      <c r="E14" s="66" t="s">
        <v>132</v>
      </c>
      <c r="F14" s="55">
        <v>32</v>
      </c>
      <c r="G14" s="53"/>
      <c r="H14" s="57"/>
      <c r="I14" s="56"/>
      <c r="J14" s="56"/>
      <c r="K14" s="36" t="s">
        <v>65</v>
      </c>
      <c r="L14" s="82">
        <v>14</v>
      </c>
      <c r="M14" s="82"/>
      <c r="N14" s="63"/>
      <c r="O14" s="85" t="s">
        <v>213</v>
      </c>
      <c r="P14" s="87">
        <v>44218.50319444444</v>
      </c>
      <c r="Q14" s="85" t="s">
        <v>294</v>
      </c>
      <c r="R14" s="89" t="str">
        <f>HYPERLINK("https://twitter.com/rcpedintrainees/status/1352584475805442048")</f>
        <v>https://twitter.com/rcpedintrainees/status/1352584475805442048</v>
      </c>
      <c r="S14" s="85" t="s">
        <v>326</v>
      </c>
      <c r="T14" s="85" t="s">
        <v>328</v>
      </c>
      <c r="U14" s="85"/>
      <c r="V14" s="89" t="str">
        <f>HYPERLINK("https://pbs.twimg.com/profile_images/1010372805781741568/-qNEzhCG_normal.jpg")</f>
        <v>https://pbs.twimg.com/profile_images/1010372805781741568/-qNEzhCG_normal.jpg</v>
      </c>
      <c r="W14" s="87">
        <v>44218.50319444444</v>
      </c>
      <c r="X14" s="91">
        <v>44218</v>
      </c>
      <c r="Y14" s="93" t="s">
        <v>341</v>
      </c>
      <c r="Z14" s="89" t="str">
        <f>HYPERLINK("https://twitter.com/yugant_/status/1352587969522094082")</f>
        <v>https://twitter.com/yugant_/status/1352587969522094082</v>
      </c>
      <c r="AA14" s="85"/>
      <c r="AB14" s="85"/>
      <c r="AC14" s="93" t="s">
        <v>410</v>
      </c>
      <c r="AD14" s="85"/>
      <c r="AE14" s="85" t="b">
        <v>0</v>
      </c>
      <c r="AF14" s="85">
        <v>0</v>
      </c>
      <c r="AG14" s="93" t="s">
        <v>470</v>
      </c>
      <c r="AH14" s="85" t="b">
        <v>1</v>
      </c>
      <c r="AI14" s="85" t="s">
        <v>473</v>
      </c>
      <c r="AJ14" s="85"/>
      <c r="AK14" s="93" t="s">
        <v>474</v>
      </c>
      <c r="AL14" s="85" t="b">
        <v>0</v>
      </c>
      <c r="AM14" s="85">
        <v>0</v>
      </c>
      <c r="AN14" s="93" t="s">
        <v>470</v>
      </c>
      <c r="AO14" s="85" t="s">
        <v>476</v>
      </c>
      <c r="AP14" s="85" t="b">
        <v>0</v>
      </c>
      <c r="AQ14" s="93" t="s">
        <v>410</v>
      </c>
      <c r="AR14" s="85" t="s">
        <v>213</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c r="BF14" s="51">
        <v>0</v>
      </c>
      <c r="BG14" s="52">
        <v>0</v>
      </c>
      <c r="BH14" s="51">
        <v>0</v>
      </c>
      <c r="BI14" s="52">
        <v>0</v>
      </c>
      <c r="BJ14" s="51">
        <v>0</v>
      </c>
      <c r="BK14" s="52">
        <v>0</v>
      </c>
      <c r="BL14" s="51">
        <v>8</v>
      </c>
      <c r="BM14" s="52">
        <v>100</v>
      </c>
      <c r="BN14" s="51">
        <v>8</v>
      </c>
    </row>
    <row r="15" spans="1:66" ht="15">
      <c r="A15" s="83" t="s">
        <v>258</v>
      </c>
      <c r="B15" s="83" t="s">
        <v>272</v>
      </c>
      <c r="C15" s="53" t="s">
        <v>1194</v>
      </c>
      <c r="D15" s="54">
        <v>3</v>
      </c>
      <c r="E15" s="66" t="s">
        <v>132</v>
      </c>
      <c r="F15" s="55">
        <v>32</v>
      </c>
      <c r="G15" s="53"/>
      <c r="H15" s="57"/>
      <c r="I15" s="56"/>
      <c r="J15" s="56"/>
      <c r="K15" s="36" t="s">
        <v>65</v>
      </c>
      <c r="L15" s="82">
        <v>15</v>
      </c>
      <c r="M15" s="82"/>
      <c r="N15" s="63"/>
      <c r="O15" s="85" t="s">
        <v>283</v>
      </c>
      <c r="P15" s="87">
        <v>44218.518379629626</v>
      </c>
      <c r="Q15" s="85" t="s">
        <v>295</v>
      </c>
      <c r="R15" s="85"/>
      <c r="S15" s="85"/>
      <c r="T15" s="85" t="s">
        <v>328</v>
      </c>
      <c r="U15" s="89" t="str">
        <f>HYPERLINK("https://pbs.twimg.com/tweet_video_thumb/EsVf83GXIAIlMXm.jpg")</f>
        <v>https://pbs.twimg.com/tweet_video_thumb/EsVf83GXIAIlMXm.jpg</v>
      </c>
      <c r="V15" s="89" t="str">
        <f>HYPERLINK("https://pbs.twimg.com/tweet_video_thumb/EsVf83GXIAIlMXm.jpg")</f>
        <v>https://pbs.twimg.com/tweet_video_thumb/EsVf83GXIAIlMXm.jpg</v>
      </c>
      <c r="W15" s="87">
        <v>44218.518379629626</v>
      </c>
      <c r="X15" s="91">
        <v>44218</v>
      </c>
      <c r="Y15" s="93" t="s">
        <v>342</v>
      </c>
      <c r="Z15" s="89" t="str">
        <f>HYPERLINK("https://twitter.com/jonnygucks/status/1352593474000986133")</f>
        <v>https://twitter.com/jonnygucks/status/1352593474000986133</v>
      </c>
      <c r="AA15" s="85"/>
      <c r="AB15" s="85"/>
      <c r="AC15" s="93" t="s">
        <v>411</v>
      </c>
      <c r="AD15" s="85"/>
      <c r="AE15" s="85" t="b">
        <v>0</v>
      </c>
      <c r="AF15" s="85">
        <v>0</v>
      </c>
      <c r="AG15" s="93" t="s">
        <v>470</v>
      </c>
      <c r="AH15" s="85" t="b">
        <v>0</v>
      </c>
      <c r="AI15" s="85" t="s">
        <v>473</v>
      </c>
      <c r="AJ15" s="85"/>
      <c r="AK15" s="93" t="s">
        <v>470</v>
      </c>
      <c r="AL15" s="85" t="b">
        <v>0</v>
      </c>
      <c r="AM15" s="85">
        <v>3</v>
      </c>
      <c r="AN15" s="93" t="s">
        <v>454</v>
      </c>
      <c r="AO15" s="85" t="s">
        <v>477</v>
      </c>
      <c r="AP15" s="85" t="b">
        <v>0</v>
      </c>
      <c r="AQ15" s="93" t="s">
        <v>454</v>
      </c>
      <c r="AR15" s="85" t="s">
        <v>213</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1</v>
      </c>
      <c r="BF15" s="51">
        <v>2</v>
      </c>
      <c r="BG15" s="52">
        <v>5.882352941176471</v>
      </c>
      <c r="BH15" s="51">
        <v>0</v>
      </c>
      <c r="BI15" s="52">
        <v>0</v>
      </c>
      <c r="BJ15" s="51">
        <v>0</v>
      </c>
      <c r="BK15" s="52">
        <v>0</v>
      </c>
      <c r="BL15" s="51">
        <v>32</v>
      </c>
      <c r="BM15" s="52">
        <v>94.11764705882354</v>
      </c>
      <c r="BN15" s="51">
        <v>34</v>
      </c>
    </row>
    <row r="16" spans="1:66" ht="15">
      <c r="A16" s="83" t="s">
        <v>259</v>
      </c>
      <c r="B16" s="83" t="s">
        <v>276</v>
      </c>
      <c r="C16" s="53" t="s">
        <v>1194</v>
      </c>
      <c r="D16" s="54">
        <v>3</v>
      </c>
      <c r="E16" s="66" t="s">
        <v>132</v>
      </c>
      <c r="F16" s="55">
        <v>32</v>
      </c>
      <c r="G16" s="53"/>
      <c r="H16" s="57"/>
      <c r="I16" s="56"/>
      <c r="J16" s="56"/>
      <c r="K16" s="36" t="s">
        <v>65</v>
      </c>
      <c r="L16" s="82">
        <v>16</v>
      </c>
      <c r="M16" s="82"/>
      <c r="N16" s="63"/>
      <c r="O16" s="85" t="s">
        <v>285</v>
      </c>
      <c r="P16" s="87">
        <v>44218.440833333334</v>
      </c>
      <c r="Q16" s="85" t="s">
        <v>296</v>
      </c>
      <c r="R16" s="85"/>
      <c r="S16" s="85"/>
      <c r="T16" s="85" t="s">
        <v>328</v>
      </c>
      <c r="U16" s="85"/>
      <c r="V16" s="89" t="str">
        <f>HYPERLINK("https://pbs.twimg.com/profile_images/1327657470840467459/LZvw0TTK_normal.jpg")</f>
        <v>https://pbs.twimg.com/profile_images/1327657470840467459/LZvw0TTK_normal.jpg</v>
      </c>
      <c r="W16" s="87">
        <v>44218.440833333334</v>
      </c>
      <c r="X16" s="91">
        <v>44218</v>
      </c>
      <c r="Y16" s="93" t="s">
        <v>343</v>
      </c>
      <c r="Z16" s="89" t="str">
        <f>HYPERLINK("https://twitter.com/michellegyenes/status/1352565369886670848")</f>
        <v>https://twitter.com/michellegyenes/status/1352565369886670848</v>
      </c>
      <c r="AA16" s="85"/>
      <c r="AB16" s="85"/>
      <c r="AC16" s="93" t="s">
        <v>412</v>
      </c>
      <c r="AD16" s="85"/>
      <c r="AE16" s="85" t="b">
        <v>0</v>
      </c>
      <c r="AF16" s="85">
        <v>3</v>
      </c>
      <c r="AG16" s="93" t="s">
        <v>470</v>
      </c>
      <c r="AH16" s="85" t="b">
        <v>0</v>
      </c>
      <c r="AI16" s="85" t="s">
        <v>473</v>
      </c>
      <c r="AJ16" s="85"/>
      <c r="AK16" s="93" t="s">
        <v>470</v>
      </c>
      <c r="AL16" s="85" t="b">
        <v>0</v>
      </c>
      <c r="AM16" s="85">
        <v>0</v>
      </c>
      <c r="AN16" s="93" t="s">
        <v>470</v>
      </c>
      <c r="AO16" s="85" t="s">
        <v>477</v>
      </c>
      <c r="AP16" s="85" t="b">
        <v>0</v>
      </c>
      <c r="AQ16" s="93" t="s">
        <v>412</v>
      </c>
      <c r="AR16" s="85" t="s">
        <v>213</v>
      </c>
      <c r="AS16" s="85">
        <v>0</v>
      </c>
      <c r="AT16" s="85">
        <v>0</v>
      </c>
      <c r="AU16" s="85"/>
      <c r="AV16" s="85"/>
      <c r="AW16" s="85"/>
      <c r="AX16" s="85"/>
      <c r="AY16" s="85"/>
      <c r="AZ16" s="85"/>
      <c r="BA16" s="85"/>
      <c r="BB16" s="85"/>
      <c r="BC16">
        <v>1</v>
      </c>
      <c r="BD16" s="84" t="str">
        <f>REPLACE(INDEX(GroupVertices[Group],MATCH(Edges[[#This Row],[Vertex 1]],GroupVertices[Vertex],0)),1,1,"")</f>
        <v>2</v>
      </c>
      <c r="BE16" s="84" t="str">
        <f>REPLACE(INDEX(GroupVertices[Group],MATCH(Edges[[#This Row],[Vertex 2]],GroupVertices[Vertex],0)),1,1,"")</f>
        <v>2</v>
      </c>
      <c r="BF16" s="51"/>
      <c r="BG16" s="52"/>
      <c r="BH16" s="51"/>
      <c r="BI16" s="52"/>
      <c r="BJ16" s="51"/>
      <c r="BK16" s="52"/>
      <c r="BL16" s="51"/>
      <c r="BM16" s="52"/>
      <c r="BN16" s="51"/>
    </row>
    <row r="17" spans="1:66" ht="15">
      <c r="A17" s="83" t="s">
        <v>259</v>
      </c>
      <c r="B17" s="83" t="s">
        <v>277</v>
      </c>
      <c r="C17" s="53" t="s">
        <v>1194</v>
      </c>
      <c r="D17" s="54">
        <v>3</v>
      </c>
      <c r="E17" s="66" t="s">
        <v>132</v>
      </c>
      <c r="F17" s="55">
        <v>32</v>
      </c>
      <c r="G17" s="53"/>
      <c r="H17" s="57"/>
      <c r="I17" s="56"/>
      <c r="J17" s="56"/>
      <c r="K17" s="36" t="s">
        <v>65</v>
      </c>
      <c r="L17" s="82">
        <v>17</v>
      </c>
      <c r="M17" s="82"/>
      <c r="N17" s="63"/>
      <c r="O17" s="85" t="s">
        <v>285</v>
      </c>
      <c r="P17" s="87">
        <v>44218.440833333334</v>
      </c>
      <c r="Q17" s="85" t="s">
        <v>296</v>
      </c>
      <c r="R17" s="85"/>
      <c r="S17" s="85"/>
      <c r="T17" s="85" t="s">
        <v>328</v>
      </c>
      <c r="U17" s="85"/>
      <c r="V17" s="89" t="str">
        <f>HYPERLINK("https://pbs.twimg.com/profile_images/1327657470840467459/LZvw0TTK_normal.jpg")</f>
        <v>https://pbs.twimg.com/profile_images/1327657470840467459/LZvw0TTK_normal.jpg</v>
      </c>
      <c r="W17" s="87">
        <v>44218.440833333334</v>
      </c>
      <c r="X17" s="91">
        <v>44218</v>
      </c>
      <c r="Y17" s="93" t="s">
        <v>343</v>
      </c>
      <c r="Z17" s="89" t="str">
        <f>HYPERLINK("https://twitter.com/michellegyenes/status/1352565369886670848")</f>
        <v>https://twitter.com/michellegyenes/status/1352565369886670848</v>
      </c>
      <c r="AA17" s="85"/>
      <c r="AB17" s="85"/>
      <c r="AC17" s="93" t="s">
        <v>412</v>
      </c>
      <c r="AD17" s="85"/>
      <c r="AE17" s="85" t="b">
        <v>0</v>
      </c>
      <c r="AF17" s="85">
        <v>3</v>
      </c>
      <c r="AG17" s="93" t="s">
        <v>470</v>
      </c>
      <c r="AH17" s="85" t="b">
        <v>0</v>
      </c>
      <c r="AI17" s="85" t="s">
        <v>473</v>
      </c>
      <c r="AJ17" s="85"/>
      <c r="AK17" s="93" t="s">
        <v>470</v>
      </c>
      <c r="AL17" s="85" t="b">
        <v>0</v>
      </c>
      <c r="AM17" s="85">
        <v>0</v>
      </c>
      <c r="AN17" s="93" t="s">
        <v>470</v>
      </c>
      <c r="AO17" s="85" t="s">
        <v>477</v>
      </c>
      <c r="AP17" s="85" t="b">
        <v>0</v>
      </c>
      <c r="AQ17" s="93" t="s">
        <v>412</v>
      </c>
      <c r="AR17" s="85" t="s">
        <v>213</v>
      </c>
      <c r="AS17" s="85">
        <v>0</v>
      </c>
      <c r="AT17" s="85">
        <v>0</v>
      </c>
      <c r="AU17" s="85"/>
      <c r="AV17" s="85"/>
      <c r="AW17" s="85"/>
      <c r="AX17" s="85"/>
      <c r="AY17" s="85"/>
      <c r="AZ17" s="85"/>
      <c r="BA17" s="85"/>
      <c r="BB17" s="85"/>
      <c r="BC17">
        <v>1</v>
      </c>
      <c r="BD17" s="84" t="str">
        <f>REPLACE(INDEX(GroupVertices[Group],MATCH(Edges[[#This Row],[Vertex 1]],GroupVertices[Vertex],0)),1,1,"")</f>
        <v>2</v>
      </c>
      <c r="BE17" s="84" t="str">
        <f>REPLACE(INDEX(GroupVertices[Group],MATCH(Edges[[#This Row],[Vertex 2]],GroupVertices[Vertex],0)),1,1,"")</f>
        <v>2</v>
      </c>
      <c r="BF17" s="51">
        <v>1</v>
      </c>
      <c r="BG17" s="52">
        <v>2.5641025641025643</v>
      </c>
      <c r="BH17" s="51">
        <v>0</v>
      </c>
      <c r="BI17" s="52">
        <v>0</v>
      </c>
      <c r="BJ17" s="51">
        <v>0</v>
      </c>
      <c r="BK17" s="52">
        <v>0</v>
      </c>
      <c r="BL17" s="51">
        <v>38</v>
      </c>
      <c r="BM17" s="52">
        <v>97.43589743589743</v>
      </c>
      <c r="BN17" s="51">
        <v>39</v>
      </c>
    </row>
    <row r="18" spans="1:66" ht="15">
      <c r="A18" s="83" t="s">
        <v>259</v>
      </c>
      <c r="B18" s="83" t="s">
        <v>278</v>
      </c>
      <c r="C18" s="53" t="s">
        <v>1194</v>
      </c>
      <c r="D18" s="54">
        <v>3</v>
      </c>
      <c r="E18" s="66" t="s">
        <v>132</v>
      </c>
      <c r="F18" s="55">
        <v>32</v>
      </c>
      <c r="G18" s="53"/>
      <c r="H18" s="57"/>
      <c r="I18" s="56"/>
      <c r="J18" s="56"/>
      <c r="K18" s="36" t="s">
        <v>65</v>
      </c>
      <c r="L18" s="82">
        <v>18</v>
      </c>
      <c r="M18" s="82"/>
      <c r="N18" s="63"/>
      <c r="O18" s="85" t="s">
        <v>285</v>
      </c>
      <c r="P18" s="87">
        <v>44218.48601851852</v>
      </c>
      <c r="Q18" s="85" t="s">
        <v>297</v>
      </c>
      <c r="R18" s="85"/>
      <c r="S18" s="85"/>
      <c r="T18" s="85" t="s">
        <v>328</v>
      </c>
      <c r="U18" s="85"/>
      <c r="V18" s="89" t="str">
        <f>HYPERLINK("https://pbs.twimg.com/profile_images/1327657470840467459/LZvw0TTK_normal.jpg")</f>
        <v>https://pbs.twimg.com/profile_images/1327657470840467459/LZvw0TTK_normal.jpg</v>
      </c>
      <c r="W18" s="87">
        <v>44218.48601851852</v>
      </c>
      <c r="X18" s="91">
        <v>44218</v>
      </c>
      <c r="Y18" s="93" t="s">
        <v>344</v>
      </c>
      <c r="Z18" s="89" t="str">
        <f>HYPERLINK("https://twitter.com/michellegyenes/status/1352581746676674560")</f>
        <v>https://twitter.com/michellegyenes/status/1352581746676674560</v>
      </c>
      <c r="AA18" s="85"/>
      <c r="AB18" s="85"/>
      <c r="AC18" s="93" t="s">
        <v>413</v>
      </c>
      <c r="AD18" s="85"/>
      <c r="AE18" s="85" t="b">
        <v>0</v>
      </c>
      <c r="AF18" s="85">
        <v>2</v>
      </c>
      <c r="AG18" s="93" t="s">
        <v>470</v>
      </c>
      <c r="AH18" s="85" t="b">
        <v>0</v>
      </c>
      <c r="AI18" s="85" t="s">
        <v>473</v>
      </c>
      <c r="AJ18" s="85"/>
      <c r="AK18" s="93" t="s">
        <v>470</v>
      </c>
      <c r="AL18" s="85" t="b">
        <v>0</v>
      </c>
      <c r="AM18" s="85">
        <v>0</v>
      </c>
      <c r="AN18" s="93" t="s">
        <v>470</v>
      </c>
      <c r="AO18" s="85" t="s">
        <v>477</v>
      </c>
      <c r="AP18" s="85" t="b">
        <v>0</v>
      </c>
      <c r="AQ18" s="93" t="s">
        <v>413</v>
      </c>
      <c r="AR18" s="85" t="s">
        <v>213</v>
      </c>
      <c r="AS18" s="85">
        <v>0</v>
      </c>
      <c r="AT18" s="85">
        <v>0</v>
      </c>
      <c r="AU18" s="85"/>
      <c r="AV18" s="85"/>
      <c r="AW18" s="85"/>
      <c r="AX18" s="85"/>
      <c r="AY18" s="85"/>
      <c r="AZ18" s="85"/>
      <c r="BA18" s="85"/>
      <c r="BB18" s="85"/>
      <c r="BC18">
        <v>1</v>
      </c>
      <c r="BD18" s="84" t="str">
        <f>REPLACE(INDEX(GroupVertices[Group],MATCH(Edges[[#This Row],[Vertex 1]],GroupVertices[Vertex],0)),1,1,"")</f>
        <v>2</v>
      </c>
      <c r="BE18" s="84" t="str">
        <f>REPLACE(INDEX(GroupVertices[Group],MATCH(Edges[[#This Row],[Vertex 2]],GroupVertices[Vertex],0)),1,1,"")</f>
        <v>2</v>
      </c>
      <c r="BF18" s="51"/>
      <c r="BG18" s="52"/>
      <c r="BH18" s="51"/>
      <c r="BI18" s="52"/>
      <c r="BJ18" s="51"/>
      <c r="BK18" s="52"/>
      <c r="BL18" s="51"/>
      <c r="BM18" s="52"/>
      <c r="BN18" s="51"/>
    </row>
    <row r="19" spans="1:66" ht="15">
      <c r="A19" s="83" t="s">
        <v>259</v>
      </c>
      <c r="B19" s="83" t="s">
        <v>279</v>
      </c>
      <c r="C19" s="53" t="s">
        <v>1194</v>
      </c>
      <c r="D19" s="54">
        <v>3</v>
      </c>
      <c r="E19" s="66" t="s">
        <v>132</v>
      </c>
      <c r="F19" s="55">
        <v>32</v>
      </c>
      <c r="G19" s="53"/>
      <c r="H19" s="57"/>
      <c r="I19" s="56"/>
      <c r="J19" s="56"/>
      <c r="K19" s="36" t="s">
        <v>65</v>
      </c>
      <c r="L19" s="82">
        <v>19</v>
      </c>
      <c r="M19" s="82"/>
      <c r="N19" s="63"/>
      <c r="O19" s="85" t="s">
        <v>285</v>
      </c>
      <c r="P19" s="87">
        <v>44218.48601851852</v>
      </c>
      <c r="Q19" s="85" t="s">
        <v>297</v>
      </c>
      <c r="R19" s="85"/>
      <c r="S19" s="85"/>
      <c r="T19" s="85" t="s">
        <v>328</v>
      </c>
      <c r="U19" s="85"/>
      <c r="V19" s="89" t="str">
        <f>HYPERLINK("https://pbs.twimg.com/profile_images/1327657470840467459/LZvw0TTK_normal.jpg")</f>
        <v>https://pbs.twimg.com/profile_images/1327657470840467459/LZvw0TTK_normal.jpg</v>
      </c>
      <c r="W19" s="87">
        <v>44218.48601851852</v>
      </c>
      <c r="X19" s="91">
        <v>44218</v>
      </c>
      <c r="Y19" s="93" t="s">
        <v>344</v>
      </c>
      <c r="Z19" s="89" t="str">
        <f>HYPERLINK("https://twitter.com/michellegyenes/status/1352581746676674560")</f>
        <v>https://twitter.com/michellegyenes/status/1352581746676674560</v>
      </c>
      <c r="AA19" s="85"/>
      <c r="AB19" s="85"/>
      <c r="AC19" s="93" t="s">
        <v>413</v>
      </c>
      <c r="AD19" s="85"/>
      <c r="AE19" s="85" t="b">
        <v>0</v>
      </c>
      <c r="AF19" s="85">
        <v>2</v>
      </c>
      <c r="AG19" s="93" t="s">
        <v>470</v>
      </c>
      <c r="AH19" s="85" t="b">
        <v>0</v>
      </c>
      <c r="AI19" s="85" t="s">
        <v>473</v>
      </c>
      <c r="AJ19" s="85"/>
      <c r="AK19" s="93" t="s">
        <v>470</v>
      </c>
      <c r="AL19" s="85" t="b">
        <v>0</v>
      </c>
      <c r="AM19" s="85">
        <v>0</v>
      </c>
      <c r="AN19" s="93" t="s">
        <v>470</v>
      </c>
      <c r="AO19" s="85" t="s">
        <v>477</v>
      </c>
      <c r="AP19" s="85" t="b">
        <v>0</v>
      </c>
      <c r="AQ19" s="93" t="s">
        <v>413</v>
      </c>
      <c r="AR19" s="85" t="s">
        <v>213</v>
      </c>
      <c r="AS19" s="85">
        <v>0</v>
      </c>
      <c r="AT19" s="85">
        <v>0</v>
      </c>
      <c r="AU19" s="85"/>
      <c r="AV19" s="85"/>
      <c r="AW19" s="85"/>
      <c r="AX19" s="85"/>
      <c r="AY19" s="85"/>
      <c r="AZ19" s="85"/>
      <c r="BA19" s="85"/>
      <c r="BB19" s="85"/>
      <c r="BC19">
        <v>1</v>
      </c>
      <c r="BD19" s="84" t="str">
        <f>REPLACE(INDEX(GroupVertices[Group],MATCH(Edges[[#This Row],[Vertex 1]],GroupVertices[Vertex],0)),1,1,"")</f>
        <v>2</v>
      </c>
      <c r="BE19" s="84" t="str">
        <f>REPLACE(INDEX(GroupVertices[Group],MATCH(Edges[[#This Row],[Vertex 2]],GroupVertices[Vertex],0)),1,1,"")</f>
        <v>2</v>
      </c>
      <c r="BF19" s="51">
        <v>1</v>
      </c>
      <c r="BG19" s="52">
        <v>3.8461538461538463</v>
      </c>
      <c r="BH19" s="51">
        <v>0</v>
      </c>
      <c r="BI19" s="52">
        <v>0</v>
      </c>
      <c r="BJ19" s="51">
        <v>0</v>
      </c>
      <c r="BK19" s="52">
        <v>0</v>
      </c>
      <c r="BL19" s="51">
        <v>25</v>
      </c>
      <c r="BM19" s="52">
        <v>96.15384615384616</v>
      </c>
      <c r="BN19" s="51">
        <v>26</v>
      </c>
    </row>
    <row r="20" spans="1:66" ht="15">
      <c r="A20" s="83" t="s">
        <v>259</v>
      </c>
      <c r="B20" s="83" t="s">
        <v>280</v>
      </c>
      <c r="C20" s="53" t="s">
        <v>1194</v>
      </c>
      <c r="D20" s="54">
        <v>3</v>
      </c>
      <c r="E20" s="66" t="s">
        <v>132</v>
      </c>
      <c r="F20" s="55">
        <v>32</v>
      </c>
      <c r="G20" s="53"/>
      <c r="H20" s="57"/>
      <c r="I20" s="56"/>
      <c r="J20" s="56"/>
      <c r="K20" s="36" t="s">
        <v>65</v>
      </c>
      <c r="L20" s="82">
        <v>20</v>
      </c>
      <c r="M20" s="82"/>
      <c r="N20" s="63"/>
      <c r="O20" s="85" t="s">
        <v>285</v>
      </c>
      <c r="P20" s="87">
        <v>44218.51923611111</v>
      </c>
      <c r="Q20" s="85" t="s">
        <v>298</v>
      </c>
      <c r="R20" s="85"/>
      <c r="S20" s="85"/>
      <c r="T20" s="85" t="s">
        <v>328</v>
      </c>
      <c r="U20" s="85"/>
      <c r="V20" s="89" t="str">
        <f>HYPERLINK("https://pbs.twimg.com/profile_images/1327657470840467459/LZvw0TTK_normal.jpg")</f>
        <v>https://pbs.twimg.com/profile_images/1327657470840467459/LZvw0TTK_normal.jpg</v>
      </c>
      <c r="W20" s="87">
        <v>44218.51923611111</v>
      </c>
      <c r="X20" s="91">
        <v>44218</v>
      </c>
      <c r="Y20" s="93" t="s">
        <v>345</v>
      </c>
      <c r="Z20" s="89" t="str">
        <f>HYPERLINK("https://twitter.com/michellegyenes/status/1352593783251230721")</f>
        <v>https://twitter.com/michellegyenes/status/1352593783251230721</v>
      </c>
      <c r="AA20" s="85"/>
      <c r="AB20" s="85"/>
      <c r="AC20" s="93" t="s">
        <v>414</v>
      </c>
      <c r="AD20" s="85"/>
      <c r="AE20" s="85" t="b">
        <v>0</v>
      </c>
      <c r="AF20" s="85">
        <v>3</v>
      </c>
      <c r="AG20" s="93" t="s">
        <v>470</v>
      </c>
      <c r="AH20" s="85" t="b">
        <v>0</v>
      </c>
      <c r="AI20" s="85" t="s">
        <v>473</v>
      </c>
      <c r="AJ20" s="85"/>
      <c r="AK20" s="93" t="s">
        <v>470</v>
      </c>
      <c r="AL20" s="85" t="b">
        <v>0</v>
      </c>
      <c r="AM20" s="85">
        <v>0</v>
      </c>
      <c r="AN20" s="93" t="s">
        <v>470</v>
      </c>
      <c r="AO20" s="85" t="s">
        <v>477</v>
      </c>
      <c r="AP20" s="85" t="b">
        <v>0</v>
      </c>
      <c r="AQ20" s="93" t="s">
        <v>414</v>
      </c>
      <c r="AR20" s="85" t="s">
        <v>213</v>
      </c>
      <c r="AS20" s="85">
        <v>0</v>
      </c>
      <c r="AT20" s="85">
        <v>0</v>
      </c>
      <c r="AU20" s="85"/>
      <c r="AV20" s="85"/>
      <c r="AW20" s="85"/>
      <c r="AX20" s="85"/>
      <c r="AY20" s="85"/>
      <c r="AZ20" s="85"/>
      <c r="BA20" s="85"/>
      <c r="BB20" s="85"/>
      <c r="BC20">
        <v>1</v>
      </c>
      <c r="BD20" s="84" t="str">
        <f>REPLACE(INDEX(GroupVertices[Group],MATCH(Edges[[#This Row],[Vertex 1]],GroupVertices[Vertex],0)),1,1,"")</f>
        <v>2</v>
      </c>
      <c r="BE20" s="84" t="str">
        <f>REPLACE(INDEX(GroupVertices[Group],MATCH(Edges[[#This Row],[Vertex 2]],GroupVertices[Vertex],0)),1,1,"")</f>
        <v>2</v>
      </c>
      <c r="BF20" s="51">
        <v>1</v>
      </c>
      <c r="BG20" s="52">
        <v>2.7777777777777777</v>
      </c>
      <c r="BH20" s="51">
        <v>1</v>
      </c>
      <c r="BI20" s="52">
        <v>2.7777777777777777</v>
      </c>
      <c r="BJ20" s="51">
        <v>0</v>
      </c>
      <c r="BK20" s="52">
        <v>0</v>
      </c>
      <c r="BL20" s="51">
        <v>34</v>
      </c>
      <c r="BM20" s="52">
        <v>94.44444444444444</v>
      </c>
      <c r="BN20" s="51">
        <v>36</v>
      </c>
    </row>
    <row r="21" spans="1:66" ht="30">
      <c r="A21" s="83" t="s">
        <v>260</v>
      </c>
      <c r="B21" s="83" t="s">
        <v>272</v>
      </c>
      <c r="C21" s="53" t="s">
        <v>1196</v>
      </c>
      <c r="D21" s="54">
        <v>4.166666666666667</v>
      </c>
      <c r="E21" s="66" t="s">
        <v>136</v>
      </c>
      <c r="F21" s="55">
        <v>30.761904761904763</v>
      </c>
      <c r="G21" s="53"/>
      <c r="H21" s="57"/>
      <c r="I21" s="56"/>
      <c r="J21" s="56"/>
      <c r="K21" s="36" t="s">
        <v>65</v>
      </c>
      <c r="L21" s="82">
        <v>21</v>
      </c>
      <c r="M21" s="82"/>
      <c r="N21" s="63"/>
      <c r="O21" s="85" t="s">
        <v>283</v>
      </c>
      <c r="P21" s="87">
        <v>44218.37068287037</v>
      </c>
      <c r="Q21" s="85" t="s">
        <v>287</v>
      </c>
      <c r="R21" s="89" t="str">
        <f>HYPERLINK("https://events.rcpe.ac.uk/medical-trainees-online-symposium-day-life-medical-trainee")</f>
        <v>https://events.rcpe.ac.uk/medical-trainees-online-symposium-day-life-medical-trainee</v>
      </c>
      <c r="S21" s="85" t="s">
        <v>325</v>
      </c>
      <c r="T21" s="85" t="s">
        <v>328</v>
      </c>
      <c r="U21" s="89" t="str">
        <f>HYPERLINK("https://pbs.twimg.com/media/Erw8NG7XUAAnYxH.jpg")</f>
        <v>https://pbs.twimg.com/media/Erw8NG7XUAAnYxH.jpg</v>
      </c>
      <c r="V21" s="89" t="str">
        <f>HYPERLINK("https://pbs.twimg.com/media/Erw8NG7XUAAnYxH.jpg")</f>
        <v>https://pbs.twimg.com/media/Erw8NG7XUAAnYxH.jpg</v>
      </c>
      <c r="W21" s="87">
        <v>44218.37068287037</v>
      </c>
      <c r="X21" s="91">
        <v>44218</v>
      </c>
      <c r="Y21" s="93" t="s">
        <v>346</v>
      </c>
      <c r="Z21" s="89" t="str">
        <f>HYPERLINK("https://twitter.com/victor58110002/status/1352539949942366209")</f>
        <v>https://twitter.com/victor58110002/status/1352539949942366209</v>
      </c>
      <c r="AA21" s="85"/>
      <c r="AB21" s="85"/>
      <c r="AC21" s="93" t="s">
        <v>415</v>
      </c>
      <c r="AD21" s="85"/>
      <c r="AE21" s="85" t="b">
        <v>0</v>
      </c>
      <c r="AF21" s="85">
        <v>0</v>
      </c>
      <c r="AG21" s="93" t="s">
        <v>470</v>
      </c>
      <c r="AH21" s="85" t="b">
        <v>0</v>
      </c>
      <c r="AI21" s="85" t="s">
        <v>473</v>
      </c>
      <c r="AJ21" s="85"/>
      <c r="AK21" s="93" t="s">
        <v>470</v>
      </c>
      <c r="AL21" s="85" t="b">
        <v>0</v>
      </c>
      <c r="AM21" s="85">
        <v>8</v>
      </c>
      <c r="AN21" s="93" t="s">
        <v>443</v>
      </c>
      <c r="AO21" s="85" t="s">
        <v>477</v>
      </c>
      <c r="AP21" s="85" t="b">
        <v>0</v>
      </c>
      <c r="AQ21" s="93" t="s">
        <v>443</v>
      </c>
      <c r="AR21" s="85" t="s">
        <v>213</v>
      </c>
      <c r="AS21" s="85">
        <v>0</v>
      </c>
      <c r="AT21" s="85">
        <v>0</v>
      </c>
      <c r="AU21" s="85"/>
      <c r="AV21" s="85"/>
      <c r="AW21" s="85"/>
      <c r="AX21" s="85"/>
      <c r="AY21" s="85"/>
      <c r="AZ21" s="85"/>
      <c r="BA21" s="85"/>
      <c r="BB21" s="85"/>
      <c r="BC21">
        <v>2</v>
      </c>
      <c r="BD21" s="84" t="str">
        <f>REPLACE(INDEX(GroupVertices[Group],MATCH(Edges[[#This Row],[Vertex 1]],GroupVertices[Vertex],0)),1,1,"")</f>
        <v>1</v>
      </c>
      <c r="BE21" s="84" t="str">
        <f>REPLACE(INDEX(GroupVertices[Group],MATCH(Edges[[#This Row],[Vertex 2]],GroupVertices[Vertex],0)),1,1,"")</f>
        <v>1</v>
      </c>
      <c r="BF21" s="51">
        <v>2</v>
      </c>
      <c r="BG21" s="52">
        <v>4.651162790697675</v>
      </c>
      <c r="BH21" s="51">
        <v>0</v>
      </c>
      <c r="BI21" s="52">
        <v>0</v>
      </c>
      <c r="BJ21" s="51">
        <v>0</v>
      </c>
      <c r="BK21" s="52">
        <v>0</v>
      </c>
      <c r="BL21" s="51">
        <v>41</v>
      </c>
      <c r="BM21" s="52">
        <v>95.34883720930233</v>
      </c>
      <c r="BN21" s="51">
        <v>43</v>
      </c>
    </row>
    <row r="22" spans="1:66" ht="15">
      <c r="A22" s="83" t="s">
        <v>260</v>
      </c>
      <c r="B22" s="83" t="s">
        <v>275</v>
      </c>
      <c r="C22" s="53" t="s">
        <v>1194</v>
      </c>
      <c r="D22" s="54">
        <v>3</v>
      </c>
      <c r="E22" s="66" t="s">
        <v>132</v>
      </c>
      <c r="F22" s="55">
        <v>32</v>
      </c>
      <c r="G22" s="53"/>
      <c r="H22" s="57"/>
      <c r="I22" s="56"/>
      <c r="J22" s="56"/>
      <c r="K22" s="36" t="s">
        <v>65</v>
      </c>
      <c r="L22" s="82">
        <v>22</v>
      </c>
      <c r="M22" s="82"/>
      <c r="N22" s="63"/>
      <c r="O22" s="85" t="s">
        <v>284</v>
      </c>
      <c r="P22" s="87">
        <v>44218.52434027778</v>
      </c>
      <c r="Q22" s="85" t="s">
        <v>293</v>
      </c>
      <c r="R22" s="85"/>
      <c r="S22" s="85"/>
      <c r="T22" s="85" t="s">
        <v>328</v>
      </c>
      <c r="U22" s="89" t="str">
        <f>HYPERLINK("https://pbs.twimg.com/media/EsVCPJAXEAENCgh.jpg")</f>
        <v>https://pbs.twimg.com/media/EsVCPJAXEAENCgh.jpg</v>
      </c>
      <c r="V22" s="89" t="str">
        <f>HYPERLINK("https://pbs.twimg.com/media/EsVCPJAXEAENCgh.jpg")</f>
        <v>https://pbs.twimg.com/media/EsVCPJAXEAENCgh.jpg</v>
      </c>
      <c r="W22" s="87">
        <v>44218.52434027778</v>
      </c>
      <c r="X22" s="91">
        <v>44218</v>
      </c>
      <c r="Y22" s="93" t="s">
        <v>347</v>
      </c>
      <c r="Z22" s="89" t="str">
        <f>HYPERLINK("https://twitter.com/victor58110002/status/1352595634642153474")</f>
        <v>https://twitter.com/victor58110002/status/1352595634642153474</v>
      </c>
      <c r="AA22" s="85"/>
      <c r="AB22" s="85"/>
      <c r="AC22" s="93" t="s">
        <v>416</v>
      </c>
      <c r="AD22" s="85"/>
      <c r="AE22" s="85" t="b">
        <v>0</v>
      </c>
      <c r="AF22" s="85">
        <v>0</v>
      </c>
      <c r="AG22" s="93" t="s">
        <v>470</v>
      </c>
      <c r="AH22" s="85" t="b">
        <v>0</v>
      </c>
      <c r="AI22" s="85" t="s">
        <v>473</v>
      </c>
      <c r="AJ22" s="85"/>
      <c r="AK22" s="93" t="s">
        <v>470</v>
      </c>
      <c r="AL22" s="85" t="b">
        <v>0</v>
      </c>
      <c r="AM22" s="85">
        <v>4</v>
      </c>
      <c r="AN22" s="93" t="s">
        <v>439</v>
      </c>
      <c r="AO22" s="85" t="s">
        <v>477</v>
      </c>
      <c r="AP22" s="85" t="b">
        <v>0</v>
      </c>
      <c r="AQ22" s="93" t="s">
        <v>439</v>
      </c>
      <c r="AR22" s="85" t="s">
        <v>213</v>
      </c>
      <c r="AS22" s="85">
        <v>0</v>
      </c>
      <c r="AT22" s="85">
        <v>0</v>
      </c>
      <c r="AU22" s="85"/>
      <c r="AV22" s="85"/>
      <c r="AW22" s="85"/>
      <c r="AX22" s="85"/>
      <c r="AY22" s="85"/>
      <c r="AZ22" s="85"/>
      <c r="BA22" s="85"/>
      <c r="BB22" s="85"/>
      <c r="BC22">
        <v>1</v>
      </c>
      <c r="BD22" s="84" t="str">
        <f>REPLACE(INDEX(GroupVertices[Group],MATCH(Edges[[#This Row],[Vertex 1]],GroupVertices[Vertex],0)),1,1,"")</f>
        <v>1</v>
      </c>
      <c r="BE22" s="84" t="str">
        <f>REPLACE(INDEX(GroupVertices[Group],MATCH(Edges[[#This Row],[Vertex 2]],GroupVertices[Vertex],0)),1,1,"")</f>
        <v>1</v>
      </c>
      <c r="BF22" s="51"/>
      <c r="BG22" s="52"/>
      <c r="BH22" s="51"/>
      <c r="BI22" s="52"/>
      <c r="BJ22" s="51"/>
      <c r="BK22" s="52"/>
      <c r="BL22" s="51"/>
      <c r="BM22" s="52"/>
      <c r="BN22" s="51"/>
    </row>
    <row r="23" spans="1:66" ht="30">
      <c r="A23" s="83" t="s">
        <v>260</v>
      </c>
      <c r="B23" s="83" t="s">
        <v>272</v>
      </c>
      <c r="C23" s="53" t="s">
        <v>1196</v>
      </c>
      <c r="D23" s="54">
        <v>4.166666666666667</v>
      </c>
      <c r="E23" s="66" t="s">
        <v>136</v>
      </c>
      <c r="F23" s="55">
        <v>30.761904761904763</v>
      </c>
      <c r="G23" s="53"/>
      <c r="H23" s="57"/>
      <c r="I23" s="56"/>
      <c r="J23" s="56"/>
      <c r="K23" s="36" t="s">
        <v>65</v>
      </c>
      <c r="L23" s="82">
        <v>23</v>
      </c>
      <c r="M23" s="82"/>
      <c r="N23" s="63"/>
      <c r="O23" s="85" t="s">
        <v>283</v>
      </c>
      <c r="P23" s="87">
        <v>44218.52434027778</v>
      </c>
      <c r="Q23" s="85" t="s">
        <v>293</v>
      </c>
      <c r="R23" s="85"/>
      <c r="S23" s="85"/>
      <c r="T23" s="85" t="s">
        <v>328</v>
      </c>
      <c r="U23" s="89" t="str">
        <f>HYPERLINK("https://pbs.twimg.com/media/EsVCPJAXEAENCgh.jpg")</f>
        <v>https://pbs.twimg.com/media/EsVCPJAXEAENCgh.jpg</v>
      </c>
      <c r="V23" s="89" t="str">
        <f>HYPERLINK("https://pbs.twimg.com/media/EsVCPJAXEAENCgh.jpg")</f>
        <v>https://pbs.twimg.com/media/EsVCPJAXEAENCgh.jpg</v>
      </c>
      <c r="W23" s="87">
        <v>44218.52434027778</v>
      </c>
      <c r="X23" s="91">
        <v>44218</v>
      </c>
      <c r="Y23" s="93" t="s">
        <v>347</v>
      </c>
      <c r="Z23" s="89" t="str">
        <f>HYPERLINK("https://twitter.com/victor58110002/status/1352595634642153474")</f>
        <v>https://twitter.com/victor58110002/status/1352595634642153474</v>
      </c>
      <c r="AA23" s="85"/>
      <c r="AB23" s="85"/>
      <c r="AC23" s="93" t="s">
        <v>416</v>
      </c>
      <c r="AD23" s="85"/>
      <c r="AE23" s="85" t="b">
        <v>0</v>
      </c>
      <c r="AF23" s="85">
        <v>0</v>
      </c>
      <c r="AG23" s="93" t="s">
        <v>470</v>
      </c>
      <c r="AH23" s="85" t="b">
        <v>0</v>
      </c>
      <c r="AI23" s="85" t="s">
        <v>473</v>
      </c>
      <c r="AJ23" s="85"/>
      <c r="AK23" s="93" t="s">
        <v>470</v>
      </c>
      <c r="AL23" s="85" t="b">
        <v>0</v>
      </c>
      <c r="AM23" s="85">
        <v>4</v>
      </c>
      <c r="AN23" s="93" t="s">
        <v>439</v>
      </c>
      <c r="AO23" s="85" t="s">
        <v>477</v>
      </c>
      <c r="AP23" s="85" t="b">
        <v>0</v>
      </c>
      <c r="AQ23" s="93" t="s">
        <v>439</v>
      </c>
      <c r="AR23" s="85" t="s">
        <v>213</v>
      </c>
      <c r="AS23" s="85">
        <v>0</v>
      </c>
      <c r="AT23" s="85">
        <v>0</v>
      </c>
      <c r="AU23" s="85"/>
      <c r="AV23" s="85"/>
      <c r="AW23" s="85"/>
      <c r="AX23" s="85"/>
      <c r="AY23" s="85"/>
      <c r="AZ23" s="85"/>
      <c r="BA23" s="85"/>
      <c r="BB23" s="85"/>
      <c r="BC23">
        <v>2</v>
      </c>
      <c r="BD23" s="84" t="str">
        <f>REPLACE(INDEX(GroupVertices[Group],MATCH(Edges[[#This Row],[Vertex 1]],GroupVertices[Vertex],0)),1,1,"")</f>
        <v>1</v>
      </c>
      <c r="BE23" s="84" t="str">
        <f>REPLACE(INDEX(GroupVertices[Group],MATCH(Edges[[#This Row],[Vertex 2]],GroupVertices[Vertex],0)),1,1,"")</f>
        <v>1</v>
      </c>
      <c r="BF23" s="51">
        <v>2</v>
      </c>
      <c r="BG23" s="52">
        <v>6.896551724137931</v>
      </c>
      <c r="BH23" s="51">
        <v>0</v>
      </c>
      <c r="BI23" s="52">
        <v>0</v>
      </c>
      <c r="BJ23" s="51">
        <v>0</v>
      </c>
      <c r="BK23" s="52">
        <v>0</v>
      </c>
      <c r="BL23" s="51">
        <v>27</v>
      </c>
      <c r="BM23" s="52">
        <v>93.10344827586206</v>
      </c>
      <c r="BN23" s="51">
        <v>29</v>
      </c>
    </row>
    <row r="24" spans="1:66" ht="15">
      <c r="A24" s="83" t="s">
        <v>261</v>
      </c>
      <c r="B24" s="83" t="s">
        <v>280</v>
      </c>
      <c r="C24" s="53" t="s">
        <v>1194</v>
      </c>
      <c r="D24" s="54">
        <v>3</v>
      </c>
      <c r="E24" s="66" t="s">
        <v>132</v>
      </c>
      <c r="F24" s="55">
        <v>32</v>
      </c>
      <c r="G24" s="53"/>
      <c r="H24" s="57"/>
      <c r="I24" s="56"/>
      <c r="J24" s="56"/>
      <c r="K24" s="36" t="s">
        <v>65</v>
      </c>
      <c r="L24" s="82">
        <v>24</v>
      </c>
      <c r="M24" s="82"/>
      <c r="N24" s="63"/>
      <c r="O24" s="85" t="s">
        <v>286</v>
      </c>
      <c r="P24" s="87">
        <v>44218.54413194444</v>
      </c>
      <c r="Q24" s="85" t="s">
        <v>299</v>
      </c>
      <c r="R24" s="85"/>
      <c r="S24" s="85"/>
      <c r="T24" s="85" t="s">
        <v>328</v>
      </c>
      <c r="U24" s="85"/>
      <c r="V24" s="89" t="str">
        <f>HYPERLINK("https://pbs.twimg.com/profile_images/880387782820204544/WWFwN3Hx_normal.jpg")</f>
        <v>https://pbs.twimg.com/profile_images/880387782820204544/WWFwN3Hx_normal.jpg</v>
      </c>
      <c r="W24" s="87">
        <v>44218.54413194444</v>
      </c>
      <c r="X24" s="91">
        <v>44218</v>
      </c>
      <c r="Y24" s="93" t="s">
        <v>348</v>
      </c>
      <c r="Z24" s="89" t="str">
        <f>HYPERLINK("https://twitter.com/molliejane93/status/1352602806839103488")</f>
        <v>https://twitter.com/molliejane93/status/1352602806839103488</v>
      </c>
      <c r="AA24" s="85"/>
      <c r="AB24" s="85"/>
      <c r="AC24" s="93" t="s">
        <v>417</v>
      </c>
      <c r="AD24" s="85"/>
      <c r="AE24" s="85" t="b">
        <v>0</v>
      </c>
      <c r="AF24" s="85">
        <v>2</v>
      </c>
      <c r="AG24" s="93" t="s">
        <v>471</v>
      </c>
      <c r="AH24" s="85" t="b">
        <v>0</v>
      </c>
      <c r="AI24" s="85" t="s">
        <v>473</v>
      </c>
      <c r="AJ24" s="85"/>
      <c r="AK24" s="93" t="s">
        <v>470</v>
      </c>
      <c r="AL24" s="85" t="b">
        <v>0</v>
      </c>
      <c r="AM24" s="85">
        <v>0</v>
      </c>
      <c r="AN24" s="93" t="s">
        <v>470</v>
      </c>
      <c r="AO24" s="85" t="s">
        <v>477</v>
      </c>
      <c r="AP24" s="85" t="b">
        <v>0</v>
      </c>
      <c r="AQ24" s="93" t="s">
        <v>417</v>
      </c>
      <c r="AR24" s="85" t="s">
        <v>213</v>
      </c>
      <c r="AS24" s="85">
        <v>0</v>
      </c>
      <c r="AT24" s="85">
        <v>0</v>
      </c>
      <c r="AU24" s="85"/>
      <c r="AV24" s="85"/>
      <c r="AW24" s="85"/>
      <c r="AX24" s="85"/>
      <c r="AY24" s="85"/>
      <c r="AZ24" s="85"/>
      <c r="BA24" s="85"/>
      <c r="BB24" s="85"/>
      <c r="BC24">
        <v>1</v>
      </c>
      <c r="BD24" s="84" t="str">
        <f>REPLACE(INDEX(GroupVertices[Group],MATCH(Edges[[#This Row],[Vertex 1]],GroupVertices[Vertex],0)),1,1,"")</f>
        <v>2</v>
      </c>
      <c r="BE24" s="84" t="str">
        <f>REPLACE(INDEX(GroupVertices[Group],MATCH(Edges[[#This Row],[Vertex 2]],GroupVertices[Vertex],0)),1,1,"")</f>
        <v>2</v>
      </c>
      <c r="BF24" s="51">
        <v>1</v>
      </c>
      <c r="BG24" s="52">
        <v>3.7037037037037037</v>
      </c>
      <c r="BH24" s="51">
        <v>3</v>
      </c>
      <c r="BI24" s="52">
        <v>11.11111111111111</v>
      </c>
      <c r="BJ24" s="51">
        <v>0</v>
      </c>
      <c r="BK24" s="52">
        <v>0</v>
      </c>
      <c r="BL24" s="51">
        <v>23</v>
      </c>
      <c r="BM24" s="52">
        <v>85.18518518518519</v>
      </c>
      <c r="BN24" s="51">
        <v>27</v>
      </c>
    </row>
    <row r="25" spans="1:66" ht="15">
      <c r="A25" s="83" t="s">
        <v>261</v>
      </c>
      <c r="B25" s="83" t="s">
        <v>266</v>
      </c>
      <c r="C25" s="53" t="s">
        <v>1194</v>
      </c>
      <c r="D25" s="54">
        <v>3</v>
      </c>
      <c r="E25" s="66" t="s">
        <v>132</v>
      </c>
      <c r="F25" s="55">
        <v>32</v>
      </c>
      <c r="G25" s="53"/>
      <c r="H25" s="57"/>
      <c r="I25" s="56"/>
      <c r="J25" s="56"/>
      <c r="K25" s="36" t="s">
        <v>65</v>
      </c>
      <c r="L25" s="82">
        <v>25</v>
      </c>
      <c r="M25" s="82"/>
      <c r="N25" s="63"/>
      <c r="O25" s="85" t="s">
        <v>286</v>
      </c>
      <c r="P25" s="87">
        <v>44218.51243055556</v>
      </c>
      <c r="Q25" s="85" t="s">
        <v>300</v>
      </c>
      <c r="R25" s="85"/>
      <c r="S25" s="85"/>
      <c r="T25" s="85" t="s">
        <v>328</v>
      </c>
      <c r="U25" s="85"/>
      <c r="V25" s="89" t="str">
        <f>HYPERLINK("https://pbs.twimg.com/profile_images/880387782820204544/WWFwN3Hx_normal.jpg")</f>
        <v>https://pbs.twimg.com/profile_images/880387782820204544/WWFwN3Hx_normal.jpg</v>
      </c>
      <c r="W25" s="87">
        <v>44218.51243055556</v>
      </c>
      <c r="X25" s="91">
        <v>44218</v>
      </c>
      <c r="Y25" s="93" t="s">
        <v>349</v>
      </c>
      <c r="Z25" s="89" t="str">
        <f>HYPERLINK("https://twitter.com/molliejane93/status/1352591317088542721")</f>
        <v>https://twitter.com/molliejane93/status/1352591317088542721</v>
      </c>
      <c r="AA25" s="85"/>
      <c r="AB25" s="85"/>
      <c r="AC25" s="93" t="s">
        <v>418</v>
      </c>
      <c r="AD25" s="85"/>
      <c r="AE25" s="85" t="b">
        <v>0</v>
      </c>
      <c r="AF25" s="85">
        <v>0</v>
      </c>
      <c r="AG25" s="93" t="s">
        <v>472</v>
      </c>
      <c r="AH25" s="85" t="b">
        <v>0</v>
      </c>
      <c r="AI25" s="85" t="s">
        <v>473</v>
      </c>
      <c r="AJ25" s="85"/>
      <c r="AK25" s="93" t="s">
        <v>470</v>
      </c>
      <c r="AL25" s="85" t="b">
        <v>0</v>
      </c>
      <c r="AM25" s="85">
        <v>0</v>
      </c>
      <c r="AN25" s="93" t="s">
        <v>470</v>
      </c>
      <c r="AO25" s="85" t="s">
        <v>477</v>
      </c>
      <c r="AP25" s="85" t="b">
        <v>0</v>
      </c>
      <c r="AQ25" s="93" t="s">
        <v>418</v>
      </c>
      <c r="AR25" s="85" t="s">
        <v>213</v>
      </c>
      <c r="AS25" s="85">
        <v>0</v>
      </c>
      <c r="AT25" s="85">
        <v>0</v>
      </c>
      <c r="AU25" s="85"/>
      <c r="AV25" s="85"/>
      <c r="AW25" s="85"/>
      <c r="AX25" s="85"/>
      <c r="AY25" s="85"/>
      <c r="AZ25" s="85"/>
      <c r="BA25" s="85"/>
      <c r="BB25" s="85"/>
      <c r="BC25">
        <v>1</v>
      </c>
      <c r="BD25" s="84" t="str">
        <f>REPLACE(INDEX(GroupVertices[Group],MATCH(Edges[[#This Row],[Vertex 1]],GroupVertices[Vertex],0)),1,1,"")</f>
        <v>2</v>
      </c>
      <c r="BE25" s="84" t="str">
        <f>REPLACE(INDEX(GroupVertices[Group],MATCH(Edges[[#This Row],[Vertex 2]],GroupVertices[Vertex],0)),1,1,"")</f>
        <v>2</v>
      </c>
      <c r="BF25" s="51">
        <v>3</v>
      </c>
      <c r="BG25" s="52">
        <v>7.894736842105263</v>
      </c>
      <c r="BH25" s="51">
        <v>4</v>
      </c>
      <c r="BI25" s="52">
        <v>10.526315789473685</v>
      </c>
      <c r="BJ25" s="51">
        <v>0</v>
      </c>
      <c r="BK25" s="52">
        <v>0</v>
      </c>
      <c r="BL25" s="51">
        <v>31</v>
      </c>
      <c r="BM25" s="52">
        <v>81.57894736842105</v>
      </c>
      <c r="BN25" s="51">
        <v>38</v>
      </c>
    </row>
    <row r="26" spans="1:66" ht="15">
      <c r="A26" s="83" t="s">
        <v>262</v>
      </c>
      <c r="B26" s="83" t="s">
        <v>262</v>
      </c>
      <c r="C26" s="53" t="s">
        <v>1194</v>
      </c>
      <c r="D26" s="54">
        <v>3</v>
      </c>
      <c r="E26" s="66" t="s">
        <v>132</v>
      </c>
      <c r="F26" s="55">
        <v>32</v>
      </c>
      <c r="G26" s="53"/>
      <c r="H26" s="57"/>
      <c r="I26" s="56"/>
      <c r="J26" s="56"/>
      <c r="K26" s="36" t="s">
        <v>65</v>
      </c>
      <c r="L26" s="82">
        <v>26</v>
      </c>
      <c r="M26" s="82"/>
      <c r="N26" s="63"/>
      <c r="O26" s="85" t="s">
        <v>213</v>
      </c>
      <c r="P26" s="87">
        <v>44218.55341435185</v>
      </c>
      <c r="Q26" s="85" t="s">
        <v>301</v>
      </c>
      <c r="R26" s="85"/>
      <c r="S26" s="85"/>
      <c r="T26" s="85" t="s">
        <v>329</v>
      </c>
      <c r="U26" s="89" t="str">
        <f>HYPERLINK("https://pbs.twimg.com/media/EsVry_3XIAECh-Y.jpg")</f>
        <v>https://pbs.twimg.com/media/EsVry_3XIAECh-Y.jpg</v>
      </c>
      <c r="V26" s="89" t="str">
        <f>HYPERLINK("https://pbs.twimg.com/media/EsVry_3XIAECh-Y.jpg")</f>
        <v>https://pbs.twimg.com/media/EsVry_3XIAECh-Y.jpg</v>
      </c>
      <c r="W26" s="87">
        <v>44218.55341435185</v>
      </c>
      <c r="X26" s="91">
        <v>44218</v>
      </c>
      <c r="Y26" s="93" t="s">
        <v>350</v>
      </c>
      <c r="Z26" s="89" t="str">
        <f>HYPERLINK("https://twitter.com/datmukherjee/status/1352606169358020609")</f>
        <v>https://twitter.com/datmukherjee/status/1352606169358020609</v>
      </c>
      <c r="AA26" s="85"/>
      <c r="AB26" s="85"/>
      <c r="AC26" s="93" t="s">
        <v>419</v>
      </c>
      <c r="AD26" s="85"/>
      <c r="AE26" s="85" t="b">
        <v>0</v>
      </c>
      <c r="AF26" s="85">
        <v>1</v>
      </c>
      <c r="AG26" s="93" t="s">
        <v>470</v>
      </c>
      <c r="AH26" s="85" t="b">
        <v>0</v>
      </c>
      <c r="AI26" s="85" t="s">
        <v>473</v>
      </c>
      <c r="AJ26" s="85"/>
      <c r="AK26" s="93" t="s">
        <v>470</v>
      </c>
      <c r="AL26" s="85" t="b">
        <v>0</v>
      </c>
      <c r="AM26" s="85">
        <v>0</v>
      </c>
      <c r="AN26" s="93" t="s">
        <v>470</v>
      </c>
      <c r="AO26" s="85" t="s">
        <v>477</v>
      </c>
      <c r="AP26" s="85" t="b">
        <v>0</v>
      </c>
      <c r="AQ26" s="93" t="s">
        <v>419</v>
      </c>
      <c r="AR26" s="85" t="s">
        <v>213</v>
      </c>
      <c r="AS26" s="85">
        <v>0</v>
      </c>
      <c r="AT26" s="85">
        <v>0</v>
      </c>
      <c r="AU26" s="85"/>
      <c r="AV26" s="85"/>
      <c r="AW26" s="85"/>
      <c r="AX26" s="85"/>
      <c r="AY26" s="85"/>
      <c r="AZ26" s="85"/>
      <c r="BA26" s="85"/>
      <c r="BB26" s="85"/>
      <c r="BC26">
        <v>1</v>
      </c>
      <c r="BD26" s="84" t="str">
        <f>REPLACE(INDEX(GroupVertices[Group],MATCH(Edges[[#This Row],[Vertex 1]],GroupVertices[Vertex],0)),1,1,"")</f>
        <v>5</v>
      </c>
      <c r="BE26" s="84" t="str">
        <f>REPLACE(INDEX(GroupVertices[Group],MATCH(Edges[[#This Row],[Vertex 2]],GroupVertices[Vertex],0)),1,1,"")</f>
        <v>5</v>
      </c>
      <c r="BF26" s="51">
        <v>1</v>
      </c>
      <c r="BG26" s="52">
        <v>5.555555555555555</v>
      </c>
      <c r="BH26" s="51">
        <v>0</v>
      </c>
      <c r="BI26" s="52">
        <v>0</v>
      </c>
      <c r="BJ26" s="51">
        <v>0</v>
      </c>
      <c r="BK26" s="52">
        <v>0</v>
      </c>
      <c r="BL26" s="51">
        <v>17</v>
      </c>
      <c r="BM26" s="52">
        <v>94.44444444444444</v>
      </c>
      <c r="BN26" s="51">
        <v>18</v>
      </c>
    </row>
    <row r="27" spans="1:66" ht="30">
      <c r="A27" s="83" t="s">
        <v>263</v>
      </c>
      <c r="B27" s="83" t="s">
        <v>272</v>
      </c>
      <c r="C27" s="53" t="s">
        <v>1197</v>
      </c>
      <c r="D27" s="54">
        <v>10</v>
      </c>
      <c r="E27" s="66" t="s">
        <v>136</v>
      </c>
      <c r="F27" s="55">
        <v>24.57142857142857</v>
      </c>
      <c r="G27" s="53"/>
      <c r="H27" s="57"/>
      <c r="I27" s="56"/>
      <c r="J27" s="56"/>
      <c r="K27" s="36" t="s">
        <v>65</v>
      </c>
      <c r="L27" s="82">
        <v>27</v>
      </c>
      <c r="M27" s="82"/>
      <c r="N27" s="63"/>
      <c r="O27" s="85" t="s">
        <v>283</v>
      </c>
      <c r="P27" s="87">
        <v>44218.51143518519</v>
      </c>
      <c r="Q27" s="85" t="s">
        <v>302</v>
      </c>
      <c r="R27" s="85"/>
      <c r="S27" s="85"/>
      <c r="T27" s="85" t="s">
        <v>328</v>
      </c>
      <c r="U27" s="85"/>
      <c r="V27" s="89" t="str">
        <f>HYPERLINK("https://pbs.twimg.com/profile_images/1183668341745094657/-0Vrdudn_normal.jpg")</f>
        <v>https://pbs.twimg.com/profile_images/1183668341745094657/-0Vrdudn_normal.jpg</v>
      </c>
      <c r="W27" s="87">
        <v>44218.51143518519</v>
      </c>
      <c r="X27" s="91">
        <v>44218</v>
      </c>
      <c r="Y27" s="93" t="s">
        <v>351</v>
      </c>
      <c r="Z27" s="89" t="str">
        <f>HYPERLINK("https://twitter.com/lungsatwork/status/1352590957351464961")</f>
        <v>https://twitter.com/lungsatwork/status/1352590957351464961</v>
      </c>
      <c r="AA27" s="85"/>
      <c r="AB27" s="85"/>
      <c r="AC27" s="93" t="s">
        <v>420</v>
      </c>
      <c r="AD27" s="85"/>
      <c r="AE27" s="85" t="b">
        <v>0</v>
      </c>
      <c r="AF27" s="85">
        <v>0</v>
      </c>
      <c r="AG27" s="93" t="s">
        <v>470</v>
      </c>
      <c r="AH27" s="85" t="b">
        <v>0</v>
      </c>
      <c r="AI27" s="85" t="s">
        <v>473</v>
      </c>
      <c r="AJ27" s="85"/>
      <c r="AK27" s="93" t="s">
        <v>470</v>
      </c>
      <c r="AL27" s="85" t="b">
        <v>0</v>
      </c>
      <c r="AM27" s="85">
        <v>1</v>
      </c>
      <c r="AN27" s="93" t="s">
        <v>452</v>
      </c>
      <c r="AO27" s="85" t="s">
        <v>475</v>
      </c>
      <c r="AP27" s="85" t="b">
        <v>0</v>
      </c>
      <c r="AQ27" s="93" t="s">
        <v>452</v>
      </c>
      <c r="AR27" s="85" t="s">
        <v>213</v>
      </c>
      <c r="AS27" s="85">
        <v>0</v>
      </c>
      <c r="AT27" s="85">
        <v>0</v>
      </c>
      <c r="AU27" s="85"/>
      <c r="AV27" s="85"/>
      <c r="AW27" s="85"/>
      <c r="AX27" s="85"/>
      <c r="AY27" s="85"/>
      <c r="AZ27" s="85"/>
      <c r="BA27" s="85"/>
      <c r="BB27" s="85"/>
      <c r="BC27">
        <v>7</v>
      </c>
      <c r="BD27" s="84" t="str">
        <f>REPLACE(INDEX(GroupVertices[Group],MATCH(Edges[[#This Row],[Vertex 1]],GroupVertices[Vertex],0)),1,1,"")</f>
        <v>1</v>
      </c>
      <c r="BE27" s="84" t="str">
        <f>REPLACE(INDEX(GroupVertices[Group],MATCH(Edges[[#This Row],[Vertex 2]],GroupVertices[Vertex],0)),1,1,"")</f>
        <v>1</v>
      </c>
      <c r="BF27" s="51">
        <v>5</v>
      </c>
      <c r="BG27" s="52">
        <v>13.88888888888889</v>
      </c>
      <c r="BH27" s="51">
        <v>0</v>
      </c>
      <c r="BI27" s="52">
        <v>0</v>
      </c>
      <c r="BJ27" s="51">
        <v>0</v>
      </c>
      <c r="BK27" s="52">
        <v>0</v>
      </c>
      <c r="BL27" s="51">
        <v>31</v>
      </c>
      <c r="BM27" s="52">
        <v>86.11111111111111</v>
      </c>
      <c r="BN27" s="51">
        <v>36</v>
      </c>
    </row>
    <row r="28" spans="1:66" ht="30">
      <c r="A28" s="83" t="s">
        <v>263</v>
      </c>
      <c r="B28" s="83" t="s">
        <v>272</v>
      </c>
      <c r="C28" s="53" t="s">
        <v>1197</v>
      </c>
      <c r="D28" s="54">
        <v>10</v>
      </c>
      <c r="E28" s="66" t="s">
        <v>136</v>
      </c>
      <c r="F28" s="55">
        <v>24.57142857142857</v>
      </c>
      <c r="G28" s="53"/>
      <c r="H28" s="57"/>
      <c r="I28" s="56"/>
      <c r="J28" s="56"/>
      <c r="K28" s="36" t="s">
        <v>65</v>
      </c>
      <c r="L28" s="82">
        <v>28</v>
      </c>
      <c r="M28" s="82"/>
      <c r="N28" s="63"/>
      <c r="O28" s="85" t="s">
        <v>283</v>
      </c>
      <c r="P28" s="87">
        <v>44218.517604166664</v>
      </c>
      <c r="Q28" s="85" t="s">
        <v>303</v>
      </c>
      <c r="R28" s="85"/>
      <c r="S28" s="85"/>
      <c r="T28" s="85" t="s">
        <v>328</v>
      </c>
      <c r="U28" s="85"/>
      <c r="V28" s="89" t="str">
        <f>HYPERLINK("https://pbs.twimg.com/profile_images/1183668341745094657/-0Vrdudn_normal.jpg")</f>
        <v>https://pbs.twimg.com/profile_images/1183668341745094657/-0Vrdudn_normal.jpg</v>
      </c>
      <c r="W28" s="87">
        <v>44218.517604166664</v>
      </c>
      <c r="X28" s="91">
        <v>44218</v>
      </c>
      <c r="Y28" s="93" t="s">
        <v>352</v>
      </c>
      <c r="Z28" s="89" t="str">
        <f>HYPERLINK("https://twitter.com/lungsatwork/status/1352593192214999048")</f>
        <v>https://twitter.com/lungsatwork/status/1352593192214999048</v>
      </c>
      <c r="AA28" s="85"/>
      <c r="AB28" s="85"/>
      <c r="AC28" s="93" t="s">
        <v>421</v>
      </c>
      <c r="AD28" s="85"/>
      <c r="AE28" s="85" t="b">
        <v>0</v>
      </c>
      <c r="AF28" s="85">
        <v>0</v>
      </c>
      <c r="AG28" s="93" t="s">
        <v>470</v>
      </c>
      <c r="AH28" s="85" t="b">
        <v>0</v>
      </c>
      <c r="AI28" s="85" t="s">
        <v>473</v>
      </c>
      <c r="AJ28" s="85"/>
      <c r="AK28" s="93" t="s">
        <v>470</v>
      </c>
      <c r="AL28" s="85" t="b">
        <v>0</v>
      </c>
      <c r="AM28" s="85">
        <v>1</v>
      </c>
      <c r="AN28" s="93" t="s">
        <v>448</v>
      </c>
      <c r="AO28" s="85" t="s">
        <v>475</v>
      </c>
      <c r="AP28" s="85" t="b">
        <v>0</v>
      </c>
      <c r="AQ28" s="93" t="s">
        <v>448</v>
      </c>
      <c r="AR28" s="85" t="s">
        <v>213</v>
      </c>
      <c r="AS28" s="85">
        <v>0</v>
      </c>
      <c r="AT28" s="85">
        <v>0</v>
      </c>
      <c r="AU28" s="85"/>
      <c r="AV28" s="85"/>
      <c r="AW28" s="85"/>
      <c r="AX28" s="85"/>
      <c r="AY28" s="85"/>
      <c r="AZ28" s="85"/>
      <c r="BA28" s="85"/>
      <c r="BB28" s="85"/>
      <c r="BC28">
        <v>7</v>
      </c>
      <c r="BD28" s="84" t="str">
        <f>REPLACE(INDEX(GroupVertices[Group],MATCH(Edges[[#This Row],[Vertex 1]],GroupVertices[Vertex],0)),1,1,"")</f>
        <v>1</v>
      </c>
      <c r="BE28" s="84" t="str">
        <f>REPLACE(INDEX(GroupVertices[Group],MATCH(Edges[[#This Row],[Vertex 2]],GroupVertices[Vertex],0)),1,1,"")</f>
        <v>1</v>
      </c>
      <c r="BF28" s="51">
        <v>1</v>
      </c>
      <c r="BG28" s="52">
        <v>8.333333333333334</v>
      </c>
      <c r="BH28" s="51">
        <v>0</v>
      </c>
      <c r="BI28" s="52">
        <v>0</v>
      </c>
      <c r="BJ28" s="51">
        <v>0</v>
      </c>
      <c r="BK28" s="52">
        <v>0</v>
      </c>
      <c r="BL28" s="51">
        <v>11</v>
      </c>
      <c r="BM28" s="52">
        <v>91.66666666666667</v>
      </c>
      <c r="BN28" s="51">
        <v>12</v>
      </c>
    </row>
    <row r="29" spans="1:66" ht="30">
      <c r="A29" s="83" t="s">
        <v>263</v>
      </c>
      <c r="B29" s="83" t="s">
        <v>272</v>
      </c>
      <c r="C29" s="53" t="s">
        <v>1197</v>
      </c>
      <c r="D29" s="54">
        <v>10</v>
      </c>
      <c r="E29" s="66" t="s">
        <v>136</v>
      </c>
      <c r="F29" s="55">
        <v>24.57142857142857</v>
      </c>
      <c r="G29" s="53"/>
      <c r="H29" s="57"/>
      <c r="I29" s="56"/>
      <c r="J29" s="56"/>
      <c r="K29" s="36" t="s">
        <v>65</v>
      </c>
      <c r="L29" s="82">
        <v>29</v>
      </c>
      <c r="M29" s="82"/>
      <c r="N29" s="63"/>
      <c r="O29" s="85" t="s">
        <v>283</v>
      </c>
      <c r="P29" s="87">
        <v>44218.51810185185</v>
      </c>
      <c r="Q29" s="85" t="s">
        <v>289</v>
      </c>
      <c r="R29" s="85"/>
      <c r="S29" s="85"/>
      <c r="T29" s="85" t="s">
        <v>328</v>
      </c>
      <c r="U29" s="85"/>
      <c r="V29" s="89" t="str">
        <f>HYPERLINK("https://pbs.twimg.com/profile_images/1183668341745094657/-0Vrdudn_normal.jpg")</f>
        <v>https://pbs.twimg.com/profile_images/1183668341745094657/-0Vrdudn_normal.jpg</v>
      </c>
      <c r="W29" s="87">
        <v>44218.51810185185</v>
      </c>
      <c r="X29" s="91">
        <v>44218</v>
      </c>
      <c r="Y29" s="93" t="s">
        <v>353</v>
      </c>
      <c r="Z29" s="89" t="str">
        <f>HYPERLINK("https://twitter.com/lungsatwork/status/1352593372989579265")</f>
        <v>https://twitter.com/lungsatwork/status/1352593372989579265</v>
      </c>
      <c r="AA29" s="85"/>
      <c r="AB29" s="85"/>
      <c r="AC29" s="93" t="s">
        <v>422</v>
      </c>
      <c r="AD29" s="85"/>
      <c r="AE29" s="85" t="b">
        <v>0</v>
      </c>
      <c r="AF29" s="85">
        <v>0</v>
      </c>
      <c r="AG29" s="93" t="s">
        <v>470</v>
      </c>
      <c r="AH29" s="85" t="b">
        <v>0</v>
      </c>
      <c r="AI29" s="85" t="s">
        <v>473</v>
      </c>
      <c r="AJ29" s="85"/>
      <c r="AK29" s="93" t="s">
        <v>470</v>
      </c>
      <c r="AL29" s="85" t="b">
        <v>0</v>
      </c>
      <c r="AM29" s="85">
        <v>4</v>
      </c>
      <c r="AN29" s="93" t="s">
        <v>447</v>
      </c>
      <c r="AO29" s="85" t="s">
        <v>475</v>
      </c>
      <c r="AP29" s="85" t="b">
        <v>0</v>
      </c>
      <c r="AQ29" s="93" t="s">
        <v>447</v>
      </c>
      <c r="AR29" s="85" t="s">
        <v>213</v>
      </c>
      <c r="AS29" s="85">
        <v>0</v>
      </c>
      <c r="AT29" s="85">
        <v>0</v>
      </c>
      <c r="AU29" s="85"/>
      <c r="AV29" s="85"/>
      <c r="AW29" s="85"/>
      <c r="AX29" s="85"/>
      <c r="AY29" s="85"/>
      <c r="AZ29" s="85"/>
      <c r="BA29" s="85"/>
      <c r="BB29" s="85"/>
      <c r="BC29">
        <v>7</v>
      </c>
      <c r="BD29" s="84" t="str">
        <f>REPLACE(INDEX(GroupVertices[Group],MATCH(Edges[[#This Row],[Vertex 1]],GroupVertices[Vertex],0)),1,1,"")</f>
        <v>1</v>
      </c>
      <c r="BE29" s="84" t="str">
        <f>REPLACE(INDEX(GroupVertices[Group],MATCH(Edges[[#This Row],[Vertex 2]],GroupVertices[Vertex],0)),1,1,"")</f>
        <v>1</v>
      </c>
      <c r="BF29" s="51">
        <v>0</v>
      </c>
      <c r="BG29" s="52">
        <v>0</v>
      </c>
      <c r="BH29" s="51">
        <v>1</v>
      </c>
      <c r="BI29" s="52">
        <v>4.3478260869565215</v>
      </c>
      <c r="BJ29" s="51">
        <v>0</v>
      </c>
      <c r="BK29" s="52">
        <v>0</v>
      </c>
      <c r="BL29" s="51">
        <v>22</v>
      </c>
      <c r="BM29" s="52">
        <v>95.65217391304348</v>
      </c>
      <c r="BN29" s="51">
        <v>23</v>
      </c>
    </row>
    <row r="30" spans="1:66" ht="30">
      <c r="A30" s="83" t="s">
        <v>263</v>
      </c>
      <c r="B30" s="83" t="s">
        <v>272</v>
      </c>
      <c r="C30" s="53" t="s">
        <v>1197</v>
      </c>
      <c r="D30" s="54">
        <v>10</v>
      </c>
      <c r="E30" s="66" t="s">
        <v>136</v>
      </c>
      <c r="F30" s="55">
        <v>24.57142857142857</v>
      </c>
      <c r="G30" s="53"/>
      <c r="H30" s="57"/>
      <c r="I30" s="56"/>
      <c r="J30" s="56"/>
      <c r="K30" s="36" t="s">
        <v>65</v>
      </c>
      <c r="L30" s="82">
        <v>30</v>
      </c>
      <c r="M30" s="82"/>
      <c r="N30" s="63"/>
      <c r="O30" s="85" t="s">
        <v>283</v>
      </c>
      <c r="P30" s="87">
        <v>44218.51900462963</v>
      </c>
      <c r="Q30" s="85" t="s">
        <v>304</v>
      </c>
      <c r="R30" s="85"/>
      <c r="S30" s="85"/>
      <c r="T30" s="85" t="s">
        <v>328</v>
      </c>
      <c r="U30" s="85"/>
      <c r="V30" s="89" t="str">
        <f>HYPERLINK("https://pbs.twimg.com/profile_images/1183668341745094657/-0Vrdudn_normal.jpg")</f>
        <v>https://pbs.twimg.com/profile_images/1183668341745094657/-0Vrdudn_normal.jpg</v>
      </c>
      <c r="W30" s="87">
        <v>44218.51900462963</v>
      </c>
      <c r="X30" s="91">
        <v>44218</v>
      </c>
      <c r="Y30" s="93" t="s">
        <v>354</v>
      </c>
      <c r="Z30" s="89" t="str">
        <f>HYPERLINK("https://twitter.com/lungsatwork/status/1352593699339907084")</f>
        <v>https://twitter.com/lungsatwork/status/1352593699339907084</v>
      </c>
      <c r="AA30" s="85"/>
      <c r="AB30" s="85"/>
      <c r="AC30" s="93" t="s">
        <v>423</v>
      </c>
      <c r="AD30" s="85"/>
      <c r="AE30" s="85" t="b">
        <v>0</v>
      </c>
      <c r="AF30" s="85">
        <v>0</v>
      </c>
      <c r="AG30" s="93" t="s">
        <v>470</v>
      </c>
      <c r="AH30" s="85" t="b">
        <v>0</v>
      </c>
      <c r="AI30" s="85" t="s">
        <v>473</v>
      </c>
      <c r="AJ30" s="85"/>
      <c r="AK30" s="93" t="s">
        <v>470</v>
      </c>
      <c r="AL30" s="85" t="b">
        <v>0</v>
      </c>
      <c r="AM30" s="85">
        <v>1</v>
      </c>
      <c r="AN30" s="93" t="s">
        <v>451</v>
      </c>
      <c r="AO30" s="85" t="s">
        <v>475</v>
      </c>
      <c r="AP30" s="85" t="b">
        <v>0</v>
      </c>
      <c r="AQ30" s="93" t="s">
        <v>451</v>
      </c>
      <c r="AR30" s="85" t="s">
        <v>213</v>
      </c>
      <c r="AS30" s="85">
        <v>0</v>
      </c>
      <c r="AT30" s="85">
        <v>0</v>
      </c>
      <c r="AU30" s="85"/>
      <c r="AV30" s="85"/>
      <c r="AW30" s="85"/>
      <c r="AX30" s="85"/>
      <c r="AY30" s="85"/>
      <c r="AZ30" s="85"/>
      <c r="BA30" s="85"/>
      <c r="BB30" s="85"/>
      <c r="BC30">
        <v>7</v>
      </c>
      <c r="BD30" s="84" t="str">
        <f>REPLACE(INDEX(GroupVertices[Group],MATCH(Edges[[#This Row],[Vertex 1]],GroupVertices[Vertex],0)),1,1,"")</f>
        <v>1</v>
      </c>
      <c r="BE30" s="84" t="str">
        <f>REPLACE(INDEX(GroupVertices[Group],MATCH(Edges[[#This Row],[Vertex 2]],GroupVertices[Vertex],0)),1,1,"")</f>
        <v>1</v>
      </c>
      <c r="BF30" s="51">
        <v>1</v>
      </c>
      <c r="BG30" s="52">
        <v>2.9411764705882355</v>
      </c>
      <c r="BH30" s="51">
        <v>0</v>
      </c>
      <c r="BI30" s="52">
        <v>0</v>
      </c>
      <c r="BJ30" s="51">
        <v>0</v>
      </c>
      <c r="BK30" s="52">
        <v>0</v>
      </c>
      <c r="BL30" s="51">
        <v>33</v>
      </c>
      <c r="BM30" s="52">
        <v>97.05882352941177</v>
      </c>
      <c r="BN30" s="51">
        <v>34</v>
      </c>
    </row>
    <row r="31" spans="1:66" ht="15">
      <c r="A31" s="83" t="s">
        <v>263</v>
      </c>
      <c r="B31" s="83" t="s">
        <v>275</v>
      </c>
      <c r="C31" s="53" t="s">
        <v>1194</v>
      </c>
      <c r="D31" s="54">
        <v>3</v>
      </c>
      <c r="E31" s="66" t="s">
        <v>132</v>
      </c>
      <c r="F31" s="55">
        <v>32</v>
      </c>
      <c r="G31" s="53"/>
      <c r="H31" s="57"/>
      <c r="I31" s="56"/>
      <c r="J31" s="56"/>
      <c r="K31" s="36" t="s">
        <v>65</v>
      </c>
      <c r="L31" s="82">
        <v>31</v>
      </c>
      <c r="M31" s="82"/>
      <c r="N31" s="63"/>
      <c r="O31" s="85" t="s">
        <v>284</v>
      </c>
      <c r="P31" s="87">
        <v>44218.549849537034</v>
      </c>
      <c r="Q31" s="85" t="s">
        <v>293</v>
      </c>
      <c r="R31" s="85"/>
      <c r="S31" s="85"/>
      <c r="T31" s="85" t="s">
        <v>328</v>
      </c>
      <c r="U31" s="89" t="str">
        <f>HYPERLINK("https://pbs.twimg.com/media/EsVCPJAXEAENCgh.jpg")</f>
        <v>https://pbs.twimg.com/media/EsVCPJAXEAENCgh.jpg</v>
      </c>
      <c r="V31" s="89" t="str">
        <f>HYPERLINK("https://pbs.twimg.com/media/EsVCPJAXEAENCgh.jpg")</f>
        <v>https://pbs.twimg.com/media/EsVCPJAXEAENCgh.jpg</v>
      </c>
      <c r="W31" s="87">
        <v>44218.549849537034</v>
      </c>
      <c r="X31" s="91">
        <v>44218</v>
      </c>
      <c r="Y31" s="93" t="s">
        <v>355</v>
      </c>
      <c r="Z31" s="89" t="str">
        <f>HYPERLINK("https://twitter.com/lungsatwork/status/1352604876715548674")</f>
        <v>https://twitter.com/lungsatwork/status/1352604876715548674</v>
      </c>
      <c r="AA31" s="85"/>
      <c r="AB31" s="85"/>
      <c r="AC31" s="93" t="s">
        <v>424</v>
      </c>
      <c r="AD31" s="85"/>
      <c r="AE31" s="85" t="b">
        <v>0</v>
      </c>
      <c r="AF31" s="85">
        <v>0</v>
      </c>
      <c r="AG31" s="93" t="s">
        <v>470</v>
      </c>
      <c r="AH31" s="85" t="b">
        <v>0</v>
      </c>
      <c r="AI31" s="85" t="s">
        <v>473</v>
      </c>
      <c r="AJ31" s="85"/>
      <c r="AK31" s="93" t="s">
        <v>470</v>
      </c>
      <c r="AL31" s="85" t="b">
        <v>0</v>
      </c>
      <c r="AM31" s="85">
        <v>4</v>
      </c>
      <c r="AN31" s="93" t="s">
        <v>439</v>
      </c>
      <c r="AO31" s="85" t="s">
        <v>475</v>
      </c>
      <c r="AP31" s="85" t="b">
        <v>0</v>
      </c>
      <c r="AQ31" s="93" t="s">
        <v>439</v>
      </c>
      <c r="AR31" s="85" t="s">
        <v>213</v>
      </c>
      <c r="AS31" s="85">
        <v>0</v>
      </c>
      <c r="AT31" s="85">
        <v>0</v>
      </c>
      <c r="AU31" s="85"/>
      <c r="AV31" s="85"/>
      <c r="AW31" s="85"/>
      <c r="AX31" s="85"/>
      <c r="AY31" s="85"/>
      <c r="AZ31" s="85"/>
      <c r="BA31" s="85"/>
      <c r="BB31" s="85"/>
      <c r="BC31">
        <v>1</v>
      </c>
      <c r="BD31" s="84" t="str">
        <f>REPLACE(INDEX(GroupVertices[Group],MATCH(Edges[[#This Row],[Vertex 1]],GroupVertices[Vertex],0)),1,1,"")</f>
        <v>1</v>
      </c>
      <c r="BE31" s="84" t="str">
        <f>REPLACE(INDEX(GroupVertices[Group],MATCH(Edges[[#This Row],[Vertex 2]],GroupVertices[Vertex],0)),1,1,"")</f>
        <v>1</v>
      </c>
      <c r="BF31" s="51"/>
      <c r="BG31" s="52"/>
      <c r="BH31" s="51"/>
      <c r="BI31" s="52"/>
      <c r="BJ31" s="51"/>
      <c r="BK31" s="52"/>
      <c r="BL31" s="51"/>
      <c r="BM31" s="52"/>
      <c r="BN31" s="51"/>
    </row>
    <row r="32" spans="1:66" ht="30">
      <c r="A32" s="83" t="s">
        <v>263</v>
      </c>
      <c r="B32" s="83" t="s">
        <v>272</v>
      </c>
      <c r="C32" s="53" t="s">
        <v>1197</v>
      </c>
      <c r="D32" s="54">
        <v>10</v>
      </c>
      <c r="E32" s="66" t="s">
        <v>136</v>
      </c>
      <c r="F32" s="55">
        <v>24.57142857142857</v>
      </c>
      <c r="G32" s="53"/>
      <c r="H32" s="57"/>
      <c r="I32" s="56"/>
      <c r="J32" s="56"/>
      <c r="K32" s="36" t="s">
        <v>65</v>
      </c>
      <c r="L32" s="82">
        <v>32</v>
      </c>
      <c r="M32" s="82"/>
      <c r="N32" s="63"/>
      <c r="O32" s="85" t="s">
        <v>283</v>
      </c>
      <c r="P32" s="87">
        <v>44218.549849537034</v>
      </c>
      <c r="Q32" s="85" t="s">
        <v>293</v>
      </c>
      <c r="R32" s="85"/>
      <c r="S32" s="85"/>
      <c r="T32" s="85" t="s">
        <v>328</v>
      </c>
      <c r="U32" s="89" t="str">
        <f>HYPERLINK("https://pbs.twimg.com/media/EsVCPJAXEAENCgh.jpg")</f>
        <v>https://pbs.twimg.com/media/EsVCPJAXEAENCgh.jpg</v>
      </c>
      <c r="V32" s="89" t="str">
        <f>HYPERLINK("https://pbs.twimg.com/media/EsVCPJAXEAENCgh.jpg")</f>
        <v>https://pbs.twimg.com/media/EsVCPJAXEAENCgh.jpg</v>
      </c>
      <c r="W32" s="87">
        <v>44218.549849537034</v>
      </c>
      <c r="X32" s="91">
        <v>44218</v>
      </c>
      <c r="Y32" s="93" t="s">
        <v>355</v>
      </c>
      <c r="Z32" s="89" t="str">
        <f>HYPERLINK("https://twitter.com/lungsatwork/status/1352604876715548674")</f>
        <v>https://twitter.com/lungsatwork/status/1352604876715548674</v>
      </c>
      <c r="AA32" s="85"/>
      <c r="AB32" s="85"/>
      <c r="AC32" s="93" t="s">
        <v>424</v>
      </c>
      <c r="AD32" s="85"/>
      <c r="AE32" s="85" t="b">
        <v>0</v>
      </c>
      <c r="AF32" s="85">
        <v>0</v>
      </c>
      <c r="AG32" s="93" t="s">
        <v>470</v>
      </c>
      <c r="AH32" s="85" t="b">
        <v>0</v>
      </c>
      <c r="AI32" s="85" t="s">
        <v>473</v>
      </c>
      <c r="AJ32" s="85"/>
      <c r="AK32" s="93" t="s">
        <v>470</v>
      </c>
      <c r="AL32" s="85" t="b">
        <v>0</v>
      </c>
      <c r="AM32" s="85">
        <v>4</v>
      </c>
      <c r="AN32" s="93" t="s">
        <v>439</v>
      </c>
      <c r="AO32" s="85" t="s">
        <v>475</v>
      </c>
      <c r="AP32" s="85" t="b">
        <v>0</v>
      </c>
      <c r="AQ32" s="93" t="s">
        <v>439</v>
      </c>
      <c r="AR32" s="85" t="s">
        <v>213</v>
      </c>
      <c r="AS32" s="85">
        <v>0</v>
      </c>
      <c r="AT32" s="85">
        <v>0</v>
      </c>
      <c r="AU32" s="85"/>
      <c r="AV32" s="85"/>
      <c r="AW32" s="85"/>
      <c r="AX32" s="85"/>
      <c r="AY32" s="85"/>
      <c r="AZ32" s="85"/>
      <c r="BA32" s="85"/>
      <c r="BB32" s="85"/>
      <c r="BC32">
        <v>7</v>
      </c>
      <c r="BD32" s="84" t="str">
        <f>REPLACE(INDEX(GroupVertices[Group],MATCH(Edges[[#This Row],[Vertex 1]],GroupVertices[Vertex],0)),1,1,"")</f>
        <v>1</v>
      </c>
      <c r="BE32" s="84" t="str">
        <f>REPLACE(INDEX(GroupVertices[Group],MATCH(Edges[[#This Row],[Vertex 2]],GroupVertices[Vertex],0)),1,1,"")</f>
        <v>1</v>
      </c>
      <c r="BF32" s="51">
        <v>2</v>
      </c>
      <c r="BG32" s="52">
        <v>6.896551724137931</v>
      </c>
      <c r="BH32" s="51">
        <v>0</v>
      </c>
      <c r="BI32" s="52">
        <v>0</v>
      </c>
      <c r="BJ32" s="51">
        <v>0</v>
      </c>
      <c r="BK32" s="52">
        <v>0</v>
      </c>
      <c r="BL32" s="51">
        <v>27</v>
      </c>
      <c r="BM32" s="52">
        <v>93.10344827586206</v>
      </c>
      <c r="BN32" s="51">
        <v>29</v>
      </c>
    </row>
    <row r="33" spans="1:66" ht="30">
      <c r="A33" s="83" t="s">
        <v>263</v>
      </c>
      <c r="B33" s="83" t="s">
        <v>272</v>
      </c>
      <c r="C33" s="53" t="s">
        <v>1197</v>
      </c>
      <c r="D33" s="54">
        <v>10</v>
      </c>
      <c r="E33" s="66" t="s">
        <v>136</v>
      </c>
      <c r="F33" s="55">
        <v>24.57142857142857</v>
      </c>
      <c r="G33" s="53"/>
      <c r="H33" s="57"/>
      <c r="I33" s="56"/>
      <c r="J33" s="56"/>
      <c r="K33" s="36" t="s">
        <v>65</v>
      </c>
      <c r="L33" s="82">
        <v>33</v>
      </c>
      <c r="M33" s="82"/>
      <c r="N33" s="63"/>
      <c r="O33" s="85" t="s">
        <v>283</v>
      </c>
      <c r="P33" s="87">
        <v>44218.55421296296</v>
      </c>
      <c r="Q33" s="85" t="s">
        <v>305</v>
      </c>
      <c r="R33" s="85"/>
      <c r="S33" s="85"/>
      <c r="T33" s="85" t="s">
        <v>328</v>
      </c>
      <c r="U33" s="85"/>
      <c r="V33" s="89" t="str">
        <f>HYPERLINK("https://pbs.twimg.com/profile_images/1183668341745094657/-0Vrdudn_normal.jpg")</f>
        <v>https://pbs.twimg.com/profile_images/1183668341745094657/-0Vrdudn_normal.jpg</v>
      </c>
      <c r="W33" s="87">
        <v>44218.55421296296</v>
      </c>
      <c r="X33" s="91">
        <v>44218</v>
      </c>
      <c r="Y33" s="93" t="s">
        <v>356</v>
      </c>
      <c r="Z33" s="89" t="str">
        <f>HYPERLINK("https://twitter.com/lungsatwork/status/1352606456911114242")</f>
        <v>https://twitter.com/lungsatwork/status/1352606456911114242</v>
      </c>
      <c r="AA33" s="85"/>
      <c r="AB33" s="85"/>
      <c r="AC33" s="93" t="s">
        <v>425</v>
      </c>
      <c r="AD33" s="85"/>
      <c r="AE33" s="85" t="b">
        <v>0</v>
      </c>
      <c r="AF33" s="85">
        <v>0</v>
      </c>
      <c r="AG33" s="93" t="s">
        <v>470</v>
      </c>
      <c r="AH33" s="85" t="b">
        <v>0</v>
      </c>
      <c r="AI33" s="85" t="s">
        <v>473</v>
      </c>
      <c r="AJ33" s="85"/>
      <c r="AK33" s="93" t="s">
        <v>470</v>
      </c>
      <c r="AL33" s="85" t="b">
        <v>0</v>
      </c>
      <c r="AM33" s="85">
        <v>1</v>
      </c>
      <c r="AN33" s="93" t="s">
        <v>449</v>
      </c>
      <c r="AO33" s="85" t="s">
        <v>475</v>
      </c>
      <c r="AP33" s="85" t="b">
        <v>0</v>
      </c>
      <c r="AQ33" s="93" t="s">
        <v>449</v>
      </c>
      <c r="AR33" s="85" t="s">
        <v>213</v>
      </c>
      <c r="AS33" s="85">
        <v>0</v>
      </c>
      <c r="AT33" s="85">
        <v>0</v>
      </c>
      <c r="AU33" s="85"/>
      <c r="AV33" s="85"/>
      <c r="AW33" s="85"/>
      <c r="AX33" s="85"/>
      <c r="AY33" s="85"/>
      <c r="AZ33" s="85"/>
      <c r="BA33" s="85"/>
      <c r="BB33" s="85"/>
      <c r="BC33">
        <v>7</v>
      </c>
      <c r="BD33" s="84" t="str">
        <f>REPLACE(INDEX(GroupVertices[Group],MATCH(Edges[[#This Row],[Vertex 1]],GroupVertices[Vertex],0)),1,1,"")</f>
        <v>1</v>
      </c>
      <c r="BE33" s="84" t="str">
        <f>REPLACE(INDEX(GroupVertices[Group],MATCH(Edges[[#This Row],[Vertex 2]],GroupVertices[Vertex],0)),1,1,"")</f>
        <v>1</v>
      </c>
      <c r="BF33" s="51">
        <v>3</v>
      </c>
      <c r="BG33" s="52">
        <v>11.538461538461538</v>
      </c>
      <c r="BH33" s="51">
        <v>0</v>
      </c>
      <c r="BI33" s="52">
        <v>0</v>
      </c>
      <c r="BJ33" s="51">
        <v>0</v>
      </c>
      <c r="BK33" s="52">
        <v>0</v>
      </c>
      <c r="BL33" s="51">
        <v>23</v>
      </c>
      <c r="BM33" s="52">
        <v>88.46153846153847</v>
      </c>
      <c r="BN33" s="51">
        <v>26</v>
      </c>
    </row>
    <row r="34" spans="1:66" ht="30">
      <c r="A34" s="83" t="s">
        <v>263</v>
      </c>
      <c r="B34" s="83" t="s">
        <v>272</v>
      </c>
      <c r="C34" s="53" t="s">
        <v>1197</v>
      </c>
      <c r="D34" s="54">
        <v>10</v>
      </c>
      <c r="E34" s="66" t="s">
        <v>136</v>
      </c>
      <c r="F34" s="55">
        <v>24.57142857142857</v>
      </c>
      <c r="G34" s="53"/>
      <c r="H34" s="57"/>
      <c r="I34" s="56"/>
      <c r="J34" s="56"/>
      <c r="K34" s="36" t="s">
        <v>65</v>
      </c>
      <c r="L34" s="82">
        <v>34</v>
      </c>
      <c r="M34" s="82"/>
      <c r="N34" s="63"/>
      <c r="O34" s="85" t="s">
        <v>283</v>
      </c>
      <c r="P34" s="87">
        <v>44218.56135416667</v>
      </c>
      <c r="Q34" s="85" t="s">
        <v>306</v>
      </c>
      <c r="R34" s="85"/>
      <c r="S34" s="85"/>
      <c r="T34" s="85" t="s">
        <v>330</v>
      </c>
      <c r="U34" s="85"/>
      <c r="V34" s="89" t="str">
        <f>HYPERLINK("https://pbs.twimg.com/profile_images/1183668341745094657/-0Vrdudn_normal.jpg")</f>
        <v>https://pbs.twimg.com/profile_images/1183668341745094657/-0Vrdudn_normal.jpg</v>
      </c>
      <c r="W34" s="87">
        <v>44218.56135416667</v>
      </c>
      <c r="X34" s="91">
        <v>44218</v>
      </c>
      <c r="Y34" s="93" t="s">
        <v>357</v>
      </c>
      <c r="Z34" s="89" t="str">
        <f>HYPERLINK("https://twitter.com/lungsatwork/status/1352609046302482434")</f>
        <v>https://twitter.com/lungsatwork/status/1352609046302482434</v>
      </c>
      <c r="AA34" s="85"/>
      <c r="AB34" s="85"/>
      <c r="AC34" s="93" t="s">
        <v>426</v>
      </c>
      <c r="AD34" s="85"/>
      <c r="AE34" s="85" t="b">
        <v>0</v>
      </c>
      <c r="AF34" s="85">
        <v>0</v>
      </c>
      <c r="AG34" s="93" t="s">
        <v>470</v>
      </c>
      <c r="AH34" s="85" t="b">
        <v>0</v>
      </c>
      <c r="AI34" s="85" t="s">
        <v>473</v>
      </c>
      <c r="AJ34" s="85"/>
      <c r="AK34" s="93" t="s">
        <v>470</v>
      </c>
      <c r="AL34" s="85" t="b">
        <v>0</v>
      </c>
      <c r="AM34" s="85">
        <v>2</v>
      </c>
      <c r="AN34" s="93" t="s">
        <v>455</v>
      </c>
      <c r="AO34" s="85" t="s">
        <v>475</v>
      </c>
      <c r="AP34" s="85" t="b">
        <v>0</v>
      </c>
      <c r="AQ34" s="93" t="s">
        <v>455</v>
      </c>
      <c r="AR34" s="85" t="s">
        <v>213</v>
      </c>
      <c r="AS34" s="85">
        <v>0</v>
      </c>
      <c r="AT34" s="85">
        <v>0</v>
      </c>
      <c r="AU34" s="85"/>
      <c r="AV34" s="85"/>
      <c r="AW34" s="85"/>
      <c r="AX34" s="85"/>
      <c r="AY34" s="85"/>
      <c r="AZ34" s="85"/>
      <c r="BA34" s="85"/>
      <c r="BB34" s="85"/>
      <c r="BC34">
        <v>7</v>
      </c>
      <c r="BD34" s="84" t="str">
        <f>REPLACE(INDEX(GroupVertices[Group],MATCH(Edges[[#This Row],[Vertex 1]],GroupVertices[Vertex],0)),1,1,"")</f>
        <v>1</v>
      </c>
      <c r="BE34" s="84" t="str">
        <f>REPLACE(INDEX(GroupVertices[Group],MATCH(Edges[[#This Row],[Vertex 2]],GroupVertices[Vertex],0)),1,1,"")</f>
        <v>1</v>
      </c>
      <c r="BF34" s="51">
        <v>1</v>
      </c>
      <c r="BG34" s="52">
        <v>2.9411764705882355</v>
      </c>
      <c r="BH34" s="51">
        <v>3</v>
      </c>
      <c r="BI34" s="52">
        <v>8.823529411764707</v>
      </c>
      <c r="BJ34" s="51">
        <v>0</v>
      </c>
      <c r="BK34" s="52">
        <v>0</v>
      </c>
      <c r="BL34" s="51">
        <v>30</v>
      </c>
      <c r="BM34" s="52">
        <v>88.23529411764706</v>
      </c>
      <c r="BN34" s="51">
        <v>34</v>
      </c>
    </row>
    <row r="35" spans="1:66" ht="15">
      <c r="A35" s="83" t="s">
        <v>264</v>
      </c>
      <c r="B35" s="83" t="s">
        <v>272</v>
      </c>
      <c r="C35" s="53" t="s">
        <v>1194</v>
      </c>
      <c r="D35" s="54">
        <v>3</v>
      </c>
      <c r="E35" s="66" t="s">
        <v>132</v>
      </c>
      <c r="F35" s="55">
        <v>32</v>
      </c>
      <c r="G35" s="53"/>
      <c r="H35" s="57"/>
      <c r="I35" s="56"/>
      <c r="J35" s="56"/>
      <c r="K35" s="36" t="s">
        <v>65</v>
      </c>
      <c r="L35" s="82">
        <v>35</v>
      </c>
      <c r="M35" s="82"/>
      <c r="N35" s="63"/>
      <c r="O35" s="85" t="s">
        <v>283</v>
      </c>
      <c r="P35" s="87">
        <v>44218.569710648146</v>
      </c>
      <c r="Q35" s="85" t="s">
        <v>288</v>
      </c>
      <c r="R35" s="85"/>
      <c r="S35" s="85"/>
      <c r="T35" s="85" t="s">
        <v>328</v>
      </c>
      <c r="U35" s="85"/>
      <c r="V35" s="89" t="str">
        <f>HYPERLINK("https://pbs.twimg.com/profile_images/1187077999771947008/8f0Fbv6X_normal.jpg")</f>
        <v>https://pbs.twimg.com/profile_images/1187077999771947008/8f0Fbv6X_normal.jpg</v>
      </c>
      <c r="W35" s="87">
        <v>44218.569710648146</v>
      </c>
      <c r="X35" s="91">
        <v>44218</v>
      </c>
      <c r="Y35" s="93" t="s">
        <v>358</v>
      </c>
      <c r="Z35" s="89" t="str">
        <f>HYPERLINK("https://twitter.com/labinjohc/status/1352612072308277249")</f>
        <v>https://twitter.com/labinjohc/status/1352612072308277249</v>
      </c>
      <c r="AA35" s="85"/>
      <c r="AB35" s="85"/>
      <c r="AC35" s="93" t="s">
        <v>427</v>
      </c>
      <c r="AD35" s="85"/>
      <c r="AE35" s="85" t="b">
        <v>0</v>
      </c>
      <c r="AF35" s="85">
        <v>0</v>
      </c>
      <c r="AG35" s="93" t="s">
        <v>470</v>
      </c>
      <c r="AH35" s="85" t="b">
        <v>0</v>
      </c>
      <c r="AI35" s="85" t="s">
        <v>473</v>
      </c>
      <c r="AJ35" s="85"/>
      <c r="AK35" s="93" t="s">
        <v>470</v>
      </c>
      <c r="AL35" s="85" t="b">
        <v>0</v>
      </c>
      <c r="AM35" s="85">
        <v>3</v>
      </c>
      <c r="AN35" s="93" t="s">
        <v>444</v>
      </c>
      <c r="AO35" s="85" t="s">
        <v>475</v>
      </c>
      <c r="AP35" s="85" t="b">
        <v>0</v>
      </c>
      <c r="AQ35" s="93" t="s">
        <v>444</v>
      </c>
      <c r="AR35" s="85" t="s">
        <v>213</v>
      </c>
      <c r="AS35" s="85">
        <v>0</v>
      </c>
      <c r="AT35" s="85">
        <v>0</v>
      </c>
      <c r="AU35" s="85"/>
      <c r="AV35" s="85"/>
      <c r="AW35" s="85"/>
      <c r="AX35" s="85"/>
      <c r="AY35" s="85"/>
      <c r="AZ35" s="85"/>
      <c r="BA35" s="85"/>
      <c r="BB35" s="85"/>
      <c r="BC35">
        <v>1</v>
      </c>
      <c r="BD35" s="84" t="str">
        <f>REPLACE(INDEX(GroupVertices[Group],MATCH(Edges[[#This Row],[Vertex 1]],GroupVertices[Vertex],0)),1,1,"")</f>
        <v>1</v>
      </c>
      <c r="BE35" s="84" t="str">
        <f>REPLACE(INDEX(GroupVertices[Group],MATCH(Edges[[#This Row],[Vertex 2]],GroupVertices[Vertex],0)),1,1,"")</f>
        <v>1</v>
      </c>
      <c r="BF35" s="51">
        <v>3</v>
      </c>
      <c r="BG35" s="52">
        <v>11.538461538461538</v>
      </c>
      <c r="BH35" s="51">
        <v>1</v>
      </c>
      <c r="BI35" s="52">
        <v>3.8461538461538463</v>
      </c>
      <c r="BJ35" s="51">
        <v>0</v>
      </c>
      <c r="BK35" s="52">
        <v>0</v>
      </c>
      <c r="BL35" s="51">
        <v>22</v>
      </c>
      <c r="BM35" s="52">
        <v>84.61538461538461</v>
      </c>
      <c r="BN35" s="51">
        <v>26</v>
      </c>
    </row>
    <row r="36" spans="1:66" ht="15">
      <c r="A36" s="83" t="s">
        <v>265</v>
      </c>
      <c r="B36" s="83" t="s">
        <v>272</v>
      </c>
      <c r="C36" s="53" t="s">
        <v>1194</v>
      </c>
      <c r="D36" s="54">
        <v>3</v>
      </c>
      <c r="E36" s="66" t="s">
        <v>132</v>
      </c>
      <c r="F36" s="55">
        <v>32</v>
      </c>
      <c r="G36" s="53"/>
      <c r="H36" s="57"/>
      <c r="I36" s="56"/>
      <c r="J36" s="56"/>
      <c r="K36" s="36" t="s">
        <v>65</v>
      </c>
      <c r="L36" s="82">
        <v>36</v>
      </c>
      <c r="M36" s="82"/>
      <c r="N36" s="63"/>
      <c r="O36" s="85" t="s">
        <v>283</v>
      </c>
      <c r="P36" s="87">
        <v>44218.58137731482</v>
      </c>
      <c r="Q36" s="85" t="s">
        <v>307</v>
      </c>
      <c r="R36" s="85"/>
      <c r="S36" s="85"/>
      <c r="T36" s="85" t="s">
        <v>330</v>
      </c>
      <c r="U36" s="89" t="str">
        <f>HYPERLINK("https://pbs.twimg.com/tweet_video_thumb/EsV0sWLW4AEyvJG.jpg")</f>
        <v>https://pbs.twimg.com/tweet_video_thumb/EsV0sWLW4AEyvJG.jpg</v>
      </c>
      <c r="V36" s="89" t="str">
        <f>HYPERLINK("https://pbs.twimg.com/tweet_video_thumb/EsV0sWLW4AEyvJG.jpg")</f>
        <v>https://pbs.twimg.com/tweet_video_thumb/EsV0sWLW4AEyvJG.jpg</v>
      </c>
      <c r="W36" s="87">
        <v>44218.58137731482</v>
      </c>
      <c r="X36" s="91">
        <v>44218</v>
      </c>
      <c r="Y36" s="93" t="s">
        <v>359</v>
      </c>
      <c r="Z36" s="89" t="str">
        <f>HYPERLINK("https://twitter.com/telehealthbot/status/1352616302783983618")</f>
        <v>https://twitter.com/telehealthbot/status/1352616302783983618</v>
      </c>
      <c r="AA36" s="85"/>
      <c r="AB36" s="85"/>
      <c r="AC36" s="93" t="s">
        <v>428</v>
      </c>
      <c r="AD36" s="85"/>
      <c r="AE36" s="85" t="b">
        <v>0</v>
      </c>
      <c r="AF36" s="85">
        <v>0</v>
      </c>
      <c r="AG36" s="93" t="s">
        <v>470</v>
      </c>
      <c r="AH36" s="85" t="b">
        <v>0</v>
      </c>
      <c r="AI36" s="85" t="s">
        <v>473</v>
      </c>
      <c r="AJ36" s="85"/>
      <c r="AK36" s="93" t="s">
        <v>470</v>
      </c>
      <c r="AL36" s="85" t="b">
        <v>0</v>
      </c>
      <c r="AM36" s="85">
        <v>1</v>
      </c>
      <c r="AN36" s="93" t="s">
        <v>457</v>
      </c>
      <c r="AO36" s="85"/>
      <c r="AP36" s="85" t="b">
        <v>0</v>
      </c>
      <c r="AQ36" s="93" t="s">
        <v>457</v>
      </c>
      <c r="AR36" s="85" t="s">
        <v>213</v>
      </c>
      <c r="AS36" s="85">
        <v>0</v>
      </c>
      <c r="AT36" s="85">
        <v>0</v>
      </c>
      <c r="AU36" s="85"/>
      <c r="AV36" s="85"/>
      <c r="AW36" s="85"/>
      <c r="AX36" s="85"/>
      <c r="AY36" s="85"/>
      <c r="AZ36" s="85"/>
      <c r="BA36" s="85"/>
      <c r="BB36" s="85"/>
      <c r="BC36">
        <v>1</v>
      </c>
      <c r="BD36" s="84" t="str">
        <f>REPLACE(INDEX(GroupVertices[Group],MATCH(Edges[[#This Row],[Vertex 1]],GroupVertices[Vertex],0)),1,1,"")</f>
        <v>1</v>
      </c>
      <c r="BE36" s="84" t="str">
        <f>REPLACE(INDEX(GroupVertices[Group],MATCH(Edges[[#This Row],[Vertex 2]],GroupVertices[Vertex],0)),1,1,"")</f>
        <v>1</v>
      </c>
      <c r="BF36" s="51">
        <v>1</v>
      </c>
      <c r="BG36" s="52">
        <v>3.125</v>
      </c>
      <c r="BH36" s="51">
        <v>1</v>
      </c>
      <c r="BI36" s="52">
        <v>3.125</v>
      </c>
      <c r="BJ36" s="51">
        <v>0</v>
      </c>
      <c r="BK36" s="52">
        <v>0</v>
      </c>
      <c r="BL36" s="51">
        <v>30</v>
      </c>
      <c r="BM36" s="52">
        <v>93.75</v>
      </c>
      <c r="BN36" s="51">
        <v>32</v>
      </c>
    </row>
    <row r="37" spans="1:66" ht="30">
      <c r="A37" s="83" t="s">
        <v>266</v>
      </c>
      <c r="B37" s="83" t="s">
        <v>266</v>
      </c>
      <c r="C37" s="53" t="s">
        <v>1196</v>
      </c>
      <c r="D37" s="54">
        <v>4.166666666666667</v>
      </c>
      <c r="E37" s="66" t="s">
        <v>136</v>
      </c>
      <c r="F37" s="55">
        <v>30.761904761904763</v>
      </c>
      <c r="G37" s="53"/>
      <c r="H37" s="57"/>
      <c r="I37" s="56"/>
      <c r="J37" s="56"/>
      <c r="K37" s="36" t="s">
        <v>65</v>
      </c>
      <c r="L37" s="82">
        <v>37</v>
      </c>
      <c r="M37" s="82"/>
      <c r="N37" s="63"/>
      <c r="O37" s="85" t="s">
        <v>213</v>
      </c>
      <c r="P37" s="87">
        <v>44218.37579861111</v>
      </c>
      <c r="Q37" s="85" t="s">
        <v>308</v>
      </c>
      <c r="R37" s="85"/>
      <c r="S37" s="85"/>
      <c r="T37" s="85" t="s">
        <v>328</v>
      </c>
      <c r="U37" s="85"/>
      <c r="V37" s="89" t="str">
        <f>HYPERLINK("https://pbs.twimg.com/profile_images/774200422273875968/ABnszuB4_normal.jpg")</f>
        <v>https://pbs.twimg.com/profile_images/774200422273875968/ABnszuB4_normal.jpg</v>
      </c>
      <c r="W37" s="87">
        <v>44218.37579861111</v>
      </c>
      <c r="X37" s="91">
        <v>44218</v>
      </c>
      <c r="Y37" s="93" t="s">
        <v>360</v>
      </c>
      <c r="Z37" s="89" t="str">
        <f>HYPERLINK("https://twitter.com/rcpedin/status/1352541804881719297")</f>
        <v>https://twitter.com/rcpedin/status/1352541804881719297</v>
      </c>
      <c r="AA37" s="85"/>
      <c r="AB37" s="85"/>
      <c r="AC37" s="93" t="s">
        <v>429</v>
      </c>
      <c r="AD37" s="85"/>
      <c r="AE37" s="85" t="b">
        <v>0</v>
      </c>
      <c r="AF37" s="85">
        <v>3</v>
      </c>
      <c r="AG37" s="93" t="s">
        <v>470</v>
      </c>
      <c r="AH37" s="85" t="b">
        <v>0</v>
      </c>
      <c r="AI37" s="85" t="s">
        <v>473</v>
      </c>
      <c r="AJ37" s="85"/>
      <c r="AK37" s="93" t="s">
        <v>470</v>
      </c>
      <c r="AL37" s="85" t="b">
        <v>0</v>
      </c>
      <c r="AM37" s="85">
        <v>1</v>
      </c>
      <c r="AN37" s="93" t="s">
        <v>470</v>
      </c>
      <c r="AO37" s="85" t="s">
        <v>478</v>
      </c>
      <c r="AP37" s="85" t="b">
        <v>0</v>
      </c>
      <c r="AQ37" s="93" t="s">
        <v>429</v>
      </c>
      <c r="AR37" s="85" t="s">
        <v>213</v>
      </c>
      <c r="AS37" s="85">
        <v>0</v>
      </c>
      <c r="AT37" s="85">
        <v>0</v>
      </c>
      <c r="AU37" s="85"/>
      <c r="AV37" s="85"/>
      <c r="AW37" s="85"/>
      <c r="AX37" s="85"/>
      <c r="AY37" s="85"/>
      <c r="AZ37" s="85"/>
      <c r="BA37" s="85"/>
      <c r="BB37" s="85"/>
      <c r="BC37">
        <v>2</v>
      </c>
      <c r="BD37" s="84" t="str">
        <f>REPLACE(INDEX(GroupVertices[Group],MATCH(Edges[[#This Row],[Vertex 1]],GroupVertices[Vertex],0)),1,1,"")</f>
        <v>2</v>
      </c>
      <c r="BE37" s="84" t="str">
        <f>REPLACE(INDEX(GroupVertices[Group],MATCH(Edges[[#This Row],[Vertex 2]],GroupVertices[Vertex],0)),1,1,"")</f>
        <v>2</v>
      </c>
      <c r="BF37" s="51">
        <v>3</v>
      </c>
      <c r="BG37" s="52">
        <v>9.090909090909092</v>
      </c>
      <c r="BH37" s="51">
        <v>0</v>
      </c>
      <c r="BI37" s="52">
        <v>0</v>
      </c>
      <c r="BJ37" s="51">
        <v>0</v>
      </c>
      <c r="BK37" s="52">
        <v>0</v>
      </c>
      <c r="BL37" s="51">
        <v>30</v>
      </c>
      <c r="BM37" s="52">
        <v>90.9090909090909</v>
      </c>
      <c r="BN37" s="51">
        <v>33</v>
      </c>
    </row>
    <row r="38" spans="1:66" ht="30">
      <c r="A38" s="83" t="s">
        <v>266</v>
      </c>
      <c r="B38" s="83" t="s">
        <v>266</v>
      </c>
      <c r="C38" s="53" t="s">
        <v>1196</v>
      </c>
      <c r="D38" s="54">
        <v>4.166666666666667</v>
      </c>
      <c r="E38" s="66" t="s">
        <v>136</v>
      </c>
      <c r="F38" s="55">
        <v>30.761904761904763</v>
      </c>
      <c r="G38" s="53"/>
      <c r="H38" s="57"/>
      <c r="I38" s="56"/>
      <c r="J38" s="56"/>
      <c r="K38" s="36" t="s">
        <v>65</v>
      </c>
      <c r="L38" s="82">
        <v>38</v>
      </c>
      <c r="M38" s="82"/>
      <c r="N38" s="63"/>
      <c r="O38" s="85" t="s">
        <v>213</v>
      </c>
      <c r="P38" s="87">
        <v>44218.37716435185</v>
      </c>
      <c r="Q38" s="85" t="s">
        <v>309</v>
      </c>
      <c r="R38" s="85"/>
      <c r="S38" s="85"/>
      <c r="T38" s="85" t="s">
        <v>328</v>
      </c>
      <c r="U38" s="85"/>
      <c r="V38" s="89" t="str">
        <f>HYPERLINK("https://pbs.twimg.com/profile_images/774200422273875968/ABnszuB4_normal.jpg")</f>
        <v>https://pbs.twimg.com/profile_images/774200422273875968/ABnszuB4_normal.jpg</v>
      </c>
      <c r="W38" s="87">
        <v>44218.37716435185</v>
      </c>
      <c r="X38" s="91">
        <v>44218</v>
      </c>
      <c r="Y38" s="93" t="s">
        <v>361</v>
      </c>
      <c r="Z38" s="89" t="str">
        <f>HYPERLINK("https://twitter.com/rcpedin/status/1352542299541147648")</f>
        <v>https://twitter.com/rcpedin/status/1352542299541147648</v>
      </c>
      <c r="AA38" s="85"/>
      <c r="AB38" s="85"/>
      <c r="AC38" s="93" t="s">
        <v>430</v>
      </c>
      <c r="AD38" s="93" t="s">
        <v>429</v>
      </c>
      <c r="AE38" s="85" t="b">
        <v>0</v>
      </c>
      <c r="AF38" s="85">
        <v>0</v>
      </c>
      <c r="AG38" s="93" t="s">
        <v>472</v>
      </c>
      <c r="AH38" s="85" t="b">
        <v>0</v>
      </c>
      <c r="AI38" s="85" t="s">
        <v>473</v>
      </c>
      <c r="AJ38" s="85"/>
      <c r="AK38" s="93" t="s">
        <v>470</v>
      </c>
      <c r="AL38" s="85" t="b">
        <v>0</v>
      </c>
      <c r="AM38" s="85">
        <v>0</v>
      </c>
      <c r="AN38" s="93" t="s">
        <v>470</v>
      </c>
      <c r="AO38" s="85" t="s">
        <v>477</v>
      </c>
      <c r="AP38" s="85" t="b">
        <v>0</v>
      </c>
      <c r="AQ38" s="93" t="s">
        <v>429</v>
      </c>
      <c r="AR38" s="85" t="s">
        <v>213</v>
      </c>
      <c r="AS38" s="85">
        <v>0</v>
      </c>
      <c r="AT38" s="85">
        <v>0</v>
      </c>
      <c r="AU38" s="85"/>
      <c r="AV38" s="85"/>
      <c r="AW38" s="85"/>
      <c r="AX38" s="85"/>
      <c r="AY38" s="85"/>
      <c r="AZ38" s="85"/>
      <c r="BA38" s="85"/>
      <c r="BB38" s="85"/>
      <c r="BC38">
        <v>2</v>
      </c>
      <c r="BD38" s="84" t="str">
        <f>REPLACE(INDEX(GroupVertices[Group],MATCH(Edges[[#This Row],[Vertex 1]],GroupVertices[Vertex],0)),1,1,"")</f>
        <v>2</v>
      </c>
      <c r="BE38" s="84" t="str">
        <f>REPLACE(INDEX(GroupVertices[Group],MATCH(Edges[[#This Row],[Vertex 2]],GroupVertices[Vertex],0)),1,1,"")</f>
        <v>2</v>
      </c>
      <c r="BF38" s="51">
        <v>1</v>
      </c>
      <c r="BG38" s="52">
        <v>3.225806451612903</v>
      </c>
      <c r="BH38" s="51">
        <v>0</v>
      </c>
      <c r="BI38" s="52">
        <v>0</v>
      </c>
      <c r="BJ38" s="51">
        <v>0</v>
      </c>
      <c r="BK38" s="52">
        <v>0</v>
      </c>
      <c r="BL38" s="51">
        <v>30</v>
      </c>
      <c r="BM38" s="52">
        <v>96.7741935483871</v>
      </c>
      <c r="BN38" s="51">
        <v>31</v>
      </c>
    </row>
    <row r="39" spans="1:66" ht="15">
      <c r="A39" s="83" t="s">
        <v>267</v>
      </c>
      <c r="B39" s="83" t="s">
        <v>266</v>
      </c>
      <c r="C39" s="53" t="s">
        <v>1194</v>
      </c>
      <c r="D39" s="54">
        <v>3</v>
      </c>
      <c r="E39" s="66" t="s">
        <v>132</v>
      </c>
      <c r="F39" s="55">
        <v>32</v>
      </c>
      <c r="G39" s="53"/>
      <c r="H39" s="57"/>
      <c r="I39" s="56"/>
      <c r="J39" s="56"/>
      <c r="K39" s="36" t="s">
        <v>65</v>
      </c>
      <c r="L39" s="82">
        <v>39</v>
      </c>
      <c r="M39" s="82"/>
      <c r="N39" s="63"/>
      <c r="O39" s="85" t="s">
        <v>283</v>
      </c>
      <c r="P39" s="87">
        <v>44218.59038194444</v>
      </c>
      <c r="Q39" s="85" t="s">
        <v>308</v>
      </c>
      <c r="R39" s="85"/>
      <c r="S39" s="85"/>
      <c r="T39" s="85" t="s">
        <v>328</v>
      </c>
      <c r="U39" s="85"/>
      <c r="V39" s="89" t="str">
        <f>HYPERLINK("https://pbs.twimg.com/profile_images/1293901899368812545/ulOjlgJG_normal.jpg")</f>
        <v>https://pbs.twimg.com/profile_images/1293901899368812545/ulOjlgJG_normal.jpg</v>
      </c>
      <c r="W39" s="87">
        <v>44218.59038194444</v>
      </c>
      <c r="X39" s="91">
        <v>44218</v>
      </c>
      <c r="Y39" s="93" t="s">
        <v>362</v>
      </c>
      <c r="Z39" s="89" t="str">
        <f>HYPERLINK("https://twitter.com/medicinegov/status/1352619565138796550")</f>
        <v>https://twitter.com/medicinegov/status/1352619565138796550</v>
      </c>
      <c r="AA39" s="85"/>
      <c r="AB39" s="85"/>
      <c r="AC39" s="93" t="s">
        <v>431</v>
      </c>
      <c r="AD39" s="85"/>
      <c r="AE39" s="85" t="b">
        <v>0</v>
      </c>
      <c r="AF39" s="85">
        <v>0</v>
      </c>
      <c r="AG39" s="93" t="s">
        <v>470</v>
      </c>
      <c r="AH39" s="85" t="b">
        <v>0</v>
      </c>
      <c r="AI39" s="85" t="s">
        <v>473</v>
      </c>
      <c r="AJ39" s="85"/>
      <c r="AK39" s="93" t="s">
        <v>470</v>
      </c>
      <c r="AL39" s="85" t="b">
        <v>0</v>
      </c>
      <c r="AM39" s="85">
        <v>1</v>
      </c>
      <c r="AN39" s="93" t="s">
        <v>429</v>
      </c>
      <c r="AO39" s="85" t="s">
        <v>477</v>
      </c>
      <c r="AP39" s="85" t="b">
        <v>0</v>
      </c>
      <c r="AQ39" s="93" t="s">
        <v>429</v>
      </c>
      <c r="AR39" s="85" t="s">
        <v>213</v>
      </c>
      <c r="AS39" s="85">
        <v>0</v>
      </c>
      <c r="AT39" s="85">
        <v>0</v>
      </c>
      <c r="AU39" s="85"/>
      <c r="AV39" s="85"/>
      <c r="AW39" s="85"/>
      <c r="AX39" s="85"/>
      <c r="AY39" s="85"/>
      <c r="AZ39" s="85"/>
      <c r="BA39" s="85"/>
      <c r="BB39" s="85"/>
      <c r="BC39">
        <v>1</v>
      </c>
      <c r="BD39" s="84" t="str">
        <f>REPLACE(INDEX(GroupVertices[Group],MATCH(Edges[[#This Row],[Vertex 1]],GroupVertices[Vertex],0)),1,1,"")</f>
        <v>2</v>
      </c>
      <c r="BE39" s="84" t="str">
        <f>REPLACE(INDEX(GroupVertices[Group],MATCH(Edges[[#This Row],[Vertex 2]],GroupVertices[Vertex],0)),1,1,"")</f>
        <v>2</v>
      </c>
      <c r="BF39" s="51">
        <v>3</v>
      </c>
      <c r="BG39" s="52">
        <v>9.090909090909092</v>
      </c>
      <c r="BH39" s="51">
        <v>0</v>
      </c>
      <c r="BI39" s="52">
        <v>0</v>
      </c>
      <c r="BJ39" s="51">
        <v>0</v>
      </c>
      <c r="BK39" s="52">
        <v>0</v>
      </c>
      <c r="BL39" s="51">
        <v>30</v>
      </c>
      <c r="BM39" s="52">
        <v>90.9090909090909</v>
      </c>
      <c r="BN39" s="51">
        <v>33</v>
      </c>
    </row>
    <row r="40" spans="1:66" ht="15">
      <c r="A40" s="83" t="s">
        <v>268</v>
      </c>
      <c r="B40" s="83" t="s">
        <v>281</v>
      </c>
      <c r="C40" s="53" t="s">
        <v>1194</v>
      </c>
      <c r="D40" s="54">
        <v>3</v>
      </c>
      <c r="E40" s="66" t="s">
        <v>132</v>
      </c>
      <c r="F40" s="55">
        <v>32</v>
      </c>
      <c r="G40" s="53"/>
      <c r="H40" s="57"/>
      <c r="I40" s="56"/>
      <c r="J40" s="56"/>
      <c r="K40" s="36" t="s">
        <v>65</v>
      </c>
      <c r="L40" s="82">
        <v>40</v>
      </c>
      <c r="M40" s="82"/>
      <c r="N40" s="63"/>
      <c r="O40" s="85" t="s">
        <v>284</v>
      </c>
      <c r="P40" s="87">
        <v>44218.63113425926</v>
      </c>
      <c r="Q40" s="85" t="s">
        <v>310</v>
      </c>
      <c r="R40" s="85"/>
      <c r="S40" s="85"/>
      <c r="T40" s="85" t="s">
        <v>328</v>
      </c>
      <c r="U40" s="89" t="str">
        <f>HYPERLINK("https://pbs.twimg.com/media/EsV-1ttXYAYuvqw.jpg")</f>
        <v>https://pbs.twimg.com/media/EsV-1ttXYAYuvqw.jpg</v>
      </c>
      <c r="V40" s="89" t="str">
        <f>HYPERLINK("https://pbs.twimg.com/media/EsV-1ttXYAYuvqw.jpg")</f>
        <v>https://pbs.twimg.com/media/EsV-1ttXYAYuvqw.jpg</v>
      </c>
      <c r="W40" s="87">
        <v>44218.63113425926</v>
      </c>
      <c r="X40" s="91">
        <v>44218</v>
      </c>
      <c r="Y40" s="93" t="s">
        <v>363</v>
      </c>
      <c r="Z40" s="89" t="str">
        <f>HYPERLINK("https://twitter.com/vanitarora/status/1352634334742634496")</f>
        <v>https://twitter.com/vanitarora/status/1352634334742634496</v>
      </c>
      <c r="AA40" s="85"/>
      <c r="AB40" s="85"/>
      <c r="AC40" s="93" t="s">
        <v>432</v>
      </c>
      <c r="AD40" s="85"/>
      <c r="AE40" s="85" t="b">
        <v>0</v>
      </c>
      <c r="AF40" s="85">
        <v>0</v>
      </c>
      <c r="AG40" s="93" t="s">
        <v>470</v>
      </c>
      <c r="AH40" s="85" t="b">
        <v>0</v>
      </c>
      <c r="AI40" s="85" t="s">
        <v>473</v>
      </c>
      <c r="AJ40" s="85"/>
      <c r="AK40" s="93" t="s">
        <v>470</v>
      </c>
      <c r="AL40" s="85" t="b">
        <v>0</v>
      </c>
      <c r="AM40" s="85">
        <v>2</v>
      </c>
      <c r="AN40" s="93" t="s">
        <v>437</v>
      </c>
      <c r="AO40" s="85" t="s">
        <v>476</v>
      </c>
      <c r="AP40" s="85" t="b">
        <v>0</v>
      </c>
      <c r="AQ40" s="93" t="s">
        <v>437</v>
      </c>
      <c r="AR40" s="85" t="s">
        <v>213</v>
      </c>
      <c r="AS40" s="85">
        <v>0</v>
      </c>
      <c r="AT40" s="85">
        <v>0</v>
      </c>
      <c r="AU40" s="85"/>
      <c r="AV40" s="85"/>
      <c r="AW40" s="85"/>
      <c r="AX40" s="85"/>
      <c r="AY40" s="85"/>
      <c r="AZ40" s="85"/>
      <c r="BA40" s="85"/>
      <c r="BB40" s="85"/>
      <c r="BC40">
        <v>1</v>
      </c>
      <c r="BD40" s="84" t="str">
        <f>REPLACE(INDEX(GroupVertices[Group],MATCH(Edges[[#This Row],[Vertex 1]],GroupVertices[Vertex],0)),1,1,"")</f>
        <v>3</v>
      </c>
      <c r="BE40" s="84" t="str">
        <f>REPLACE(INDEX(GroupVertices[Group],MATCH(Edges[[#This Row],[Vertex 2]],GroupVertices[Vertex],0)),1,1,"")</f>
        <v>3</v>
      </c>
      <c r="BF40" s="51">
        <v>0</v>
      </c>
      <c r="BG40" s="52">
        <v>0</v>
      </c>
      <c r="BH40" s="51">
        <v>1</v>
      </c>
      <c r="BI40" s="52">
        <v>2.9411764705882355</v>
      </c>
      <c r="BJ40" s="51">
        <v>0</v>
      </c>
      <c r="BK40" s="52">
        <v>0</v>
      </c>
      <c r="BL40" s="51">
        <v>33</v>
      </c>
      <c r="BM40" s="52">
        <v>97.05882352941177</v>
      </c>
      <c r="BN40" s="51">
        <v>34</v>
      </c>
    </row>
    <row r="41" spans="1:66" ht="15">
      <c r="A41" s="83" t="s">
        <v>268</v>
      </c>
      <c r="B41" s="83" t="s">
        <v>272</v>
      </c>
      <c r="C41" s="53" t="s">
        <v>1194</v>
      </c>
      <c r="D41" s="54">
        <v>3</v>
      </c>
      <c r="E41" s="66" t="s">
        <v>132</v>
      </c>
      <c r="F41" s="55">
        <v>32</v>
      </c>
      <c r="G41" s="53"/>
      <c r="H41" s="57"/>
      <c r="I41" s="56"/>
      <c r="J41" s="56"/>
      <c r="K41" s="36" t="s">
        <v>65</v>
      </c>
      <c r="L41" s="82">
        <v>41</v>
      </c>
      <c r="M41" s="82"/>
      <c r="N41" s="63"/>
      <c r="O41" s="85" t="s">
        <v>283</v>
      </c>
      <c r="P41" s="87">
        <v>44218.63113425926</v>
      </c>
      <c r="Q41" s="85" t="s">
        <v>310</v>
      </c>
      <c r="R41" s="85"/>
      <c r="S41" s="85"/>
      <c r="T41" s="85" t="s">
        <v>328</v>
      </c>
      <c r="U41" s="89" t="str">
        <f>HYPERLINK("https://pbs.twimg.com/media/EsV-1ttXYAYuvqw.jpg")</f>
        <v>https://pbs.twimg.com/media/EsV-1ttXYAYuvqw.jpg</v>
      </c>
      <c r="V41" s="89" t="str">
        <f>HYPERLINK("https://pbs.twimg.com/media/EsV-1ttXYAYuvqw.jpg")</f>
        <v>https://pbs.twimg.com/media/EsV-1ttXYAYuvqw.jpg</v>
      </c>
      <c r="W41" s="87">
        <v>44218.63113425926</v>
      </c>
      <c r="X41" s="91">
        <v>44218</v>
      </c>
      <c r="Y41" s="93" t="s">
        <v>363</v>
      </c>
      <c r="Z41" s="89" t="str">
        <f>HYPERLINK("https://twitter.com/vanitarora/status/1352634334742634496")</f>
        <v>https://twitter.com/vanitarora/status/1352634334742634496</v>
      </c>
      <c r="AA41" s="85"/>
      <c r="AB41" s="85"/>
      <c r="AC41" s="93" t="s">
        <v>432</v>
      </c>
      <c r="AD41" s="85"/>
      <c r="AE41" s="85" t="b">
        <v>0</v>
      </c>
      <c r="AF41" s="85">
        <v>0</v>
      </c>
      <c r="AG41" s="93" t="s">
        <v>470</v>
      </c>
      <c r="AH41" s="85" t="b">
        <v>0</v>
      </c>
      <c r="AI41" s="85" t="s">
        <v>473</v>
      </c>
      <c r="AJ41" s="85"/>
      <c r="AK41" s="93" t="s">
        <v>470</v>
      </c>
      <c r="AL41" s="85" t="b">
        <v>0</v>
      </c>
      <c r="AM41" s="85">
        <v>2</v>
      </c>
      <c r="AN41" s="93" t="s">
        <v>437</v>
      </c>
      <c r="AO41" s="85" t="s">
        <v>476</v>
      </c>
      <c r="AP41" s="85" t="b">
        <v>0</v>
      </c>
      <c r="AQ41" s="93" t="s">
        <v>437</v>
      </c>
      <c r="AR41" s="85" t="s">
        <v>213</v>
      </c>
      <c r="AS41" s="85">
        <v>0</v>
      </c>
      <c r="AT41" s="85">
        <v>0</v>
      </c>
      <c r="AU41" s="85"/>
      <c r="AV41" s="85"/>
      <c r="AW41" s="85"/>
      <c r="AX41" s="85"/>
      <c r="AY41" s="85"/>
      <c r="AZ41" s="85"/>
      <c r="BA41" s="85"/>
      <c r="BB41" s="85"/>
      <c r="BC41">
        <v>1</v>
      </c>
      <c r="BD41" s="84" t="str">
        <f>REPLACE(INDEX(GroupVertices[Group],MATCH(Edges[[#This Row],[Vertex 1]],GroupVertices[Vertex],0)),1,1,"")</f>
        <v>3</v>
      </c>
      <c r="BE41" s="84" t="str">
        <f>REPLACE(INDEX(GroupVertices[Group],MATCH(Edges[[#This Row],[Vertex 2]],GroupVertices[Vertex],0)),1,1,"")</f>
        <v>1</v>
      </c>
      <c r="BF41" s="51"/>
      <c r="BG41" s="52"/>
      <c r="BH41" s="51"/>
      <c r="BI41" s="52"/>
      <c r="BJ41" s="51"/>
      <c r="BK41" s="52"/>
      <c r="BL41" s="51"/>
      <c r="BM41" s="52"/>
      <c r="BN41" s="51"/>
    </row>
    <row r="42" spans="1:66" ht="15">
      <c r="A42" s="83" t="s">
        <v>269</v>
      </c>
      <c r="B42" s="83" t="s">
        <v>272</v>
      </c>
      <c r="C42" s="53" t="s">
        <v>1194</v>
      </c>
      <c r="D42" s="54">
        <v>3</v>
      </c>
      <c r="E42" s="66" t="s">
        <v>132</v>
      </c>
      <c r="F42" s="55">
        <v>32</v>
      </c>
      <c r="G42" s="53"/>
      <c r="H42" s="57"/>
      <c r="I42" s="56"/>
      <c r="J42" s="56"/>
      <c r="K42" s="36" t="s">
        <v>65</v>
      </c>
      <c r="L42" s="82">
        <v>42</v>
      </c>
      <c r="M42" s="82"/>
      <c r="N42" s="63"/>
      <c r="O42" s="85" t="s">
        <v>283</v>
      </c>
      <c r="P42" s="87">
        <v>44218.74180555555</v>
      </c>
      <c r="Q42" s="85" t="s">
        <v>295</v>
      </c>
      <c r="R42" s="85"/>
      <c r="S42" s="85"/>
      <c r="T42" s="85" t="s">
        <v>328</v>
      </c>
      <c r="U42" s="89" t="str">
        <f>HYPERLINK("https://pbs.twimg.com/tweet_video_thumb/EsVf83GXIAIlMXm.jpg")</f>
        <v>https://pbs.twimg.com/tweet_video_thumb/EsVf83GXIAIlMXm.jpg</v>
      </c>
      <c r="V42" s="89" t="str">
        <f>HYPERLINK("https://pbs.twimg.com/tweet_video_thumb/EsVf83GXIAIlMXm.jpg")</f>
        <v>https://pbs.twimg.com/tweet_video_thumb/EsVf83GXIAIlMXm.jpg</v>
      </c>
      <c r="W42" s="87">
        <v>44218.74180555555</v>
      </c>
      <c r="X42" s="91">
        <v>44218</v>
      </c>
      <c r="Y42" s="93" t="s">
        <v>364</v>
      </c>
      <c r="Z42" s="89" t="str">
        <f>HYPERLINK("https://twitter.com/edinburghstroke/status/1352674440228831233")</f>
        <v>https://twitter.com/edinburghstroke/status/1352674440228831233</v>
      </c>
      <c r="AA42" s="85"/>
      <c r="AB42" s="85"/>
      <c r="AC42" s="93" t="s">
        <v>433</v>
      </c>
      <c r="AD42" s="85"/>
      <c r="AE42" s="85" t="b">
        <v>0</v>
      </c>
      <c r="AF42" s="85">
        <v>0</v>
      </c>
      <c r="AG42" s="93" t="s">
        <v>470</v>
      </c>
      <c r="AH42" s="85" t="b">
        <v>0</v>
      </c>
      <c r="AI42" s="85" t="s">
        <v>473</v>
      </c>
      <c r="AJ42" s="85"/>
      <c r="AK42" s="93" t="s">
        <v>470</v>
      </c>
      <c r="AL42" s="85" t="b">
        <v>0</v>
      </c>
      <c r="AM42" s="85">
        <v>3</v>
      </c>
      <c r="AN42" s="93" t="s">
        <v>454</v>
      </c>
      <c r="AO42" s="85" t="s">
        <v>479</v>
      </c>
      <c r="AP42" s="85" t="b">
        <v>0</v>
      </c>
      <c r="AQ42" s="93" t="s">
        <v>454</v>
      </c>
      <c r="AR42" s="85" t="s">
        <v>213</v>
      </c>
      <c r="AS42" s="85">
        <v>0</v>
      </c>
      <c r="AT42" s="85">
        <v>0</v>
      </c>
      <c r="AU42" s="85"/>
      <c r="AV42" s="85"/>
      <c r="AW42" s="85"/>
      <c r="AX42" s="85"/>
      <c r="AY42" s="85"/>
      <c r="AZ42" s="85"/>
      <c r="BA42" s="85"/>
      <c r="BB42" s="85"/>
      <c r="BC42">
        <v>1</v>
      </c>
      <c r="BD42" s="84" t="str">
        <f>REPLACE(INDEX(GroupVertices[Group],MATCH(Edges[[#This Row],[Vertex 1]],GroupVertices[Vertex],0)),1,1,"")</f>
        <v>1</v>
      </c>
      <c r="BE42" s="84" t="str">
        <f>REPLACE(INDEX(GroupVertices[Group],MATCH(Edges[[#This Row],[Vertex 2]],GroupVertices[Vertex],0)),1,1,"")</f>
        <v>1</v>
      </c>
      <c r="BF42" s="51">
        <v>2</v>
      </c>
      <c r="BG42" s="52">
        <v>5.882352941176471</v>
      </c>
      <c r="BH42" s="51">
        <v>0</v>
      </c>
      <c r="BI42" s="52">
        <v>0</v>
      </c>
      <c r="BJ42" s="51">
        <v>0</v>
      </c>
      <c r="BK42" s="52">
        <v>0</v>
      </c>
      <c r="BL42" s="51">
        <v>32</v>
      </c>
      <c r="BM42" s="52">
        <v>94.11764705882354</v>
      </c>
      <c r="BN42" s="51">
        <v>34</v>
      </c>
    </row>
    <row r="43" spans="1:66" ht="15">
      <c r="A43" s="83" t="s">
        <v>270</v>
      </c>
      <c r="B43" s="83" t="s">
        <v>272</v>
      </c>
      <c r="C43" s="53" t="s">
        <v>1194</v>
      </c>
      <c r="D43" s="54">
        <v>3</v>
      </c>
      <c r="E43" s="66" t="s">
        <v>132</v>
      </c>
      <c r="F43" s="55">
        <v>32</v>
      </c>
      <c r="G43" s="53"/>
      <c r="H43" s="57"/>
      <c r="I43" s="56"/>
      <c r="J43" s="56"/>
      <c r="K43" s="36" t="s">
        <v>65</v>
      </c>
      <c r="L43" s="82">
        <v>43</v>
      </c>
      <c r="M43" s="82"/>
      <c r="N43" s="63"/>
      <c r="O43" s="85" t="s">
        <v>283</v>
      </c>
      <c r="P43" s="87">
        <v>44218.77877314815</v>
      </c>
      <c r="Q43" s="85" t="s">
        <v>289</v>
      </c>
      <c r="R43" s="85"/>
      <c r="S43" s="85"/>
      <c r="T43" s="85" t="s">
        <v>328</v>
      </c>
      <c r="U43" s="85"/>
      <c r="V43" s="89" t="str">
        <f>HYPERLINK("https://pbs.twimg.com/profile_images/1283809872123957254/10oO8KFN_normal.jpg")</f>
        <v>https://pbs.twimg.com/profile_images/1283809872123957254/10oO8KFN_normal.jpg</v>
      </c>
      <c r="W43" s="87">
        <v>44218.77877314815</v>
      </c>
      <c r="X43" s="91">
        <v>44218</v>
      </c>
      <c r="Y43" s="93" t="s">
        <v>365</v>
      </c>
      <c r="Z43" s="89" t="str">
        <f>HYPERLINK("https://twitter.com/drzakakhan/status/1352687836005330944")</f>
        <v>https://twitter.com/drzakakhan/status/1352687836005330944</v>
      </c>
      <c r="AA43" s="85"/>
      <c r="AB43" s="85"/>
      <c r="AC43" s="93" t="s">
        <v>434</v>
      </c>
      <c r="AD43" s="85"/>
      <c r="AE43" s="85" t="b">
        <v>0</v>
      </c>
      <c r="AF43" s="85">
        <v>0</v>
      </c>
      <c r="AG43" s="93" t="s">
        <v>470</v>
      </c>
      <c r="AH43" s="85" t="b">
        <v>0</v>
      </c>
      <c r="AI43" s="85" t="s">
        <v>473</v>
      </c>
      <c r="AJ43" s="85"/>
      <c r="AK43" s="93" t="s">
        <v>470</v>
      </c>
      <c r="AL43" s="85" t="b">
        <v>0</v>
      </c>
      <c r="AM43" s="85">
        <v>4</v>
      </c>
      <c r="AN43" s="93" t="s">
        <v>447</v>
      </c>
      <c r="AO43" s="85" t="s">
        <v>475</v>
      </c>
      <c r="AP43" s="85" t="b">
        <v>0</v>
      </c>
      <c r="AQ43" s="93" t="s">
        <v>447</v>
      </c>
      <c r="AR43" s="85" t="s">
        <v>213</v>
      </c>
      <c r="AS43" s="85">
        <v>0</v>
      </c>
      <c r="AT43" s="85">
        <v>0</v>
      </c>
      <c r="AU43" s="85"/>
      <c r="AV43" s="85"/>
      <c r="AW43" s="85"/>
      <c r="AX43" s="85"/>
      <c r="AY43" s="85"/>
      <c r="AZ43" s="85"/>
      <c r="BA43" s="85"/>
      <c r="BB43" s="85"/>
      <c r="BC43">
        <v>1</v>
      </c>
      <c r="BD43" s="84" t="str">
        <f>REPLACE(INDEX(GroupVertices[Group],MATCH(Edges[[#This Row],[Vertex 1]],GroupVertices[Vertex],0)),1,1,"")</f>
        <v>1</v>
      </c>
      <c r="BE43" s="84" t="str">
        <f>REPLACE(INDEX(GroupVertices[Group],MATCH(Edges[[#This Row],[Vertex 2]],GroupVertices[Vertex],0)),1,1,"")</f>
        <v>1</v>
      </c>
      <c r="BF43" s="51">
        <v>0</v>
      </c>
      <c r="BG43" s="52">
        <v>0</v>
      </c>
      <c r="BH43" s="51">
        <v>1</v>
      </c>
      <c r="BI43" s="52">
        <v>4.3478260869565215</v>
      </c>
      <c r="BJ43" s="51">
        <v>0</v>
      </c>
      <c r="BK43" s="52">
        <v>0</v>
      </c>
      <c r="BL43" s="51">
        <v>22</v>
      </c>
      <c r="BM43" s="52">
        <v>95.65217391304348</v>
      </c>
      <c r="BN43" s="51">
        <v>23</v>
      </c>
    </row>
    <row r="44" spans="1:66" ht="15">
      <c r="A44" s="83" t="s">
        <v>271</v>
      </c>
      <c r="B44" s="83" t="s">
        <v>272</v>
      </c>
      <c r="C44" s="53" t="s">
        <v>1194</v>
      </c>
      <c r="D44" s="54">
        <v>3</v>
      </c>
      <c r="E44" s="66" t="s">
        <v>132</v>
      </c>
      <c r="F44" s="55">
        <v>32</v>
      </c>
      <c r="G44" s="53"/>
      <c r="H44" s="57"/>
      <c r="I44" s="56"/>
      <c r="J44" s="56"/>
      <c r="K44" s="36" t="s">
        <v>65</v>
      </c>
      <c r="L44" s="82">
        <v>44</v>
      </c>
      <c r="M44" s="82"/>
      <c r="N44" s="63"/>
      <c r="O44" s="85" t="s">
        <v>283</v>
      </c>
      <c r="P44" s="87">
        <v>44219.11740740741</v>
      </c>
      <c r="Q44" s="85" t="s">
        <v>311</v>
      </c>
      <c r="R44" s="85"/>
      <c r="S44" s="85"/>
      <c r="T44" s="85" t="s">
        <v>328</v>
      </c>
      <c r="U44" s="89" t="str">
        <f>HYPERLINK("https://pbs.twimg.com/media/EsV4ftxW8AELq30.jpg")</f>
        <v>https://pbs.twimg.com/media/EsV4ftxW8AELq30.jpg</v>
      </c>
      <c r="V44" s="89" t="str">
        <f>HYPERLINK("https://pbs.twimg.com/media/EsV4ftxW8AELq30.jpg")</f>
        <v>https://pbs.twimg.com/media/EsV4ftxW8AELq30.jpg</v>
      </c>
      <c r="W44" s="87">
        <v>44219.11740740741</v>
      </c>
      <c r="X44" s="91">
        <v>44219</v>
      </c>
      <c r="Y44" s="93" t="s">
        <v>366</v>
      </c>
      <c r="Z44" s="89" t="str">
        <f>HYPERLINK("https://twitter.com/kemuol/status/1352810551781584897")</f>
        <v>https://twitter.com/kemuol/status/1352810551781584897</v>
      </c>
      <c r="AA44" s="85"/>
      <c r="AB44" s="85"/>
      <c r="AC44" s="93" t="s">
        <v>435</v>
      </c>
      <c r="AD44" s="85"/>
      <c r="AE44" s="85" t="b">
        <v>0</v>
      </c>
      <c r="AF44" s="85">
        <v>0</v>
      </c>
      <c r="AG44" s="93" t="s">
        <v>470</v>
      </c>
      <c r="AH44" s="85" t="b">
        <v>0</v>
      </c>
      <c r="AI44" s="85" t="s">
        <v>473</v>
      </c>
      <c r="AJ44" s="85"/>
      <c r="AK44" s="93" t="s">
        <v>470</v>
      </c>
      <c r="AL44" s="85" t="b">
        <v>0</v>
      </c>
      <c r="AM44" s="85">
        <v>1</v>
      </c>
      <c r="AN44" s="93" t="s">
        <v>460</v>
      </c>
      <c r="AO44" s="85" t="s">
        <v>476</v>
      </c>
      <c r="AP44" s="85" t="b">
        <v>0</v>
      </c>
      <c r="AQ44" s="93" t="s">
        <v>460</v>
      </c>
      <c r="AR44" s="85" t="s">
        <v>213</v>
      </c>
      <c r="AS44" s="85">
        <v>0</v>
      </c>
      <c r="AT44" s="85">
        <v>0</v>
      </c>
      <c r="AU44" s="85"/>
      <c r="AV44" s="85"/>
      <c r="AW44" s="85"/>
      <c r="AX44" s="85"/>
      <c r="AY44" s="85"/>
      <c r="AZ44" s="85"/>
      <c r="BA44" s="85"/>
      <c r="BB44" s="85"/>
      <c r="BC44">
        <v>1</v>
      </c>
      <c r="BD44" s="84" t="str">
        <f>REPLACE(INDEX(GroupVertices[Group],MATCH(Edges[[#This Row],[Vertex 1]],GroupVertices[Vertex],0)),1,1,"")</f>
        <v>1</v>
      </c>
      <c r="BE44" s="84" t="str">
        <f>REPLACE(INDEX(GroupVertices[Group],MATCH(Edges[[#This Row],[Vertex 2]],GroupVertices[Vertex],0)),1,1,"")</f>
        <v>1</v>
      </c>
      <c r="BF44" s="51">
        <v>0</v>
      </c>
      <c r="BG44" s="52">
        <v>0</v>
      </c>
      <c r="BH44" s="51">
        <v>1</v>
      </c>
      <c r="BI44" s="52">
        <v>4.166666666666667</v>
      </c>
      <c r="BJ44" s="51">
        <v>0</v>
      </c>
      <c r="BK44" s="52">
        <v>0</v>
      </c>
      <c r="BL44" s="51">
        <v>23</v>
      </c>
      <c r="BM44" s="52">
        <v>95.83333333333333</v>
      </c>
      <c r="BN44" s="51">
        <v>24</v>
      </c>
    </row>
    <row r="45" spans="1:66" ht="30">
      <c r="A45" s="83" t="s">
        <v>272</v>
      </c>
      <c r="B45" s="83" t="s">
        <v>281</v>
      </c>
      <c r="C45" s="53" t="s">
        <v>1196</v>
      </c>
      <c r="D45" s="54">
        <v>4.166666666666667</v>
      </c>
      <c r="E45" s="66" t="s">
        <v>136</v>
      </c>
      <c r="F45" s="55">
        <v>30.761904761904763</v>
      </c>
      <c r="G45" s="53"/>
      <c r="H45" s="57"/>
      <c r="I45" s="56"/>
      <c r="J45" s="56"/>
      <c r="K45" s="36" t="s">
        <v>65</v>
      </c>
      <c r="L45" s="82">
        <v>45</v>
      </c>
      <c r="M45" s="82"/>
      <c r="N45" s="63"/>
      <c r="O45" s="85" t="s">
        <v>285</v>
      </c>
      <c r="P45" s="87">
        <v>44218.60372685185</v>
      </c>
      <c r="Q45" s="85" t="s">
        <v>312</v>
      </c>
      <c r="R45" s="85"/>
      <c r="S45" s="85"/>
      <c r="T45" s="85" t="s">
        <v>328</v>
      </c>
      <c r="U45" s="85"/>
      <c r="V45" s="89" t="str">
        <f>HYPERLINK("https://pbs.twimg.com/profile_images/774228058844852225/Z_rQuUK2_normal.jpg")</f>
        <v>https://pbs.twimg.com/profile_images/774228058844852225/Z_rQuUK2_normal.jpg</v>
      </c>
      <c r="W45" s="87">
        <v>44218.60372685185</v>
      </c>
      <c r="X45" s="91">
        <v>44218</v>
      </c>
      <c r="Y45" s="93" t="s">
        <v>367</v>
      </c>
      <c r="Z45" s="89" t="str">
        <f>HYPERLINK("https://twitter.com/rcpedintrainees/status/1352624403503308804")</f>
        <v>https://twitter.com/rcpedintrainees/status/1352624403503308804</v>
      </c>
      <c r="AA45" s="85"/>
      <c r="AB45" s="85"/>
      <c r="AC45" s="93" t="s">
        <v>436</v>
      </c>
      <c r="AD45" s="85"/>
      <c r="AE45" s="85" t="b">
        <v>0</v>
      </c>
      <c r="AF45" s="85">
        <v>1</v>
      </c>
      <c r="AG45" s="93" t="s">
        <v>470</v>
      </c>
      <c r="AH45" s="85" t="b">
        <v>0</v>
      </c>
      <c r="AI45" s="85" t="s">
        <v>473</v>
      </c>
      <c r="AJ45" s="85"/>
      <c r="AK45" s="93" t="s">
        <v>470</v>
      </c>
      <c r="AL45" s="85" t="b">
        <v>0</v>
      </c>
      <c r="AM45" s="85">
        <v>1</v>
      </c>
      <c r="AN45" s="93" t="s">
        <v>470</v>
      </c>
      <c r="AO45" s="85" t="s">
        <v>477</v>
      </c>
      <c r="AP45" s="85" t="b">
        <v>0</v>
      </c>
      <c r="AQ45" s="93" t="s">
        <v>436</v>
      </c>
      <c r="AR45" s="85" t="s">
        <v>213</v>
      </c>
      <c r="AS45" s="85">
        <v>0</v>
      </c>
      <c r="AT45" s="85">
        <v>0</v>
      </c>
      <c r="AU45" s="85"/>
      <c r="AV45" s="85"/>
      <c r="AW45" s="85"/>
      <c r="AX45" s="85"/>
      <c r="AY45" s="85"/>
      <c r="AZ45" s="85"/>
      <c r="BA45" s="85"/>
      <c r="BB45" s="85"/>
      <c r="BC45">
        <v>2</v>
      </c>
      <c r="BD45" s="84" t="str">
        <f>REPLACE(INDEX(GroupVertices[Group],MATCH(Edges[[#This Row],[Vertex 1]],GroupVertices[Vertex],0)),1,1,"")</f>
        <v>1</v>
      </c>
      <c r="BE45" s="84" t="str">
        <f>REPLACE(INDEX(GroupVertices[Group],MATCH(Edges[[#This Row],[Vertex 2]],GroupVertices[Vertex],0)),1,1,"")</f>
        <v>3</v>
      </c>
      <c r="BF45" s="51">
        <v>1</v>
      </c>
      <c r="BG45" s="52">
        <v>4.761904761904762</v>
      </c>
      <c r="BH45" s="51">
        <v>1</v>
      </c>
      <c r="BI45" s="52">
        <v>4.761904761904762</v>
      </c>
      <c r="BJ45" s="51">
        <v>0</v>
      </c>
      <c r="BK45" s="52">
        <v>0</v>
      </c>
      <c r="BL45" s="51">
        <v>19</v>
      </c>
      <c r="BM45" s="52">
        <v>90.47619047619048</v>
      </c>
      <c r="BN45" s="51">
        <v>21</v>
      </c>
    </row>
    <row r="46" spans="1:66" ht="30">
      <c r="A46" s="83" t="s">
        <v>272</v>
      </c>
      <c r="B46" s="83" t="s">
        <v>281</v>
      </c>
      <c r="C46" s="53" t="s">
        <v>1196</v>
      </c>
      <c r="D46" s="54">
        <v>4.166666666666667</v>
      </c>
      <c r="E46" s="66" t="s">
        <v>136</v>
      </c>
      <c r="F46" s="55">
        <v>30.761904761904763</v>
      </c>
      <c r="G46" s="53"/>
      <c r="H46" s="57"/>
      <c r="I46" s="56"/>
      <c r="J46" s="56"/>
      <c r="K46" s="36" t="s">
        <v>65</v>
      </c>
      <c r="L46" s="82">
        <v>46</v>
      </c>
      <c r="M46" s="82"/>
      <c r="N46" s="63"/>
      <c r="O46" s="85" t="s">
        <v>285</v>
      </c>
      <c r="P46" s="87">
        <v>44218.61052083333</v>
      </c>
      <c r="Q46" s="85" t="s">
        <v>310</v>
      </c>
      <c r="R46" s="85"/>
      <c r="S46" s="85"/>
      <c r="T46" s="85" t="s">
        <v>328</v>
      </c>
      <c r="U46" s="89" t="str">
        <f>HYPERLINK("https://pbs.twimg.com/media/EsV-1ttXYAYuvqw.jpg")</f>
        <v>https://pbs.twimg.com/media/EsV-1ttXYAYuvqw.jpg</v>
      </c>
      <c r="V46" s="89" t="str">
        <f>HYPERLINK("https://pbs.twimg.com/media/EsV-1ttXYAYuvqw.jpg")</f>
        <v>https://pbs.twimg.com/media/EsV-1ttXYAYuvqw.jpg</v>
      </c>
      <c r="W46" s="87">
        <v>44218.61052083333</v>
      </c>
      <c r="X46" s="91">
        <v>44218</v>
      </c>
      <c r="Y46" s="93" t="s">
        <v>368</v>
      </c>
      <c r="Z46" s="89" t="str">
        <f>HYPERLINK("https://twitter.com/rcpedintrainees/status/1352626861822631941")</f>
        <v>https://twitter.com/rcpedintrainees/status/1352626861822631941</v>
      </c>
      <c r="AA46" s="85"/>
      <c r="AB46" s="85"/>
      <c r="AC46" s="93" t="s">
        <v>437</v>
      </c>
      <c r="AD46" s="85"/>
      <c r="AE46" s="85" t="b">
        <v>0</v>
      </c>
      <c r="AF46" s="85">
        <v>5</v>
      </c>
      <c r="AG46" s="93" t="s">
        <v>470</v>
      </c>
      <c r="AH46" s="85" t="b">
        <v>0</v>
      </c>
      <c r="AI46" s="85" t="s">
        <v>473</v>
      </c>
      <c r="AJ46" s="85"/>
      <c r="AK46" s="93" t="s">
        <v>470</v>
      </c>
      <c r="AL46" s="85" t="b">
        <v>0</v>
      </c>
      <c r="AM46" s="85">
        <v>2</v>
      </c>
      <c r="AN46" s="93" t="s">
        <v>470</v>
      </c>
      <c r="AO46" s="85" t="s">
        <v>477</v>
      </c>
      <c r="AP46" s="85" t="b">
        <v>0</v>
      </c>
      <c r="AQ46" s="93" t="s">
        <v>437</v>
      </c>
      <c r="AR46" s="85" t="s">
        <v>213</v>
      </c>
      <c r="AS46" s="85">
        <v>0</v>
      </c>
      <c r="AT46" s="85">
        <v>0</v>
      </c>
      <c r="AU46" s="85"/>
      <c r="AV46" s="85"/>
      <c r="AW46" s="85"/>
      <c r="AX46" s="85"/>
      <c r="AY46" s="85"/>
      <c r="AZ46" s="85"/>
      <c r="BA46" s="85"/>
      <c r="BB46" s="85"/>
      <c r="BC46">
        <v>2</v>
      </c>
      <c r="BD46" s="84" t="str">
        <f>REPLACE(INDEX(GroupVertices[Group],MATCH(Edges[[#This Row],[Vertex 1]],GroupVertices[Vertex],0)),1,1,"")</f>
        <v>1</v>
      </c>
      <c r="BE46" s="84" t="str">
        <f>REPLACE(INDEX(GroupVertices[Group],MATCH(Edges[[#This Row],[Vertex 2]],GroupVertices[Vertex],0)),1,1,"")</f>
        <v>3</v>
      </c>
      <c r="BF46" s="51">
        <v>0</v>
      </c>
      <c r="BG46" s="52">
        <v>0</v>
      </c>
      <c r="BH46" s="51">
        <v>1</v>
      </c>
      <c r="BI46" s="52">
        <v>2.9411764705882355</v>
      </c>
      <c r="BJ46" s="51">
        <v>0</v>
      </c>
      <c r="BK46" s="52">
        <v>0</v>
      </c>
      <c r="BL46" s="51">
        <v>33</v>
      </c>
      <c r="BM46" s="52">
        <v>97.05882352941177</v>
      </c>
      <c r="BN46" s="51">
        <v>34</v>
      </c>
    </row>
    <row r="47" spans="1:66" ht="15">
      <c r="A47" s="83" t="s">
        <v>273</v>
      </c>
      <c r="B47" s="83" t="s">
        <v>281</v>
      </c>
      <c r="C47" s="53" t="s">
        <v>1194</v>
      </c>
      <c r="D47" s="54">
        <v>3</v>
      </c>
      <c r="E47" s="66" t="s">
        <v>132</v>
      </c>
      <c r="F47" s="55">
        <v>32</v>
      </c>
      <c r="G47" s="53"/>
      <c r="H47" s="57"/>
      <c r="I47" s="56"/>
      <c r="J47" s="56"/>
      <c r="K47" s="36" t="s">
        <v>65</v>
      </c>
      <c r="L47" s="82">
        <v>47</v>
      </c>
      <c r="M47" s="82"/>
      <c r="N47" s="63"/>
      <c r="O47" s="85" t="s">
        <v>284</v>
      </c>
      <c r="P47" s="87">
        <v>44218.61858796296</v>
      </c>
      <c r="Q47" s="85" t="s">
        <v>312</v>
      </c>
      <c r="R47" s="85"/>
      <c r="S47" s="85"/>
      <c r="T47" s="85" t="s">
        <v>328</v>
      </c>
      <c r="U47" s="85"/>
      <c r="V47" s="89" t="str">
        <f>HYPERLINK("https://pbs.twimg.com/profile_images/763810887023157248/xL7PikMR_normal.jpg")</f>
        <v>https://pbs.twimg.com/profile_images/763810887023157248/xL7PikMR_normal.jpg</v>
      </c>
      <c r="W47" s="87">
        <v>44218.61858796296</v>
      </c>
      <c r="X47" s="91">
        <v>44218</v>
      </c>
      <c r="Y47" s="93" t="s">
        <v>369</v>
      </c>
      <c r="Z47" s="89" t="str">
        <f>HYPERLINK("https://twitter.com/tinahen08/status/1352629788838678529")</f>
        <v>https://twitter.com/tinahen08/status/1352629788838678529</v>
      </c>
      <c r="AA47" s="85"/>
      <c r="AB47" s="85"/>
      <c r="AC47" s="93" t="s">
        <v>438</v>
      </c>
      <c r="AD47" s="85"/>
      <c r="AE47" s="85" t="b">
        <v>0</v>
      </c>
      <c r="AF47" s="85">
        <v>0</v>
      </c>
      <c r="AG47" s="93" t="s">
        <v>470</v>
      </c>
      <c r="AH47" s="85" t="b">
        <v>0</v>
      </c>
      <c r="AI47" s="85" t="s">
        <v>473</v>
      </c>
      <c r="AJ47" s="85"/>
      <c r="AK47" s="93" t="s">
        <v>470</v>
      </c>
      <c r="AL47" s="85" t="b">
        <v>0</v>
      </c>
      <c r="AM47" s="85">
        <v>1</v>
      </c>
      <c r="AN47" s="93" t="s">
        <v>436</v>
      </c>
      <c r="AO47" s="85" t="s">
        <v>475</v>
      </c>
      <c r="AP47" s="85" t="b">
        <v>0</v>
      </c>
      <c r="AQ47" s="93" t="s">
        <v>436</v>
      </c>
      <c r="AR47" s="85" t="s">
        <v>213</v>
      </c>
      <c r="AS47" s="85">
        <v>0</v>
      </c>
      <c r="AT47" s="85">
        <v>0</v>
      </c>
      <c r="AU47" s="85"/>
      <c r="AV47" s="85"/>
      <c r="AW47" s="85"/>
      <c r="AX47" s="85"/>
      <c r="AY47" s="85"/>
      <c r="AZ47" s="85"/>
      <c r="BA47" s="85"/>
      <c r="BB47" s="85"/>
      <c r="BC47">
        <v>1</v>
      </c>
      <c r="BD47" s="84" t="str">
        <f>REPLACE(INDEX(GroupVertices[Group],MATCH(Edges[[#This Row],[Vertex 1]],GroupVertices[Vertex],0)),1,1,"")</f>
        <v>3</v>
      </c>
      <c r="BE47" s="84" t="str">
        <f>REPLACE(INDEX(GroupVertices[Group],MATCH(Edges[[#This Row],[Vertex 2]],GroupVertices[Vertex],0)),1,1,"")</f>
        <v>3</v>
      </c>
      <c r="BF47" s="51"/>
      <c r="BG47" s="52"/>
      <c r="BH47" s="51"/>
      <c r="BI47" s="52"/>
      <c r="BJ47" s="51"/>
      <c r="BK47" s="52"/>
      <c r="BL47" s="51"/>
      <c r="BM47" s="52"/>
      <c r="BN47" s="51"/>
    </row>
    <row r="48" spans="1:66" ht="15">
      <c r="A48" s="83" t="s">
        <v>272</v>
      </c>
      <c r="B48" s="83" t="s">
        <v>275</v>
      </c>
      <c r="C48" s="53" t="s">
        <v>1194</v>
      </c>
      <c r="D48" s="54">
        <v>3</v>
      </c>
      <c r="E48" s="66" t="s">
        <v>132</v>
      </c>
      <c r="F48" s="55">
        <v>32</v>
      </c>
      <c r="G48" s="53"/>
      <c r="H48" s="57"/>
      <c r="I48" s="56"/>
      <c r="J48" s="56"/>
      <c r="K48" s="36" t="s">
        <v>65</v>
      </c>
      <c r="L48" s="82">
        <v>48</v>
      </c>
      <c r="M48" s="82"/>
      <c r="N48" s="63"/>
      <c r="O48" s="85" t="s">
        <v>285</v>
      </c>
      <c r="P48" s="87">
        <v>44218.42787037037</v>
      </c>
      <c r="Q48" s="85" t="s">
        <v>293</v>
      </c>
      <c r="R48" s="85"/>
      <c r="S48" s="85"/>
      <c r="T48" s="85" t="s">
        <v>328</v>
      </c>
      <c r="U48" s="89" t="str">
        <f>HYPERLINK("https://pbs.twimg.com/media/EsVCPJAXEAENCgh.jpg")</f>
        <v>https://pbs.twimg.com/media/EsVCPJAXEAENCgh.jpg</v>
      </c>
      <c r="V48" s="89" t="str">
        <f>HYPERLINK("https://pbs.twimg.com/media/EsVCPJAXEAENCgh.jpg")</f>
        <v>https://pbs.twimg.com/media/EsVCPJAXEAENCgh.jpg</v>
      </c>
      <c r="W48" s="87">
        <v>44218.42787037037</v>
      </c>
      <c r="X48" s="91">
        <v>44218</v>
      </c>
      <c r="Y48" s="93" t="s">
        <v>370</v>
      </c>
      <c r="Z48" s="89" t="str">
        <f>HYPERLINK("https://twitter.com/rcpedintrainees/status/1352560671636992000")</f>
        <v>https://twitter.com/rcpedintrainees/status/1352560671636992000</v>
      </c>
      <c r="AA48" s="85"/>
      <c r="AB48" s="85"/>
      <c r="AC48" s="93" t="s">
        <v>439</v>
      </c>
      <c r="AD48" s="85"/>
      <c r="AE48" s="85" t="b">
        <v>0</v>
      </c>
      <c r="AF48" s="85">
        <v>12</v>
      </c>
      <c r="AG48" s="93" t="s">
        <v>470</v>
      </c>
      <c r="AH48" s="85" t="b">
        <v>0</v>
      </c>
      <c r="AI48" s="85" t="s">
        <v>473</v>
      </c>
      <c r="AJ48" s="85"/>
      <c r="AK48" s="93" t="s">
        <v>470</v>
      </c>
      <c r="AL48" s="85" t="b">
        <v>0</v>
      </c>
      <c r="AM48" s="85">
        <v>4</v>
      </c>
      <c r="AN48" s="93" t="s">
        <v>470</v>
      </c>
      <c r="AO48" s="85" t="s">
        <v>477</v>
      </c>
      <c r="AP48" s="85" t="b">
        <v>0</v>
      </c>
      <c r="AQ48" s="93" t="s">
        <v>439</v>
      </c>
      <c r="AR48" s="85" t="s">
        <v>213</v>
      </c>
      <c r="AS48" s="85">
        <v>0</v>
      </c>
      <c r="AT48" s="85">
        <v>0</v>
      </c>
      <c r="AU48" s="85"/>
      <c r="AV48" s="85"/>
      <c r="AW48" s="85"/>
      <c r="AX48" s="85"/>
      <c r="AY48" s="85"/>
      <c r="AZ48" s="85"/>
      <c r="BA48" s="85"/>
      <c r="BB48" s="85"/>
      <c r="BC48">
        <v>1</v>
      </c>
      <c r="BD48" s="84" t="str">
        <f>REPLACE(INDEX(GroupVertices[Group],MATCH(Edges[[#This Row],[Vertex 1]],GroupVertices[Vertex],0)),1,1,"")</f>
        <v>1</v>
      </c>
      <c r="BE48" s="84" t="str">
        <f>REPLACE(INDEX(GroupVertices[Group],MATCH(Edges[[#This Row],[Vertex 2]],GroupVertices[Vertex],0)),1,1,"")</f>
        <v>1</v>
      </c>
      <c r="BF48" s="51">
        <v>2</v>
      </c>
      <c r="BG48" s="52">
        <v>6.896551724137931</v>
      </c>
      <c r="BH48" s="51">
        <v>0</v>
      </c>
      <c r="BI48" s="52">
        <v>0</v>
      </c>
      <c r="BJ48" s="51">
        <v>0</v>
      </c>
      <c r="BK48" s="52">
        <v>0</v>
      </c>
      <c r="BL48" s="51">
        <v>27</v>
      </c>
      <c r="BM48" s="52">
        <v>93.10344827586206</v>
      </c>
      <c r="BN48" s="51">
        <v>29</v>
      </c>
    </row>
    <row r="49" spans="1:66" ht="15">
      <c r="A49" s="83" t="s">
        <v>273</v>
      </c>
      <c r="B49" s="83" t="s">
        <v>275</v>
      </c>
      <c r="C49" s="53" t="s">
        <v>1194</v>
      </c>
      <c r="D49" s="54">
        <v>3</v>
      </c>
      <c r="E49" s="66" t="s">
        <v>132</v>
      </c>
      <c r="F49" s="55">
        <v>32</v>
      </c>
      <c r="G49" s="53"/>
      <c r="H49" s="57"/>
      <c r="I49" s="56"/>
      <c r="J49" s="56"/>
      <c r="K49" s="36" t="s">
        <v>65</v>
      </c>
      <c r="L49" s="82">
        <v>49</v>
      </c>
      <c r="M49" s="82"/>
      <c r="N49" s="63"/>
      <c r="O49" s="85" t="s">
        <v>284</v>
      </c>
      <c r="P49" s="87">
        <v>44218.62027777778</v>
      </c>
      <c r="Q49" s="85" t="s">
        <v>293</v>
      </c>
      <c r="R49" s="85"/>
      <c r="S49" s="85"/>
      <c r="T49" s="85" t="s">
        <v>328</v>
      </c>
      <c r="U49" s="89" t="str">
        <f>HYPERLINK("https://pbs.twimg.com/media/EsVCPJAXEAENCgh.jpg")</f>
        <v>https://pbs.twimg.com/media/EsVCPJAXEAENCgh.jpg</v>
      </c>
      <c r="V49" s="89" t="str">
        <f>HYPERLINK("https://pbs.twimg.com/media/EsVCPJAXEAENCgh.jpg")</f>
        <v>https://pbs.twimg.com/media/EsVCPJAXEAENCgh.jpg</v>
      </c>
      <c r="W49" s="87">
        <v>44218.62027777778</v>
      </c>
      <c r="X49" s="91">
        <v>44218</v>
      </c>
      <c r="Y49" s="93" t="s">
        <v>371</v>
      </c>
      <c r="Z49" s="89" t="str">
        <f>HYPERLINK("https://twitter.com/tinahen08/status/1352630399814533128")</f>
        <v>https://twitter.com/tinahen08/status/1352630399814533128</v>
      </c>
      <c r="AA49" s="85"/>
      <c r="AB49" s="85"/>
      <c r="AC49" s="93" t="s">
        <v>440</v>
      </c>
      <c r="AD49" s="85"/>
      <c r="AE49" s="85" t="b">
        <v>0</v>
      </c>
      <c r="AF49" s="85">
        <v>0</v>
      </c>
      <c r="AG49" s="93" t="s">
        <v>470</v>
      </c>
      <c r="AH49" s="85" t="b">
        <v>0</v>
      </c>
      <c r="AI49" s="85" t="s">
        <v>473</v>
      </c>
      <c r="AJ49" s="85"/>
      <c r="AK49" s="93" t="s">
        <v>470</v>
      </c>
      <c r="AL49" s="85" t="b">
        <v>0</v>
      </c>
      <c r="AM49" s="85">
        <v>4</v>
      </c>
      <c r="AN49" s="93" t="s">
        <v>439</v>
      </c>
      <c r="AO49" s="85" t="s">
        <v>475</v>
      </c>
      <c r="AP49" s="85" t="b">
        <v>0</v>
      </c>
      <c r="AQ49" s="93" t="s">
        <v>439</v>
      </c>
      <c r="AR49" s="85" t="s">
        <v>213</v>
      </c>
      <c r="AS49" s="85">
        <v>0</v>
      </c>
      <c r="AT49" s="85">
        <v>0</v>
      </c>
      <c r="AU49" s="85"/>
      <c r="AV49" s="85"/>
      <c r="AW49" s="85"/>
      <c r="AX49" s="85"/>
      <c r="AY49" s="85"/>
      <c r="AZ49" s="85"/>
      <c r="BA49" s="85"/>
      <c r="BB49" s="85"/>
      <c r="BC49">
        <v>1</v>
      </c>
      <c r="BD49" s="84" t="str">
        <f>REPLACE(INDEX(GroupVertices[Group],MATCH(Edges[[#This Row],[Vertex 1]],GroupVertices[Vertex],0)),1,1,"")</f>
        <v>3</v>
      </c>
      <c r="BE49" s="84" t="str">
        <f>REPLACE(INDEX(GroupVertices[Group],MATCH(Edges[[#This Row],[Vertex 2]],GroupVertices[Vertex],0)),1,1,"")</f>
        <v>1</v>
      </c>
      <c r="BF49" s="51"/>
      <c r="BG49" s="52"/>
      <c r="BH49" s="51"/>
      <c r="BI49" s="52"/>
      <c r="BJ49" s="51"/>
      <c r="BK49" s="52"/>
      <c r="BL49" s="51"/>
      <c r="BM49" s="52"/>
      <c r="BN49" s="51"/>
    </row>
    <row r="50" spans="1:66" ht="15">
      <c r="A50" s="83" t="s">
        <v>272</v>
      </c>
      <c r="B50" s="83" t="s">
        <v>282</v>
      </c>
      <c r="C50" s="53" t="s">
        <v>1194</v>
      </c>
      <c r="D50" s="54">
        <v>3</v>
      </c>
      <c r="E50" s="66" t="s">
        <v>132</v>
      </c>
      <c r="F50" s="55">
        <v>32</v>
      </c>
      <c r="G50" s="53"/>
      <c r="H50" s="57"/>
      <c r="I50" s="56"/>
      <c r="J50" s="56"/>
      <c r="K50" s="36" t="s">
        <v>65</v>
      </c>
      <c r="L50" s="82">
        <v>50</v>
      </c>
      <c r="M50" s="82"/>
      <c r="N50" s="63"/>
      <c r="O50" s="85" t="s">
        <v>285</v>
      </c>
      <c r="P50" s="87">
        <v>44218.49070601852</v>
      </c>
      <c r="Q50" s="85" t="s">
        <v>313</v>
      </c>
      <c r="R50" s="85"/>
      <c r="S50" s="85"/>
      <c r="T50" s="85" t="s">
        <v>328</v>
      </c>
      <c r="U50" s="85"/>
      <c r="V50" s="89" t="str">
        <f>HYPERLINK("https://pbs.twimg.com/profile_images/774228058844852225/Z_rQuUK2_normal.jpg")</f>
        <v>https://pbs.twimg.com/profile_images/774228058844852225/Z_rQuUK2_normal.jpg</v>
      </c>
      <c r="W50" s="87">
        <v>44218.49070601852</v>
      </c>
      <c r="X50" s="91">
        <v>44218</v>
      </c>
      <c r="Y50" s="93" t="s">
        <v>372</v>
      </c>
      <c r="Z50" s="89" t="str">
        <f>HYPERLINK("https://twitter.com/rcpedintrainees/status/1352583444308627457")</f>
        <v>https://twitter.com/rcpedintrainees/status/1352583444308627457</v>
      </c>
      <c r="AA50" s="85"/>
      <c r="AB50" s="85"/>
      <c r="AC50" s="93" t="s">
        <v>441</v>
      </c>
      <c r="AD50" s="85"/>
      <c r="AE50" s="85" t="b">
        <v>0</v>
      </c>
      <c r="AF50" s="85">
        <v>2</v>
      </c>
      <c r="AG50" s="93" t="s">
        <v>470</v>
      </c>
      <c r="AH50" s="85" t="b">
        <v>0</v>
      </c>
      <c r="AI50" s="85" t="s">
        <v>473</v>
      </c>
      <c r="AJ50" s="85"/>
      <c r="AK50" s="93" t="s">
        <v>470</v>
      </c>
      <c r="AL50" s="85" t="b">
        <v>0</v>
      </c>
      <c r="AM50" s="85">
        <v>1</v>
      </c>
      <c r="AN50" s="93" t="s">
        <v>470</v>
      </c>
      <c r="AO50" s="85" t="s">
        <v>476</v>
      </c>
      <c r="AP50" s="85" t="b">
        <v>0</v>
      </c>
      <c r="AQ50" s="93" t="s">
        <v>441</v>
      </c>
      <c r="AR50" s="85" t="s">
        <v>213</v>
      </c>
      <c r="AS50" s="85">
        <v>0</v>
      </c>
      <c r="AT50" s="85">
        <v>0</v>
      </c>
      <c r="AU50" s="85"/>
      <c r="AV50" s="85"/>
      <c r="AW50" s="85"/>
      <c r="AX50" s="85"/>
      <c r="AY50" s="85"/>
      <c r="AZ50" s="85"/>
      <c r="BA50" s="85"/>
      <c r="BB50" s="85"/>
      <c r="BC50">
        <v>1</v>
      </c>
      <c r="BD50" s="84" t="str">
        <f>REPLACE(INDEX(GroupVertices[Group],MATCH(Edges[[#This Row],[Vertex 1]],GroupVertices[Vertex],0)),1,1,"")</f>
        <v>1</v>
      </c>
      <c r="BE50" s="84" t="str">
        <f>REPLACE(INDEX(GroupVertices[Group],MATCH(Edges[[#This Row],[Vertex 2]],GroupVertices[Vertex],0)),1,1,"")</f>
        <v>3</v>
      </c>
      <c r="BF50" s="51">
        <v>4</v>
      </c>
      <c r="BG50" s="52">
        <v>10</v>
      </c>
      <c r="BH50" s="51">
        <v>3</v>
      </c>
      <c r="BI50" s="52">
        <v>7.5</v>
      </c>
      <c r="BJ50" s="51">
        <v>0</v>
      </c>
      <c r="BK50" s="52">
        <v>0</v>
      </c>
      <c r="BL50" s="51">
        <v>33</v>
      </c>
      <c r="BM50" s="52">
        <v>82.5</v>
      </c>
      <c r="BN50" s="51">
        <v>40</v>
      </c>
    </row>
    <row r="51" spans="1:66" ht="15">
      <c r="A51" s="83" t="s">
        <v>273</v>
      </c>
      <c r="B51" s="83" t="s">
        <v>282</v>
      </c>
      <c r="C51" s="53" t="s">
        <v>1194</v>
      </c>
      <c r="D51" s="54">
        <v>3</v>
      </c>
      <c r="E51" s="66" t="s">
        <v>132</v>
      </c>
      <c r="F51" s="55">
        <v>32</v>
      </c>
      <c r="G51" s="53"/>
      <c r="H51" s="57"/>
      <c r="I51" s="56"/>
      <c r="J51" s="56"/>
      <c r="K51" s="36" t="s">
        <v>65</v>
      </c>
      <c r="L51" s="82">
        <v>51</v>
      </c>
      <c r="M51" s="82"/>
      <c r="N51" s="63"/>
      <c r="O51" s="85" t="s">
        <v>284</v>
      </c>
      <c r="P51" s="87">
        <v>44219.30130787037</v>
      </c>
      <c r="Q51" s="85" t="s">
        <v>313</v>
      </c>
      <c r="R51" s="85"/>
      <c r="S51" s="85"/>
      <c r="T51" s="85" t="s">
        <v>328</v>
      </c>
      <c r="U51" s="85"/>
      <c r="V51" s="89" t="str">
        <f>HYPERLINK("https://pbs.twimg.com/profile_images/763810887023157248/xL7PikMR_normal.jpg")</f>
        <v>https://pbs.twimg.com/profile_images/763810887023157248/xL7PikMR_normal.jpg</v>
      </c>
      <c r="W51" s="87">
        <v>44219.30130787037</v>
      </c>
      <c r="X51" s="91">
        <v>44219</v>
      </c>
      <c r="Y51" s="93" t="s">
        <v>373</v>
      </c>
      <c r="Z51" s="89" t="str">
        <f>HYPERLINK("https://twitter.com/tinahen08/status/1352877196117995520")</f>
        <v>https://twitter.com/tinahen08/status/1352877196117995520</v>
      </c>
      <c r="AA51" s="85"/>
      <c r="AB51" s="85"/>
      <c r="AC51" s="93" t="s">
        <v>442</v>
      </c>
      <c r="AD51" s="85"/>
      <c r="AE51" s="85" t="b">
        <v>0</v>
      </c>
      <c r="AF51" s="85">
        <v>0</v>
      </c>
      <c r="AG51" s="93" t="s">
        <v>470</v>
      </c>
      <c r="AH51" s="85" t="b">
        <v>0</v>
      </c>
      <c r="AI51" s="85" t="s">
        <v>473</v>
      </c>
      <c r="AJ51" s="85"/>
      <c r="AK51" s="93" t="s">
        <v>470</v>
      </c>
      <c r="AL51" s="85" t="b">
        <v>0</v>
      </c>
      <c r="AM51" s="85">
        <v>1</v>
      </c>
      <c r="AN51" s="93" t="s">
        <v>441</v>
      </c>
      <c r="AO51" s="85" t="s">
        <v>475</v>
      </c>
      <c r="AP51" s="85" t="b">
        <v>0</v>
      </c>
      <c r="AQ51" s="93" t="s">
        <v>441</v>
      </c>
      <c r="AR51" s="85" t="s">
        <v>213</v>
      </c>
      <c r="AS51" s="85">
        <v>0</v>
      </c>
      <c r="AT51" s="85">
        <v>0</v>
      </c>
      <c r="AU51" s="85"/>
      <c r="AV51" s="85"/>
      <c r="AW51" s="85"/>
      <c r="AX51" s="85"/>
      <c r="AY51" s="85"/>
      <c r="AZ51" s="85"/>
      <c r="BA51" s="85"/>
      <c r="BB51" s="85"/>
      <c r="BC51">
        <v>1</v>
      </c>
      <c r="BD51" s="84" t="str">
        <f>REPLACE(INDEX(GroupVertices[Group],MATCH(Edges[[#This Row],[Vertex 1]],GroupVertices[Vertex],0)),1,1,"")</f>
        <v>3</v>
      </c>
      <c r="BE51" s="84" t="str">
        <f>REPLACE(INDEX(GroupVertices[Group],MATCH(Edges[[#This Row],[Vertex 2]],GroupVertices[Vertex],0)),1,1,"")</f>
        <v>3</v>
      </c>
      <c r="BF51" s="51">
        <v>4</v>
      </c>
      <c r="BG51" s="52">
        <v>10</v>
      </c>
      <c r="BH51" s="51">
        <v>3</v>
      </c>
      <c r="BI51" s="52">
        <v>7.5</v>
      </c>
      <c r="BJ51" s="51">
        <v>0</v>
      </c>
      <c r="BK51" s="52">
        <v>0</v>
      </c>
      <c r="BL51" s="51">
        <v>33</v>
      </c>
      <c r="BM51" s="52">
        <v>82.5</v>
      </c>
      <c r="BN51" s="51">
        <v>40</v>
      </c>
    </row>
    <row r="52" spans="1:66" ht="30">
      <c r="A52" s="83" t="s">
        <v>272</v>
      </c>
      <c r="B52" s="83" t="s">
        <v>272</v>
      </c>
      <c r="C52" s="53" t="s">
        <v>1198</v>
      </c>
      <c r="D52" s="54">
        <v>10</v>
      </c>
      <c r="E52" s="66" t="s">
        <v>136</v>
      </c>
      <c r="F52" s="55">
        <v>6</v>
      </c>
      <c r="G52" s="53"/>
      <c r="H52" s="57"/>
      <c r="I52" s="56"/>
      <c r="J52" s="56"/>
      <c r="K52" s="36" t="s">
        <v>65</v>
      </c>
      <c r="L52" s="82">
        <v>52</v>
      </c>
      <c r="M52" s="82"/>
      <c r="N52" s="63"/>
      <c r="O52" s="85" t="s">
        <v>213</v>
      </c>
      <c r="P52" s="87">
        <v>44211.41746527778</v>
      </c>
      <c r="Q52" s="85" t="s">
        <v>287</v>
      </c>
      <c r="R52" s="89" t="str">
        <f>HYPERLINK("https://events.rcpe.ac.uk/medical-trainees-online-symposium-day-life-medical-trainee")</f>
        <v>https://events.rcpe.ac.uk/medical-trainees-online-symposium-day-life-medical-trainee</v>
      </c>
      <c r="S52" s="85" t="s">
        <v>325</v>
      </c>
      <c r="T52" s="85" t="s">
        <v>328</v>
      </c>
      <c r="U52" s="89" t="str">
        <f>HYPERLINK("https://pbs.twimg.com/media/Erw8NG7XUAAnYxH.jpg")</f>
        <v>https://pbs.twimg.com/media/Erw8NG7XUAAnYxH.jpg</v>
      </c>
      <c r="V52" s="89" t="str">
        <f>HYPERLINK("https://pbs.twimg.com/media/Erw8NG7XUAAnYxH.jpg")</f>
        <v>https://pbs.twimg.com/media/Erw8NG7XUAAnYxH.jpg</v>
      </c>
      <c r="W52" s="87">
        <v>44211.41746527778</v>
      </c>
      <c r="X52" s="91">
        <v>44211</v>
      </c>
      <c r="Y52" s="93" t="s">
        <v>374</v>
      </c>
      <c r="Z52" s="89" t="str">
        <f>HYPERLINK("https://twitter.com/rcpedintrainees/status/1350020185672048641")</f>
        <v>https://twitter.com/rcpedintrainees/status/1350020185672048641</v>
      </c>
      <c r="AA52" s="85"/>
      <c r="AB52" s="85"/>
      <c r="AC52" s="93" t="s">
        <v>443</v>
      </c>
      <c r="AD52" s="85"/>
      <c r="AE52" s="85" t="b">
        <v>0</v>
      </c>
      <c r="AF52" s="85">
        <v>9</v>
      </c>
      <c r="AG52" s="93" t="s">
        <v>470</v>
      </c>
      <c r="AH52" s="85" t="b">
        <v>0</v>
      </c>
      <c r="AI52" s="85" t="s">
        <v>473</v>
      </c>
      <c r="AJ52" s="85"/>
      <c r="AK52" s="93" t="s">
        <v>470</v>
      </c>
      <c r="AL52" s="85" t="b">
        <v>0</v>
      </c>
      <c r="AM52" s="85">
        <v>8</v>
      </c>
      <c r="AN52" s="93" t="s">
        <v>470</v>
      </c>
      <c r="AO52" s="85" t="s">
        <v>478</v>
      </c>
      <c r="AP52" s="85" t="b">
        <v>0</v>
      </c>
      <c r="AQ52" s="93" t="s">
        <v>443</v>
      </c>
      <c r="AR52" s="85" t="s">
        <v>283</v>
      </c>
      <c r="AS52" s="85">
        <v>0</v>
      </c>
      <c r="AT52" s="85">
        <v>0</v>
      </c>
      <c r="AU52" s="85"/>
      <c r="AV52" s="85"/>
      <c r="AW52" s="85"/>
      <c r="AX52" s="85"/>
      <c r="AY52" s="85"/>
      <c r="AZ52" s="85"/>
      <c r="BA52" s="85"/>
      <c r="BB52" s="85"/>
      <c r="BC52">
        <v>22</v>
      </c>
      <c r="BD52" s="84" t="str">
        <f>REPLACE(INDEX(GroupVertices[Group],MATCH(Edges[[#This Row],[Vertex 1]],GroupVertices[Vertex],0)),1,1,"")</f>
        <v>1</v>
      </c>
      <c r="BE52" s="84" t="str">
        <f>REPLACE(INDEX(GroupVertices[Group],MATCH(Edges[[#This Row],[Vertex 2]],GroupVertices[Vertex],0)),1,1,"")</f>
        <v>1</v>
      </c>
      <c r="BF52" s="51">
        <v>2</v>
      </c>
      <c r="BG52" s="52">
        <v>4.651162790697675</v>
      </c>
      <c r="BH52" s="51">
        <v>0</v>
      </c>
      <c r="BI52" s="52">
        <v>0</v>
      </c>
      <c r="BJ52" s="51">
        <v>0</v>
      </c>
      <c r="BK52" s="52">
        <v>0</v>
      </c>
      <c r="BL52" s="51">
        <v>41</v>
      </c>
      <c r="BM52" s="52">
        <v>95.34883720930233</v>
      </c>
      <c r="BN52" s="51">
        <v>43</v>
      </c>
    </row>
    <row r="53" spans="1:66" ht="30">
      <c r="A53" s="83" t="s">
        <v>272</v>
      </c>
      <c r="B53" s="83" t="s">
        <v>272</v>
      </c>
      <c r="C53" s="53" t="s">
        <v>1198</v>
      </c>
      <c r="D53" s="54">
        <v>10</v>
      </c>
      <c r="E53" s="66" t="s">
        <v>136</v>
      </c>
      <c r="F53" s="55">
        <v>6</v>
      </c>
      <c r="G53" s="53"/>
      <c r="H53" s="57"/>
      <c r="I53" s="56"/>
      <c r="J53" s="56"/>
      <c r="K53" s="36" t="s">
        <v>65</v>
      </c>
      <c r="L53" s="82">
        <v>53</v>
      </c>
      <c r="M53" s="82"/>
      <c r="N53" s="63"/>
      <c r="O53" s="85" t="s">
        <v>213</v>
      </c>
      <c r="P53" s="87">
        <v>44218.39913194445</v>
      </c>
      <c r="Q53" s="85" t="s">
        <v>288</v>
      </c>
      <c r="R53" s="85"/>
      <c r="S53" s="85"/>
      <c r="T53" s="85" t="s">
        <v>328</v>
      </c>
      <c r="U53" s="85"/>
      <c r="V53" s="89" t="str">
        <f>HYPERLINK("https://pbs.twimg.com/profile_images/774228058844852225/Z_rQuUK2_normal.jpg")</f>
        <v>https://pbs.twimg.com/profile_images/774228058844852225/Z_rQuUK2_normal.jpg</v>
      </c>
      <c r="W53" s="87">
        <v>44218.39913194445</v>
      </c>
      <c r="X53" s="91">
        <v>44218</v>
      </c>
      <c r="Y53" s="93" t="s">
        <v>375</v>
      </c>
      <c r="Z53" s="89" t="str">
        <f>HYPERLINK("https://twitter.com/rcpedintrainees/status/1352550257519980544")</f>
        <v>https://twitter.com/rcpedintrainees/status/1352550257519980544</v>
      </c>
      <c r="AA53" s="85"/>
      <c r="AB53" s="85"/>
      <c r="AC53" s="93" t="s">
        <v>444</v>
      </c>
      <c r="AD53" s="85"/>
      <c r="AE53" s="85" t="b">
        <v>0</v>
      </c>
      <c r="AF53" s="85">
        <v>5</v>
      </c>
      <c r="AG53" s="93" t="s">
        <v>470</v>
      </c>
      <c r="AH53" s="85" t="b">
        <v>0</v>
      </c>
      <c r="AI53" s="85" t="s">
        <v>473</v>
      </c>
      <c r="AJ53" s="85"/>
      <c r="AK53" s="93" t="s">
        <v>470</v>
      </c>
      <c r="AL53" s="85" t="b">
        <v>0</v>
      </c>
      <c r="AM53" s="85">
        <v>3</v>
      </c>
      <c r="AN53" s="93" t="s">
        <v>470</v>
      </c>
      <c r="AO53" s="85" t="s">
        <v>476</v>
      </c>
      <c r="AP53" s="85" t="b">
        <v>0</v>
      </c>
      <c r="AQ53" s="93" t="s">
        <v>444</v>
      </c>
      <c r="AR53" s="85" t="s">
        <v>213</v>
      </c>
      <c r="AS53" s="85">
        <v>0</v>
      </c>
      <c r="AT53" s="85">
        <v>0</v>
      </c>
      <c r="AU53" s="85"/>
      <c r="AV53" s="85"/>
      <c r="AW53" s="85"/>
      <c r="AX53" s="85"/>
      <c r="AY53" s="85"/>
      <c r="AZ53" s="85"/>
      <c r="BA53" s="85"/>
      <c r="BB53" s="85"/>
      <c r="BC53">
        <v>22</v>
      </c>
      <c r="BD53" s="84" t="str">
        <f>REPLACE(INDEX(GroupVertices[Group],MATCH(Edges[[#This Row],[Vertex 1]],GroupVertices[Vertex],0)),1,1,"")</f>
        <v>1</v>
      </c>
      <c r="BE53" s="84" t="str">
        <f>REPLACE(INDEX(GroupVertices[Group],MATCH(Edges[[#This Row],[Vertex 2]],GroupVertices[Vertex],0)),1,1,"")</f>
        <v>1</v>
      </c>
      <c r="BF53" s="51">
        <v>3</v>
      </c>
      <c r="BG53" s="52">
        <v>11.538461538461538</v>
      </c>
      <c r="BH53" s="51">
        <v>1</v>
      </c>
      <c r="BI53" s="52">
        <v>3.8461538461538463</v>
      </c>
      <c r="BJ53" s="51">
        <v>0</v>
      </c>
      <c r="BK53" s="52">
        <v>0</v>
      </c>
      <c r="BL53" s="51">
        <v>22</v>
      </c>
      <c r="BM53" s="52">
        <v>84.61538461538461</v>
      </c>
      <c r="BN53" s="51">
        <v>26</v>
      </c>
    </row>
    <row r="54" spans="1:66" ht="30">
      <c r="A54" s="83" t="s">
        <v>272</v>
      </c>
      <c r="B54" s="83" t="s">
        <v>272</v>
      </c>
      <c r="C54" s="53" t="s">
        <v>1198</v>
      </c>
      <c r="D54" s="54">
        <v>10</v>
      </c>
      <c r="E54" s="66" t="s">
        <v>136</v>
      </c>
      <c r="F54" s="55">
        <v>6</v>
      </c>
      <c r="G54" s="53"/>
      <c r="H54" s="57"/>
      <c r="I54" s="56"/>
      <c r="J54" s="56"/>
      <c r="K54" s="36" t="s">
        <v>65</v>
      </c>
      <c r="L54" s="82">
        <v>54</v>
      </c>
      <c r="M54" s="82"/>
      <c r="N54" s="63"/>
      <c r="O54" s="85" t="s">
        <v>213</v>
      </c>
      <c r="P54" s="87">
        <v>44218.40583333333</v>
      </c>
      <c r="Q54" s="85" t="s">
        <v>314</v>
      </c>
      <c r="R54" s="85"/>
      <c r="S54" s="85"/>
      <c r="T54" s="85" t="s">
        <v>328</v>
      </c>
      <c r="U54" s="85"/>
      <c r="V54" s="89" t="str">
        <f>HYPERLINK("https://pbs.twimg.com/profile_images/774228058844852225/Z_rQuUK2_normal.jpg")</f>
        <v>https://pbs.twimg.com/profile_images/774228058844852225/Z_rQuUK2_normal.jpg</v>
      </c>
      <c r="W54" s="87">
        <v>44218.40583333333</v>
      </c>
      <c r="X54" s="91">
        <v>44218</v>
      </c>
      <c r="Y54" s="93" t="s">
        <v>376</v>
      </c>
      <c r="Z54" s="89" t="str">
        <f>HYPERLINK("https://twitter.com/rcpedintrainees/status/1352552687548690433")</f>
        <v>https://twitter.com/rcpedintrainees/status/1352552687548690433</v>
      </c>
      <c r="AA54" s="85"/>
      <c r="AB54" s="85"/>
      <c r="AC54" s="93" t="s">
        <v>445</v>
      </c>
      <c r="AD54" s="85"/>
      <c r="AE54" s="85" t="b">
        <v>0</v>
      </c>
      <c r="AF54" s="85">
        <v>1</v>
      </c>
      <c r="AG54" s="93" t="s">
        <v>470</v>
      </c>
      <c r="AH54" s="85" t="b">
        <v>0</v>
      </c>
      <c r="AI54" s="85" t="s">
        <v>473</v>
      </c>
      <c r="AJ54" s="85"/>
      <c r="AK54" s="93" t="s">
        <v>470</v>
      </c>
      <c r="AL54" s="85" t="b">
        <v>0</v>
      </c>
      <c r="AM54" s="85">
        <v>0</v>
      </c>
      <c r="AN54" s="93" t="s">
        <v>470</v>
      </c>
      <c r="AO54" s="85" t="s">
        <v>476</v>
      </c>
      <c r="AP54" s="85" t="b">
        <v>0</v>
      </c>
      <c r="AQ54" s="93" t="s">
        <v>445</v>
      </c>
      <c r="AR54" s="85" t="s">
        <v>213</v>
      </c>
      <c r="AS54" s="85">
        <v>0</v>
      </c>
      <c r="AT54" s="85">
        <v>0</v>
      </c>
      <c r="AU54" s="85"/>
      <c r="AV54" s="85"/>
      <c r="AW54" s="85"/>
      <c r="AX54" s="85"/>
      <c r="AY54" s="85"/>
      <c r="AZ54" s="85"/>
      <c r="BA54" s="85"/>
      <c r="BB54" s="85"/>
      <c r="BC54">
        <v>22</v>
      </c>
      <c r="BD54" s="84" t="str">
        <f>REPLACE(INDEX(GroupVertices[Group],MATCH(Edges[[#This Row],[Vertex 1]],GroupVertices[Vertex],0)),1,1,"")</f>
        <v>1</v>
      </c>
      <c r="BE54" s="84" t="str">
        <f>REPLACE(INDEX(GroupVertices[Group],MATCH(Edges[[#This Row],[Vertex 2]],GroupVertices[Vertex],0)),1,1,"")</f>
        <v>1</v>
      </c>
      <c r="BF54" s="51">
        <v>3</v>
      </c>
      <c r="BG54" s="52">
        <v>12.5</v>
      </c>
      <c r="BH54" s="51">
        <v>0</v>
      </c>
      <c r="BI54" s="52">
        <v>0</v>
      </c>
      <c r="BJ54" s="51">
        <v>0</v>
      </c>
      <c r="BK54" s="52">
        <v>0</v>
      </c>
      <c r="BL54" s="51">
        <v>21</v>
      </c>
      <c r="BM54" s="52">
        <v>87.5</v>
      </c>
      <c r="BN54" s="51">
        <v>24</v>
      </c>
    </row>
    <row r="55" spans="1:66" ht="30">
      <c r="A55" s="83" t="s">
        <v>272</v>
      </c>
      <c r="B55" s="83" t="s">
        <v>272</v>
      </c>
      <c r="C55" s="53" t="s">
        <v>1198</v>
      </c>
      <c r="D55" s="54">
        <v>10</v>
      </c>
      <c r="E55" s="66" t="s">
        <v>136</v>
      </c>
      <c r="F55" s="55">
        <v>6</v>
      </c>
      <c r="G55" s="53"/>
      <c r="H55" s="57"/>
      <c r="I55" s="56"/>
      <c r="J55" s="56"/>
      <c r="K55" s="36" t="s">
        <v>65</v>
      </c>
      <c r="L55" s="82">
        <v>55</v>
      </c>
      <c r="M55" s="82"/>
      <c r="N55" s="63"/>
      <c r="O55" s="85" t="s">
        <v>213</v>
      </c>
      <c r="P55" s="87">
        <v>44218.421805555554</v>
      </c>
      <c r="Q55" s="85" t="s">
        <v>315</v>
      </c>
      <c r="R55" s="85"/>
      <c r="S55" s="85"/>
      <c r="T55" s="85" t="s">
        <v>328</v>
      </c>
      <c r="U55" s="85"/>
      <c r="V55" s="89" t="str">
        <f>HYPERLINK("https://pbs.twimg.com/profile_images/774228058844852225/Z_rQuUK2_normal.jpg")</f>
        <v>https://pbs.twimg.com/profile_images/774228058844852225/Z_rQuUK2_normal.jpg</v>
      </c>
      <c r="W55" s="87">
        <v>44218.421805555554</v>
      </c>
      <c r="X55" s="91">
        <v>44218</v>
      </c>
      <c r="Y55" s="93" t="s">
        <v>377</v>
      </c>
      <c r="Z55" s="89" t="str">
        <f>HYPERLINK("https://twitter.com/rcpedintrainees/status/1352558476648734722")</f>
        <v>https://twitter.com/rcpedintrainees/status/1352558476648734722</v>
      </c>
      <c r="AA55" s="85"/>
      <c r="AB55" s="85"/>
      <c r="AC55" s="93" t="s">
        <v>446</v>
      </c>
      <c r="AD55" s="85"/>
      <c r="AE55" s="85" t="b">
        <v>0</v>
      </c>
      <c r="AF55" s="85">
        <v>2</v>
      </c>
      <c r="AG55" s="93" t="s">
        <v>470</v>
      </c>
      <c r="AH55" s="85" t="b">
        <v>0</v>
      </c>
      <c r="AI55" s="85" t="s">
        <v>473</v>
      </c>
      <c r="AJ55" s="85"/>
      <c r="AK55" s="93" t="s">
        <v>470</v>
      </c>
      <c r="AL55" s="85" t="b">
        <v>0</v>
      </c>
      <c r="AM55" s="85">
        <v>0</v>
      </c>
      <c r="AN55" s="93" t="s">
        <v>470</v>
      </c>
      <c r="AO55" s="85" t="s">
        <v>476</v>
      </c>
      <c r="AP55" s="85" t="b">
        <v>0</v>
      </c>
      <c r="AQ55" s="93" t="s">
        <v>446</v>
      </c>
      <c r="AR55" s="85" t="s">
        <v>213</v>
      </c>
      <c r="AS55" s="85">
        <v>0</v>
      </c>
      <c r="AT55" s="85">
        <v>0</v>
      </c>
      <c r="AU55" s="85"/>
      <c r="AV55" s="85"/>
      <c r="AW55" s="85"/>
      <c r="AX55" s="85"/>
      <c r="AY55" s="85"/>
      <c r="AZ55" s="85"/>
      <c r="BA55" s="85"/>
      <c r="BB55" s="85"/>
      <c r="BC55">
        <v>22</v>
      </c>
      <c r="BD55" s="84" t="str">
        <f>REPLACE(INDEX(GroupVertices[Group],MATCH(Edges[[#This Row],[Vertex 1]],GroupVertices[Vertex],0)),1,1,"")</f>
        <v>1</v>
      </c>
      <c r="BE55" s="84" t="str">
        <f>REPLACE(INDEX(GroupVertices[Group],MATCH(Edges[[#This Row],[Vertex 2]],GroupVertices[Vertex],0)),1,1,"")</f>
        <v>1</v>
      </c>
      <c r="BF55" s="51">
        <v>1</v>
      </c>
      <c r="BG55" s="52">
        <v>3.3333333333333335</v>
      </c>
      <c r="BH55" s="51">
        <v>2</v>
      </c>
      <c r="BI55" s="52">
        <v>6.666666666666667</v>
      </c>
      <c r="BJ55" s="51">
        <v>0</v>
      </c>
      <c r="BK55" s="52">
        <v>0</v>
      </c>
      <c r="BL55" s="51">
        <v>27</v>
      </c>
      <c r="BM55" s="52">
        <v>90</v>
      </c>
      <c r="BN55" s="51">
        <v>30</v>
      </c>
    </row>
    <row r="56" spans="1:66" ht="30">
      <c r="A56" s="83" t="s">
        <v>272</v>
      </c>
      <c r="B56" s="83" t="s">
        <v>272</v>
      </c>
      <c r="C56" s="53" t="s">
        <v>1198</v>
      </c>
      <c r="D56" s="54">
        <v>10</v>
      </c>
      <c r="E56" s="66" t="s">
        <v>136</v>
      </c>
      <c r="F56" s="55">
        <v>6</v>
      </c>
      <c r="G56" s="53"/>
      <c r="H56" s="57"/>
      <c r="I56" s="56"/>
      <c r="J56" s="56"/>
      <c r="K56" s="36" t="s">
        <v>65</v>
      </c>
      <c r="L56" s="82">
        <v>56</v>
      </c>
      <c r="M56" s="82"/>
      <c r="N56" s="63"/>
      <c r="O56" s="85" t="s">
        <v>213</v>
      </c>
      <c r="P56" s="87">
        <v>44218.424097222225</v>
      </c>
      <c r="Q56" s="85" t="s">
        <v>289</v>
      </c>
      <c r="R56" s="85"/>
      <c r="S56" s="85"/>
      <c r="T56" s="85" t="s">
        <v>328</v>
      </c>
      <c r="U56" s="85"/>
      <c r="V56" s="89" t="str">
        <f>HYPERLINK("https://pbs.twimg.com/profile_images/774228058844852225/Z_rQuUK2_normal.jpg")</f>
        <v>https://pbs.twimg.com/profile_images/774228058844852225/Z_rQuUK2_normal.jpg</v>
      </c>
      <c r="W56" s="87">
        <v>44218.424097222225</v>
      </c>
      <c r="X56" s="91">
        <v>44218</v>
      </c>
      <c r="Y56" s="93" t="s">
        <v>378</v>
      </c>
      <c r="Z56" s="89" t="str">
        <f>HYPERLINK("https://twitter.com/rcpedintrainees/status/1352559303824187392")</f>
        <v>https://twitter.com/rcpedintrainees/status/1352559303824187392</v>
      </c>
      <c r="AA56" s="85"/>
      <c r="AB56" s="85"/>
      <c r="AC56" s="93" t="s">
        <v>447</v>
      </c>
      <c r="AD56" s="85"/>
      <c r="AE56" s="85" t="b">
        <v>0</v>
      </c>
      <c r="AF56" s="85">
        <v>11</v>
      </c>
      <c r="AG56" s="93" t="s">
        <v>470</v>
      </c>
      <c r="AH56" s="85" t="b">
        <v>0</v>
      </c>
      <c r="AI56" s="85" t="s">
        <v>473</v>
      </c>
      <c r="AJ56" s="85"/>
      <c r="AK56" s="93" t="s">
        <v>470</v>
      </c>
      <c r="AL56" s="85" t="b">
        <v>0</v>
      </c>
      <c r="AM56" s="85">
        <v>4</v>
      </c>
      <c r="AN56" s="93" t="s">
        <v>470</v>
      </c>
      <c r="AO56" s="85" t="s">
        <v>476</v>
      </c>
      <c r="AP56" s="85" t="b">
        <v>0</v>
      </c>
      <c r="AQ56" s="93" t="s">
        <v>447</v>
      </c>
      <c r="AR56" s="85" t="s">
        <v>213</v>
      </c>
      <c r="AS56" s="85">
        <v>0</v>
      </c>
      <c r="AT56" s="85">
        <v>0</v>
      </c>
      <c r="AU56" s="85"/>
      <c r="AV56" s="85"/>
      <c r="AW56" s="85"/>
      <c r="AX56" s="85"/>
      <c r="AY56" s="85"/>
      <c r="AZ56" s="85"/>
      <c r="BA56" s="85"/>
      <c r="BB56" s="85"/>
      <c r="BC56">
        <v>22</v>
      </c>
      <c r="BD56" s="84" t="str">
        <f>REPLACE(INDEX(GroupVertices[Group],MATCH(Edges[[#This Row],[Vertex 1]],GroupVertices[Vertex],0)),1,1,"")</f>
        <v>1</v>
      </c>
      <c r="BE56" s="84" t="str">
        <f>REPLACE(INDEX(GroupVertices[Group],MATCH(Edges[[#This Row],[Vertex 2]],GroupVertices[Vertex],0)),1,1,"")</f>
        <v>1</v>
      </c>
      <c r="BF56" s="51">
        <v>0</v>
      </c>
      <c r="BG56" s="52">
        <v>0</v>
      </c>
      <c r="BH56" s="51">
        <v>1</v>
      </c>
      <c r="BI56" s="52">
        <v>4.3478260869565215</v>
      </c>
      <c r="BJ56" s="51">
        <v>0</v>
      </c>
      <c r="BK56" s="52">
        <v>0</v>
      </c>
      <c r="BL56" s="51">
        <v>22</v>
      </c>
      <c r="BM56" s="52">
        <v>95.65217391304348</v>
      </c>
      <c r="BN56" s="51">
        <v>23</v>
      </c>
    </row>
    <row r="57" spans="1:66" ht="30">
      <c r="A57" s="83" t="s">
        <v>272</v>
      </c>
      <c r="B57" s="83" t="s">
        <v>272</v>
      </c>
      <c r="C57" s="53" t="s">
        <v>1198</v>
      </c>
      <c r="D57" s="54">
        <v>10</v>
      </c>
      <c r="E57" s="66" t="s">
        <v>136</v>
      </c>
      <c r="F57" s="55">
        <v>6</v>
      </c>
      <c r="G57" s="53"/>
      <c r="H57" s="57"/>
      <c r="I57" s="56"/>
      <c r="J57" s="56"/>
      <c r="K57" s="36" t="s">
        <v>65</v>
      </c>
      <c r="L57" s="82">
        <v>57</v>
      </c>
      <c r="M57" s="82"/>
      <c r="N57" s="63"/>
      <c r="O57" s="85" t="s">
        <v>213</v>
      </c>
      <c r="P57" s="87">
        <v>44218.43435185185</v>
      </c>
      <c r="Q57" s="85" t="s">
        <v>303</v>
      </c>
      <c r="R57" s="85"/>
      <c r="S57" s="85"/>
      <c r="T57" s="85" t="s">
        <v>328</v>
      </c>
      <c r="U57" s="85"/>
      <c r="V57" s="89" t="str">
        <f>HYPERLINK("https://pbs.twimg.com/profile_images/774228058844852225/Z_rQuUK2_normal.jpg")</f>
        <v>https://pbs.twimg.com/profile_images/774228058844852225/Z_rQuUK2_normal.jpg</v>
      </c>
      <c r="W57" s="87">
        <v>44218.43435185185</v>
      </c>
      <c r="X57" s="91">
        <v>44218</v>
      </c>
      <c r="Y57" s="93" t="s">
        <v>379</v>
      </c>
      <c r="Z57" s="89" t="str">
        <f>HYPERLINK("https://twitter.com/rcpedintrainees/status/1352563022984867841")</f>
        <v>https://twitter.com/rcpedintrainees/status/1352563022984867841</v>
      </c>
      <c r="AA57" s="85"/>
      <c r="AB57" s="85"/>
      <c r="AC57" s="93" t="s">
        <v>448</v>
      </c>
      <c r="AD57" s="85"/>
      <c r="AE57" s="85" t="b">
        <v>0</v>
      </c>
      <c r="AF57" s="85">
        <v>3</v>
      </c>
      <c r="AG57" s="93" t="s">
        <v>470</v>
      </c>
      <c r="AH57" s="85" t="b">
        <v>0</v>
      </c>
      <c r="AI57" s="85" t="s">
        <v>473</v>
      </c>
      <c r="AJ57" s="85"/>
      <c r="AK57" s="93" t="s">
        <v>470</v>
      </c>
      <c r="AL57" s="85" t="b">
        <v>0</v>
      </c>
      <c r="AM57" s="85">
        <v>1</v>
      </c>
      <c r="AN57" s="93" t="s">
        <v>470</v>
      </c>
      <c r="AO57" s="85" t="s">
        <v>476</v>
      </c>
      <c r="AP57" s="85" t="b">
        <v>0</v>
      </c>
      <c r="AQ57" s="93" t="s">
        <v>448</v>
      </c>
      <c r="AR57" s="85" t="s">
        <v>213</v>
      </c>
      <c r="AS57" s="85">
        <v>0</v>
      </c>
      <c r="AT57" s="85">
        <v>0</v>
      </c>
      <c r="AU57" s="85"/>
      <c r="AV57" s="85"/>
      <c r="AW57" s="85"/>
      <c r="AX57" s="85"/>
      <c r="AY57" s="85"/>
      <c r="AZ57" s="85"/>
      <c r="BA57" s="85"/>
      <c r="BB57" s="85"/>
      <c r="BC57">
        <v>22</v>
      </c>
      <c r="BD57" s="84" t="str">
        <f>REPLACE(INDEX(GroupVertices[Group],MATCH(Edges[[#This Row],[Vertex 1]],GroupVertices[Vertex],0)),1,1,"")</f>
        <v>1</v>
      </c>
      <c r="BE57" s="84" t="str">
        <f>REPLACE(INDEX(GroupVertices[Group],MATCH(Edges[[#This Row],[Vertex 2]],GroupVertices[Vertex],0)),1,1,"")</f>
        <v>1</v>
      </c>
      <c r="BF57" s="51">
        <v>1</v>
      </c>
      <c r="BG57" s="52">
        <v>8.333333333333334</v>
      </c>
      <c r="BH57" s="51">
        <v>0</v>
      </c>
      <c r="BI57" s="52">
        <v>0</v>
      </c>
      <c r="BJ57" s="51">
        <v>0</v>
      </c>
      <c r="BK57" s="52">
        <v>0</v>
      </c>
      <c r="BL57" s="51">
        <v>11</v>
      </c>
      <c r="BM57" s="52">
        <v>91.66666666666667</v>
      </c>
      <c r="BN57" s="51">
        <v>12</v>
      </c>
    </row>
    <row r="58" spans="1:66" ht="30">
      <c r="A58" s="83" t="s">
        <v>272</v>
      </c>
      <c r="B58" s="83" t="s">
        <v>272</v>
      </c>
      <c r="C58" s="53" t="s">
        <v>1198</v>
      </c>
      <c r="D58" s="54">
        <v>10</v>
      </c>
      <c r="E58" s="66" t="s">
        <v>136</v>
      </c>
      <c r="F58" s="55">
        <v>6</v>
      </c>
      <c r="G58" s="53"/>
      <c r="H58" s="57"/>
      <c r="I58" s="56"/>
      <c r="J58" s="56"/>
      <c r="K58" s="36" t="s">
        <v>65</v>
      </c>
      <c r="L58" s="82">
        <v>58</v>
      </c>
      <c r="M58" s="82"/>
      <c r="N58" s="63"/>
      <c r="O58" s="85" t="s">
        <v>213</v>
      </c>
      <c r="P58" s="87">
        <v>44218.44310185185</v>
      </c>
      <c r="Q58" s="85" t="s">
        <v>305</v>
      </c>
      <c r="R58" s="85"/>
      <c r="S58" s="85"/>
      <c r="T58" s="85" t="s">
        <v>328</v>
      </c>
      <c r="U58" s="85"/>
      <c r="V58" s="89" t="str">
        <f>HYPERLINK("https://pbs.twimg.com/profile_images/774228058844852225/Z_rQuUK2_normal.jpg")</f>
        <v>https://pbs.twimg.com/profile_images/774228058844852225/Z_rQuUK2_normal.jpg</v>
      </c>
      <c r="W58" s="87">
        <v>44218.44310185185</v>
      </c>
      <c r="X58" s="91">
        <v>44218</v>
      </c>
      <c r="Y58" s="93" t="s">
        <v>380</v>
      </c>
      <c r="Z58" s="89" t="str">
        <f>HYPERLINK("https://twitter.com/rcpedintrainees/status/1352566192741998593")</f>
        <v>https://twitter.com/rcpedintrainees/status/1352566192741998593</v>
      </c>
      <c r="AA58" s="85"/>
      <c r="AB58" s="85"/>
      <c r="AC58" s="93" t="s">
        <v>449</v>
      </c>
      <c r="AD58" s="85"/>
      <c r="AE58" s="85" t="b">
        <v>0</v>
      </c>
      <c r="AF58" s="85">
        <v>3</v>
      </c>
      <c r="AG58" s="93" t="s">
        <v>470</v>
      </c>
      <c r="AH58" s="85" t="b">
        <v>0</v>
      </c>
      <c r="AI58" s="85" t="s">
        <v>473</v>
      </c>
      <c r="AJ58" s="85"/>
      <c r="AK58" s="93" t="s">
        <v>470</v>
      </c>
      <c r="AL58" s="85" t="b">
        <v>0</v>
      </c>
      <c r="AM58" s="85">
        <v>1</v>
      </c>
      <c r="AN58" s="93" t="s">
        <v>470</v>
      </c>
      <c r="AO58" s="85" t="s">
        <v>476</v>
      </c>
      <c r="AP58" s="85" t="b">
        <v>0</v>
      </c>
      <c r="AQ58" s="93" t="s">
        <v>449</v>
      </c>
      <c r="AR58" s="85" t="s">
        <v>213</v>
      </c>
      <c r="AS58" s="85">
        <v>0</v>
      </c>
      <c r="AT58" s="85">
        <v>0</v>
      </c>
      <c r="AU58" s="85"/>
      <c r="AV58" s="85"/>
      <c r="AW58" s="85"/>
      <c r="AX58" s="85"/>
      <c r="AY58" s="85"/>
      <c r="AZ58" s="85"/>
      <c r="BA58" s="85"/>
      <c r="BB58" s="85"/>
      <c r="BC58">
        <v>22</v>
      </c>
      <c r="BD58" s="84" t="str">
        <f>REPLACE(INDEX(GroupVertices[Group],MATCH(Edges[[#This Row],[Vertex 1]],GroupVertices[Vertex],0)),1,1,"")</f>
        <v>1</v>
      </c>
      <c r="BE58" s="84" t="str">
        <f>REPLACE(INDEX(GroupVertices[Group],MATCH(Edges[[#This Row],[Vertex 2]],GroupVertices[Vertex],0)),1,1,"")</f>
        <v>1</v>
      </c>
      <c r="BF58" s="51">
        <v>3</v>
      </c>
      <c r="BG58" s="52">
        <v>11.538461538461538</v>
      </c>
      <c r="BH58" s="51">
        <v>0</v>
      </c>
      <c r="BI58" s="52">
        <v>0</v>
      </c>
      <c r="BJ58" s="51">
        <v>0</v>
      </c>
      <c r="BK58" s="52">
        <v>0</v>
      </c>
      <c r="BL58" s="51">
        <v>23</v>
      </c>
      <c r="BM58" s="52">
        <v>88.46153846153847</v>
      </c>
      <c r="BN58" s="51">
        <v>26</v>
      </c>
    </row>
    <row r="59" spans="1:66" ht="30">
      <c r="A59" s="83" t="s">
        <v>272</v>
      </c>
      <c r="B59" s="83" t="s">
        <v>272</v>
      </c>
      <c r="C59" s="53" t="s">
        <v>1198</v>
      </c>
      <c r="D59" s="54">
        <v>10</v>
      </c>
      <c r="E59" s="66" t="s">
        <v>136</v>
      </c>
      <c r="F59" s="55">
        <v>6</v>
      </c>
      <c r="G59" s="53"/>
      <c r="H59" s="57"/>
      <c r="I59" s="56"/>
      <c r="J59" s="56"/>
      <c r="K59" s="36" t="s">
        <v>65</v>
      </c>
      <c r="L59" s="82">
        <v>59</v>
      </c>
      <c r="M59" s="82"/>
      <c r="N59" s="63"/>
      <c r="O59" s="85" t="s">
        <v>213</v>
      </c>
      <c r="P59" s="87">
        <v>44218.45398148148</v>
      </c>
      <c r="Q59" s="85" t="s">
        <v>316</v>
      </c>
      <c r="R59" s="85"/>
      <c r="S59" s="85"/>
      <c r="T59" s="85" t="s">
        <v>328</v>
      </c>
      <c r="U59" s="85"/>
      <c r="V59" s="89" t="str">
        <f>HYPERLINK("https://pbs.twimg.com/profile_images/774228058844852225/Z_rQuUK2_normal.jpg")</f>
        <v>https://pbs.twimg.com/profile_images/774228058844852225/Z_rQuUK2_normal.jpg</v>
      </c>
      <c r="W59" s="87">
        <v>44218.45398148148</v>
      </c>
      <c r="X59" s="91">
        <v>44218</v>
      </c>
      <c r="Y59" s="93" t="s">
        <v>381</v>
      </c>
      <c r="Z59" s="89" t="str">
        <f>HYPERLINK("https://twitter.com/rcpedintrainees/status/1352570134876082177")</f>
        <v>https://twitter.com/rcpedintrainees/status/1352570134876082177</v>
      </c>
      <c r="AA59" s="85"/>
      <c r="AB59" s="85"/>
      <c r="AC59" s="93" t="s">
        <v>450</v>
      </c>
      <c r="AD59" s="85"/>
      <c r="AE59" s="85" t="b">
        <v>0</v>
      </c>
      <c r="AF59" s="85">
        <v>2</v>
      </c>
      <c r="AG59" s="93" t="s">
        <v>470</v>
      </c>
      <c r="AH59" s="85" t="b">
        <v>0</v>
      </c>
      <c r="AI59" s="85" t="s">
        <v>473</v>
      </c>
      <c r="AJ59" s="85"/>
      <c r="AK59" s="93" t="s">
        <v>470</v>
      </c>
      <c r="AL59" s="85" t="b">
        <v>0</v>
      </c>
      <c r="AM59" s="85">
        <v>1</v>
      </c>
      <c r="AN59" s="93" t="s">
        <v>470</v>
      </c>
      <c r="AO59" s="85" t="s">
        <v>476</v>
      </c>
      <c r="AP59" s="85" t="b">
        <v>0</v>
      </c>
      <c r="AQ59" s="93" t="s">
        <v>450</v>
      </c>
      <c r="AR59" s="85" t="s">
        <v>213</v>
      </c>
      <c r="AS59" s="85">
        <v>0</v>
      </c>
      <c r="AT59" s="85">
        <v>0</v>
      </c>
      <c r="AU59" s="85"/>
      <c r="AV59" s="85"/>
      <c r="AW59" s="85"/>
      <c r="AX59" s="85"/>
      <c r="AY59" s="85"/>
      <c r="AZ59" s="85"/>
      <c r="BA59" s="85"/>
      <c r="BB59" s="85"/>
      <c r="BC59">
        <v>22</v>
      </c>
      <c r="BD59" s="84" t="str">
        <f>REPLACE(INDEX(GroupVertices[Group],MATCH(Edges[[#This Row],[Vertex 1]],GroupVertices[Vertex],0)),1,1,"")</f>
        <v>1</v>
      </c>
      <c r="BE59" s="84" t="str">
        <f>REPLACE(INDEX(GroupVertices[Group],MATCH(Edges[[#This Row],[Vertex 2]],GroupVertices[Vertex],0)),1,1,"")</f>
        <v>1</v>
      </c>
      <c r="BF59" s="51">
        <v>1</v>
      </c>
      <c r="BG59" s="52">
        <v>2.857142857142857</v>
      </c>
      <c r="BH59" s="51">
        <v>1</v>
      </c>
      <c r="BI59" s="52">
        <v>2.857142857142857</v>
      </c>
      <c r="BJ59" s="51">
        <v>0</v>
      </c>
      <c r="BK59" s="52">
        <v>0</v>
      </c>
      <c r="BL59" s="51">
        <v>33</v>
      </c>
      <c r="BM59" s="52">
        <v>94.28571428571429</v>
      </c>
      <c r="BN59" s="51">
        <v>35</v>
      </c>
    </row>
    <row r="60" spans="1:66" ht="30">
      <c r="A60" s="83" t="s">
        <v>272</v>
      </c>
      <c r="B60" s="83" t="s">
        <v>272</v>
      </c>
      <c r="C60" s="53" t="s">
        <v>1198</v>
      </c>
      <c r="D60" s="54">
        <v>10</v>
      </c>
      <c r="E60" s="66" t="s">
        <v>136</v>
      </c>
      <c r="F60" s="55">
        <v>6</v>
      </c>
      <c r="G60" s="53"/>
      <c r="H60" s="57"/>
      <c r="I60" s="56"/>
      <c r="J60" s="56"/>
      <c r="K60" s="36" t="s">
        <v>65</v>
      </c>
      <c r="L60" s="82">
        <v>60</v>
      </c>
      <c r="M60" s="82"/>
      <c r="N60" s="63"/>
      <c r="O60" s="85" t="s">
        <v>213</v>
      </c>
      <c r="P60" s="87">
        <v>44218.45863425926</v>
      </c>
      <c r="Q60" s="85" t="s">
        <v>304</v>
      </c>
      <c r="R60" s="85"/>
      <c r="S60" s="85"/>
      <c r="T60" s="85" t="s">
        <v>328</v>
      </c>
      <c r="U60" s="85"/>
      <c r="V60" s="89" t="str">
        <f>HYPERLINK("https://pbs.twimg.com/profile_images/774228058844852225/Z_rQuUK2_normal.jpg")</f>
        <v>https://pbs.twimg.com/profile_images/774228058844852225/Z_rQuUK2_normal.jpg</v>
      </c>
      <c r="W60" s="87">
        <v>44218.45863425926</v>
      </c>
      <c r="X60" s="91">
        <v>44218</v>
      </c>
      <c r="Y60" s="93" t="s">
        <v>382</v>
      </c>
      <c r="Z60" s="89" t="str">
        <f>HYPERLINK("https://twitter.com/rcpedintrainees/status/1352571821376364545")</f>
        <v>https://twitter.com/rcpedintrainees/status/1352571821376364545</v>
      </c>
      <c r="AA60" s="85"/>
      <c r="AB60" s="85"/>
      <c r="AC60" s="93" t="s">
        <v>451</v>
      </c>
      <c r="AD60" s="85"/>
      <c r="AE60" s="85" t="b">
        <v>0</v>
      </c>
      <c r="AF60" s="85">
        <v>2</v>
      </c>
      <c r="AG60" s="93" t="s">
        <v>470</v>
      </c>
      <c r="AH60" s="85" t="b">
        <v>0</v>
      </c>
      <c r="AI60" s="85" t="s">
        <v>473</v>
      </c>
      <c r="AJ60" s="85"/>
      <c r="AK60" s="93" t="s">
        <v>470</v>
      </c>
      <c r="AL60" s="85" t="b">
        <v>0</v>
      </c>
      <c r="AM60" s="85">
        <v>1</v>
      </c>
      <c r="AN60" s="93" t="s">
        <v>470</v>
      </c>
      <c r="AO60" s="85" t="s">
        <v>476</v>
      </c>
      <c r="AP60" s="85" t="b">
        <v>0</v>
      </c>
      <c r="AQ60" s="93" t="s">
        <v>451</v>
      </c>
      <c r="AR60" s="85" t="s">
        <v>213</v>
      </c>
      <c r="AS60" s="85">
        <v>0</v>
      </c>
      <c r="AT60" s="85">
        <v>0</v>
      </c>
      <c r="AU60" s="85"/>
      <c r="AV60" s="85"/>
      <c r="AW60" s="85"/>
      <c r="AX60" s="85"/>
      <c r="AY60" s="85"/>
      <c r="AZ60" s="85"/>
      <c r="BA60" s="85"/>
      <c r="BB60" s="85"/>
      <c r="BC60">
        <v>22</v>
      </c>
      <c r="BD60" s="84" t="str">
        <f>REPLACE(INDEX(GroupVertices[Group],MATCH(Edges[[#This Row],[Vertex 1]],GroupVertices[Vertex],0)),1,1,"")</f>
        <v>1</v>
      </c>
      <c r="BE60" s="84" t="str">
        <f>REPLACE(INDEX(GroupVertices[Group],MATCH(Edges[[#This Row],[Vertex 2]],GroupVertices[Vertex],0)),1,1,"")</f>
        <v>1</v>
      </c>
      <c r="BF60" s="51">
        <v>1</v>
      </c>
      <c r="BG60" s="52">
        <v>2.9411764705882355</v>
      </c>
      <c r="BH60" s="51">
        <v>0</v>
      </c>
      <c r="BI60" s="52">
        <v>0</v>
      </c>
      <c r="BJ60" s="51">
        <v>0</v>
      </c>
      <c r="BK60" s="52">
        <v>0</v>
      </c>
      <c r="BL60" s="51">
        <v>33</v>
      </c>
      <c r="BM60" s="52">
        <v>97.05882352941177</v>
      </c>
      <c r="BN60" s="51">
        <v>34</v>
      </c>
    </row>
    <row r="61" spans="1:66" ht="30">
      <c r="A61" s="83" t="s">
        <v>272</v>
      </c>
      <c r="B61" s="83" t="s">
        <v>272</v>
      </c>
      <c r="C61" s="53" t="s">
        <v>1198</v>
      </c>
      <c r="D61" s="54">
        <v>10</v>
      </c>
      <c r="E61" s="66" t="s">
        <v>136</v>
      </c>
      <c r="F61" s="55">
        <v>6</v>
      </c>
      <c r="G61" s="53"/>
      <c r="H61" s="57"/>
      <c r="I61" s="56"/>
      <c r="J61" s="56"/>
      <c r="K61" s="36" t="s">
        <v>65</v>
      </c>
      <c r="L61" s="82">
        <v>61</v>
      </c>
      <c r="M61" s="82"/>
      <c r="N61" s="63"/>
      <c r="O61" s="85" t="s">
        <v>213</v>
      </c>
      <c r="P61" s="87">
        <v>44218.465162037035</v>
      </c>
      <c r="Q61" s="85" t="s">
        <v>302</v>
      </c>
      <c r="R61" s="85"/>
      <c r="S61" s="85"/>
      <c r="T61" s="85" t="s">
        <v>328</v>
      </c>
      <c r="U61" s="85"/>
      <c r="V61" s="89" t="str">
        <f>HYPERLINK("https://pbs.twimg.com/profile_images/774228058844852225/Z_rQuUK2_normal.jpg")</f>
        <v>https://pbs.twimg.com/profile_images/774228058844852225/Z_rQuUK2_normal.jpg</v>
      </c>
      <c r="W61" s="87">
        <v>44218.465162037035</v>
      </c>
      <c r="X61" s="91">
        <v>44218</v>
      </c>
      <c r="Y61" s="93" t="s">
        <v>383</v>
      </c>
      <c r="Z61" s="89" t="str">
        <f>HYPERLINK("https://twitter.com/rcpedintrainees/status/1352574187852996609")</f>
        <v>https://twitter.com/rcpedintrainees/status/1352574187852996609</v>
      </c>
      <c r="AA61" s="85"/>
      <c r="AB61" s="85"/>
      <c r="AC61" s="93" t="s">
        <v>452</v>
      </c>
      <c r="AD61" s="85"/>
      <c r="AE61" s="85" t="b">
        <v>0</v>
      </c>
      <c r="AF61" s="85">
        <v>5</v>
      </c>
      <c r="AG61" s="93" t="s">
        <v>470</v>
      </c>
      <c r="AH61" s="85" t="b">
        <v>0</v>
      </c>
      <c r="AI61" s="85" t="s">
        <v>473</v>
      </c>
      <c r="AJ61" s="85"/>
      <c r="AK61" s="93" t="s">
        <v>470</v>
      </c>
      <c r="AL61" s="85" t="b">
        <v>0</v>
      </c>
      <c r="AM61" s="85">
        <v>1</v>
      </c>
      <c r="AN61" s="93" t="s">
        <v>470</v>
      </c>
      <c r="AO61" s="85" t="s">
        <v>476</v>
      </c>
      <c r="AP61" s="85" t="b">
        <v>0</v>
      </c>
      <c r="AQ61" s="93" t="s">
        <v>452</v>
      </c>
      <c r="AR61" s="85" t="s">
        <v>213</v>
      </c>
      <c r="AS61" s="85">
        <v>0</v>
      </c>
      <c r="AT61" s="85">
        <v>0</v>
      </c>
      <c r="AU61" s="85"/>
      <c r="AV61" s="85"/>
      <c r="AW61" s="85"/>
      <c r="AX61" s="85"/>
      <c r="AY61" s="85"/>
      <c r="AZ61" s="85"/>
      <c r="BA61" s="85"/>
      <c r="BB61" s="85"/>
      <c r="BC61">
        <v>22</v>
      </c>
      <c r="BD61" s="84" t="str">
        <f>REPLACE(INDEX(GroupVertices[Group],MATCH(Edges[[#This Row],[Vertex 1]],GroupVertices[Vertex],0)),1,1,"")</f>
        <v>1</v>
      </c>
      <c r="BE61" s="84" t="str">
        <f>REPLACE(INDEX(GroupVertices[Group],MATCH(Edges[[#This Row],[Vertex 2]],GroupVertices[Vertex],0)),1,1,"")</f>
        <v>1</v>
      </c>
      <c r="BF61" s="51">
        <v>5</v>
      </c>
      <c r="BG61" s="52">
        <v>13.88888888888889</v>
      </c>
      <c r="BH61" s="51">
        <v>0</v>
      </c>
      <c r="BI61" s="52">
        <v>0</v>
      </c>
      <c r="BJ61" s="51">
        <v>0</v>
      </c>
      <c r="BK61" s="52">
        <v>0</v>
      </c>
      <c r="BL61" s="51">
        <v>31</v>
      </c>
      <c r="BM61" s="52">
        <v>86.11111111111111</v>
      </c>
      <c r="BN61" s="51">
        <v>36</v>
      </c>
    </row>
    <row r="62" spans="1:66" ht="30">
      <c r="A62" s="83" t="s">
        <v>272</v>
      </c>
      <c r="B62" s="83" t="s">
        <v>272</v>
      </c>
      <c r="C62" s="53" t="s">
        <v>1198</v>
      </c>
      <c r="D62" s="54">
        <v>10</v>
      </c>
      <c r="E62" s="66" t="s">
        <v>136</v>
      </c>
      <c r="F62" s="55">
        <v>6</v>
      </c>
      <c r="G62" s="53"/>
      <c r="H62" s="57"/>
      <c r="I62" s="56"/>
      <c r="J62" s="56"/>
      <c r="K62" s="36" t="s">
        <v>65</v>
      </c>
      <c r="L62" s="82">
        <v>62</v>
      </c>
      <c r="M62" s="82"/>
      <c r="N62" s="63"/>
      <c r="O62" s="85" t="s">
        <v>213</v>
      </c>
      <c r="P62" s="87">
        <v>44218.48405092592</v>
      </c>
      <c r="Q62" s="85" t="s">
        <v>317</v>
      </c>
      <c r="R62" s="85"/>
      <c r="S62" s="85"/>
      <c r="T62" s="85" t="s">
        <v>328</v>
      </c>
      <c r="U62" s="85"/>
      <c r="V62" s="89" t="str">
        <f>HYPERLINK("https://pbs.twimg.com/profile_images/774228058844852225/Z_rQuUK2_normal.jpg")</f>
        <v>https://pbs.twimg.com/profile_images/774228058844852225/Z_rQuUK2_normal.jpg</v>
      </c>
      <c r="W62" s="87">
        <v>44218.48405092592</v>
      </c>
      <c r="X62" s="91">
        <v>44218</v>
      </c>
      <c r="Y62" s="93" t="s">
        <v>384</v>
      </c>
      <c r="Z62" s="89" t="str">
        <f>HYPERLINK("https://twitter.com/rcpedintrainees/status/1352581030386028544")</f>
        <v>https://twitter.com/rcpedintrainees/status/1352581030386028544</v>
      </c>
      <c r="AA62" s="85"/>
      <c r="AB62" s="85"/>
      <c r="AC62" s="93" t="s">
        <v>453</v>
      </c>
      <c r="AD62" s="85"/>
      <c r="AE62" s="85" t="b">
        <v>0</v>
      </c>
      <c r="AF62" s="85">
        <v>0</v>
      </c>
      <c r="AG62" s="93" t="s">
        <v>470</v>
      </c>
      <c r="AH62" s="85" t="b">
        <v>0</v>
      </c>
      <c r="AI62" s="85" t="s">
        <v>473</v>
      </c>
      <c r="AJ62" s="85"/>
      <c r="AK62" s="93" t="s">
        <v>470</v>
      </c>
      <c r="AL62" s="85" t="b">
        <v>0</v>
      </c>
      <c r="AM62" s="85">
        <v>0</v>
      </c>
      <c r="AN62" s="93" t="s">
        <v>470</v>
      </c>
      <c r="AO62" s="85" t="s">
        <v>476</v>
      </c>
      <c r="AP62" s="85" t="b">
        <v>0</v>
      </c>
      <c r="AQ62" s="93" t="s">
        <v>453</v>
      </c>
      <c r="AR62" s="85" t="s">
        <v>213</v>
      </c>
      <c r="AS62" s="85">
        <v>0</v>
      </c>
      <c r="AT62" s="85">
        <v>0</v>
      </c>
      <c r="AU62" s="85"/>
      <c r="AV62" s="85"/>
      <c r="AW62" s="85"/>
      <c r="AX62" s="85"/>
      <c r="AY62" s="85"/>
      <c r="AZ62" s="85"/>
      <c r="BA62" s="85"/>
      <c r="BB62" s="85"/>
      <c r="BC62">
        <v>22</v>
      </c>
      <c r="BD62" s="84" t="str">
        <f>REPLACE(INDEX(GroupVertices[Group],MATCH(Edges[[#This Row],[Vertex 1]],GroupVertices[Vertex],0)),1,1,"")</f>
        <v>1</v>
      </c>
      <c r="BE62" s="84" t="str">
        <f>REPLACE(INDEX(GroupVertices[Group],MATCH(Edges[[#This Row],[Vertex 2]],GroupVertices[Vertex],0)),1,1,"")</f>
        <v>1</v>
      </c>
      <c r="BF62" s="51">
        <v>1</v>
      </c>
      <c r="BG62" s="52">
        <v>2.7777777777777777</v>
      </c>
      <c r="BH62" s="51">
        <v>3</v>
      </c>
      <c r="BI62" s="52">
        <v>8.333333333333334</v>
      </c>
      <c r="BJ62" s="51">
        <v>0</v>
      </c>
      <c r="BK62" s="52">
        <v>0</v>
      </c>
      <c r="BL62" s="51">
        <v>32</v>
      </c>
      <c r="BM62" s="52">
        <v>88.88888888888889</v>
      </c>
      <c r="BN62" s="51">
        <v>36</v>
      </c>
    </row>
    <row r="63" spans="1:66" ht="30">
      <c r="A63" s="83" t="s">
        <v>272</v>
      </c>
      <c r="B63" s="83" t="s">
        <v>272</v>
      </c>
      <c r="C63" s="53" t="s">
        <v>1198</v>
      </c>
      <c r="D63" s="54">
        <v>10</v>
      </c>
      <c r="E63" s="66" t="s">
        <v>136</v>
      </c>
      <c r="F63" s="55">
        <v>6</v>
      </c>
      <c r="G63" s="53"/>
      <c r="H63" s="57"/>
      <c r="I63" s="56"/>
      <c r="J63" s="56"/>
      <c r="K63" s="36" t="s">
        <v>65</v>
      </c>
      <c r="L63" s="82">
        <v>63</v>
      </c>
      <c r="M63" s="82"/>
      <c r="N63" s="63"/>
      <c r="O63" s="85" t="s">
        <v>213</v>
      </c>
      <c r="P63" s="87">
        <v>44218.516435185185</v>
      </c>
      <c r="Q63" s="85" t="s">
        <v>295</v>
      </c>
      <c r="R63" s="85"/>
      <c r="S63" s="85"/>
      <c r="T63" s="85" t="s">
        <v>328</v>
      </c>
      <c r="U63" s="89" t="str">
        <f>HYPERLINK("https://pbs.twimg.com/tweet_video_thumb/EsVf83GXIAIlMXm.jpg")</f>
        <v>https://pbs.twimg.com/tweet_video_thumb/EsVf83GXIAIlMXm.jpg</v>
      </c>
      <c r="V63" s="89" t="str">
        <f>HYPERLINK("https://pbs.twimg.com/tweet_video_thumb/EsVf83GXIAIlMXm.jpg")</f>
        <v>https://pbs.twimg.com/tweet_video_thumb/EsVf83GXIAIlMXm.jpg</v>
      </c>
      <c r="W63" s="87">
        <v>44218.516435185185</v>
      </c>
      <c r="X63" s="91">
        <v>44218</v>
      </c>
      <c r="Y63" s="93" t="s">
        <v>385</v>
      </c>
      <c r="Z63" s="89" t="str">
        <f>HYPERLINK("https://twitter.com/rcpedintrainees/status/1352592769848631296")</f>
        <v>https://twitter.com/rcpedintrainees/status/1352592769848631296</v>
      </c>
      <c r="AA63" s="85"/>
      <c r="AB63" s="85"/>
      <c r="AC63" s="93" t="s">
        <v>454</v>
      </c>
      <c r="AD63" s="85"/>
      <c r="AE63" s="85" t="b">
        <v>0</v>
      </c>
      <c r="AF63" s="85">
        <v>15</v>
      </c>
      <c r="AG63" s="93" t="s">
        <v>470</v>
      </c>
      <c r="AH63" s="85" t="b">
        <v>0</v>
      </c>
      <c r="AI63" s="85" t="s">
        <v>473</v>
      </c>
      <c r="AJ63" s="85"/>
      <c r="AK63" s="93" t="s">
        <v>470</v>
      </c>
      <c r="AL63" s="85" t="b">
        <v>0</v>
      </c>
      <c r="AM63" s="85">
        <v>3</v>
      </c>
      <c r="AN63" s="93" t="s">
        <v>470</v>
      </c>
      <c r="AO63" s="85" t="s">
        <v>476</v>
      </c>
      <c r="AP63" s="85" t="b">
        <v>0</v>
      </c>
      <c r="AQ63" s="93" t="s">
        <v>454</v>
      </c>
      <c r="AR63" s="85" t="s">
        <v>213</v>
      </c>
      <c r="AS63" s="85">
        <v>0</v>
      </c>
      <c r="AT63" s="85">
        <v>0</v>
      </c>
      <c r="AU63" s="85"/>
      <c r="AV63" s="85"/>
      <c r="AW63" s="85"/>
      <c r="AX63" s="85"/>
      <c r="AY63" s="85"/>
      <c r="AZ63" s="85"/>
      <c r="BA63" s="85"/>
      <c r="BB63" s="85"/>
      <c r="BC63">
        <v>22</v>
      </c>
      <c r="BD63" s="84" t="str">
        <f>REPLACE(INDEX(GroupVertices[Group],MATCH(Edges[[#This Row],[Vertex 1]],GroupVertices[Vertex],0)),1,1,"")</f>
        <v>1</v>
      </c>
      <c r="BE63" s="84" t="str">
        <f>REPLACE(INDEX(GroupVertices[Group],MATCH(Edges[[#This Row],[Vertex 2]],GroupVertices[Vertex],0)),1,1,"")</f>
        <v>1</v>
      </c>
      <c r="BF63" s="51">
        <v>2</v>
      </c>
      <c r="BG63" s="52">
        <v>5.882352941176471</v>
      </c>
      <c r="BH63" s="51">
        <v>0</v>
      </c>
      <c r="BI63" s="52">
        <v>0</v>
      </c>
      <c r="BJ63" s="51">
        <v>0</v>
      </c>
      <c r="BK63" s="52">
        <v>0</v>
      </c>
      <c r="BL63" s="51">
        <v>32</v>
      </c>
      <c r="BM63" s="52">
        <v>94.11764705882354</v>
      </c>
      <c r="BN63" s="51">
        <v>34</v>
      </c>
    </row>
    <row r="64" spans="1:66" ht="30">
      <c r="A64" s="83" t="s">
        <v>272</v>
      </c>
      <c r="B64" s="83" t="s">
        <v>272</v>
      </c>
      <c r="C64" s="53" t="s">
        <v>1198</v>
      </c>
      <c r="D64" s="54">
        <v>10</v>
      </c>
      <c r="E64" s="66" t="s">
        <v>136</v>
      </c>
      <c r="F64" s="55">
        <v>6</v>
      </c>
      <c r="G64" s="53"/>
      <c r="H64" s="57"/>
      <c r="I64" s="56"/>
      <c r="J64" s="56"/>
      <c r="K64" s="36" t="s">
        <v>65</v>
      </c>
      <c r="L64" s="82">
        <v>64</v>
      </c>
      <c r="M64" s="82"/>
      <c r="N64" s="63"/>
      <c r="O64" s="85" t="s">
        <v>213</v>
      </c>
      <c r="P64" s="87">
        <v>44218.552511574075</v>
      </c>
      <c r="Q64" s="85" t="s">
        <v>306</v>
      </c>
      <c r="R64" s="85"/>
      <c r="S64" s="85"/>
      <c r="T64" s="85" t="s">
        <v>330</v>
      </c>
      <c r="U64" s="85"/>
      <c r="V64" s="89" t="str">
        <f>HYPERLINK("https://pbs.twimg.com/profile_images/774228058844852225/Z_rQuUK2_normal.jpg")</f>
        <v>https://pbs.twimg.com/profile_images/774228058844852225/Z_rQuUK2_normal.jpg</v>
      </c>
      <c r="W64" s="87">
        <v>44218.552511574075</v>
      </c>
      <c r="X64" s="91">
        <v>44218</v>
      </c>
      <c r="Y64" s="93" t="s">
        <v>386</v>
      </c>
      <c r="Z64" s="89" t="str">
        <f>HYPERLINK("https://twitter.com/rcpedintrainees/status/1352605840021319684")</f>
        <v>https://twitter.com/rcpedintrainees/status/1352605840021319684</v>
      </c>
      <c r="AA64" s="85"/>
      <c r="AB64" s="85"/>
      <c r="AC64" s="93" t="s">
        <v>455</v>
      </c>
      <c r="AD64" s="85"/>
      <c r="AE64" s="85" t="b">
        <v>0</v>
      </c>
      <c r="AF64" s="85">
        <v>4</v>
      </c>
      <c r="AG64" s="93" t="s">
        <v>470</v>
      </c>
      <c r="AH64" s="85" t="b">
        <v>0</v>
      </c>
      <c r="AI64" s="85" t="s">
        <v>473</v>
      </c>
      <c r="AJ64" s="85"/>
      <c r="AK64" s="93" t="s">
        <v>470</v>
      </c>
      <c r="AL64" s="85" t="b">
        <v>0</v>
      </c>
      <c r="AM64" s="85">
        <v>2</v>
      </c>
      <c r="AN64" s="93" t="s">
        <v>470</v>
      </c>
      <c r="AO64" s="85" t="s">
        <v>477</v>
      </c>
      <c r="AP64" s="85" t="b">
        <v>0</v>
      </c>
      <c r="AQ64" s="93" t="s">
        <v>455</v>
      </c>
      <c r="AR64" s="85" t="s">
        <v>213</v>
      </c>
      <c r="AS64" s="85">
        <v>0</v>
      </c>
      <c r="AT64" s="85">
        <v>0</v>
      </c>
      <c r="AU64" s="85"/>
      <c r="AV64" s="85"/>
      <c r="AW64" s="85"/>
      <c r="AX64" s="85"/>
      <c r="AY64" s="85"/>
      <c r="AZ64" s="85"/>
      <c r="BA64" s="85"/>
      <c r="BB64" s="85"/>
      <c r="BC64">
        <v>22</v>
      </c>
      <c r="BD64" s="84" t="str">
        <f>REPLACE(INDEX(GroupVertices[Group],MATCH(Edges[[#This Row],[Vertex 1]],GroupVertices[Vertex],0)),1,1,"")</f>
        <v>1</v>
      </c>
      <c r="BE64" s="84" t="str">
        <f>REPLACE(INDEX(GroupVertices[Group],MATCH(Edges[[#This Row],[Vertex 2]],GroupVertices[Vertex],0)),1,1,"")</f>
        <v>1</v>
      </c>
      <c r="BF64" s="51">
        <v>1</v>
      </c>
      <c r="BG64" s="52">
        <v>2.9411764705882355</v>
      </c>
      <c r="BH64" s="51">
        <v>3</v>
      </c>
      <c r="BI64" s="52">
        <v>8.823529411764707</v>
      </c>
      <c r="BJ64" s="51">
        <v>0</v>
      </c>
      <c r="BK64" s="52">
        <v>0</v>
      </c>
      <c r="BL64" s="51">
        <v>30</v>
      </c>
      <c r="BM64" s="52">
        <v>88.23529411764706</v>
      </c>
      <c r="BN64" s="51">
        <v>34</v>
      </c>
    </row>
    <row r="65" spans="1:66" ht="30">
      <c r="A65" s="83" t="s">
        <v>272</v>
      </c>
      <c r="B65" s="83" t="s">
        <v>272</v>
      </c>
      <c r="C65" s="53" t="s">
        <v>1198</v>
      </c>
      <c r="D65" s="54">
        <v>10</v>
      </c>
      <c r="E65" s="66" t="s">
        <v>136</v>
      </c>
      <c r="F65" s="55">
        <v>6</v>
      </c>
      <c r="G65" s="53"/>
      <c r="H65" s="57"/>
      <c r="I65" s="56"/>
      <c r="J65" s="56"/>
      <c r="K65" s="36" t="s">
        <v>65</v>
      </c>
      <c r="L65" s="82">
        <v>65</v>
      </c>
      <c r="M65" s="82"/>
      <c r="N65" s="63"/>
      <c r="O65" s="85" t="s">
        <v>213</v>
      </c>
      <c r="P65" s="87">
        <v>44218.57703703704</v>
      </c>
      <c r="Q65" s="85" t="s">
        <v>318</v>
      </c>
      <c r="R65" s="85"/>
      <c r="S65" s="85"/>
      <c r="T65" s="85" t="s">
        <v>328</v>
      </c>
      <c r="U65" s="89" t="str">
        <f>HYPERLINK("https://pbs.twimg.com/tweet_video_thumb/EsVz68hXYAAi5KH.jpg")</f>
        <v>https://pbs.twimg.com/tweet_video_thumb/EsVz68hXYAAi5KH.jpg</v>
      </c>
      <c r="V65" s="89" t="str">
        <f>HYPERLINK("https://pbs.twimg.com/tweet_video_thumb/EsVz68hXYAAi5KH.jpg")</f>
        <v>https://pbs.twimg.com/tweet_video_thumb/EsVz68hXYAAi5KH.jpg</v>
      </c>
      <c r="W65" s="87">
        <v>44218.57703703704</v>
      </c>
      <c r="X65" s="91">
        <v>44218</v>
      </c>
      <c r="Y65" s="93" t="s">
        <v>387</v>
      </c>
      <c r="Z65" s="89" t="str">
        <f>HYPERLINK("https://twitter.com/rcpedintrainees/status/1352614731408932868")</f>
        <v>https://twitter.com/rcpedintrainees/status/1352614731408932868</v>
      </c>
      <c r="AA65" s="85"/>
      <c r="AB65" s="85"/>
      <c r="AC65" s="93" t="s">
        <v>456</v>
      </c>
      <c r="AD65" s="85"/>
      <c r="AE65" s="85" t="b">
        <v>0</v>
      </c>
      <c r="AF65" s="85">
        <v>0</v>
      </c>
      <c r="AG65" s="93" t="s">
        <v>470</v>
      </c>
      <c r="AH65" s="85" t="b">
        <v>0</v>
      </c>
      <c r="AI65" s="85" t="s">
        <v>473</v>
      </c>
      <c r="AJ65" s="85"/>
      <c r="AK65" s="93" t="s">
        <v>470</v>
      </c>
      <c r="AL65" s="85" t="b">
        <v>0</v>
      </c>
      <c r="AM65" s="85">
        <v>0</v>
      </c>
      <c r="AN65" s="93" t="s">
        <v>470</v>
      </c>
      <c r="AO65" s="85" t="s">
        <v>477</v>
      </c>
      <c r="AP65" s="85" t="b">
        <v>0</v>
      </c>
      <c r="AQ65" s="93" t="s">
        <v>456</v>
      </c>
      <c r="AR65" s="85" t="s">
        <v>213</v>
      </c>
      <c r="AS65" s="85">
        <v>0</v>
      </c>
      <c r="AT65" s="85">
        <v>0</v>
      </c>
      <c r="AU65" s="85"/>
      <c r="AV65" s="85"/>
      <c r="AW65" s="85"/>
      <c r="AX65" s="85"/>
      <c r="AY65" s="85"/>
      <c r="AZ65" s="85"/>
      <c r="BA65" s="85"/>
      <c r="BB65" s="85"/>
      <c r="BC65">
        <v>22</v>
      </c>
      <c r="BD65" s="84" t="str">
        <f>REPLACE(INDEX(GroupVertices[Group],MATCH(Edges[[#This Row],[Vertex 1]],GroupVertices[Vertex],0)),1,1,"")</f>
        <v>1</v>
      </c>
      <c r="BE65" s="84" t="str">
        <f>REPLACE(INDEX(GroupVertices[Group],MATCH(Edges[[#This Row],[Vertex 2]],GroupVertices[Vertex],0)),1,1,"")</f>
        <v>1</v>
      </c>
      <c r="BF65" s="51">
        <v>1</v>
      </c>
      <c r="BG65" s="52">
        <v>2.3255813953488373</v>
      </c>
      <c r="BH65" s="51">
        <v>1</v>
      </c>
      <c r="BI65" s="52">
        <v>2.3255813953488373</v>
      </c>
      <c r="BJ65" s="51">
        <v>0</v>
      </c>
      <c r="BK65" s="52">
        <v>0</v>
      </c>
      <c r="BL65" s="51">
        <v>41</v>
      </c>
      <c r="BM65" s="52">
        <v>95.34883720930233</v>
      </c>
      <c r="BN65" s="51">
        <v>43</v>
      </c>
    </row>
    <row r="66" spans="1:66" ht="30">
      <c r="A66" s="83" t="s">
        <v>272</v>
      </c>
      <c r="B66" s="83" t="s">
        <v>272</v>
      </c>
      <c r="C66" s="53" t="s">
        <v>1198</v>
      </c>
      <c r="D66" s="54">
        <v>10</v>
      </c>
      <c r="E66" s="66" t="s">
        <v>136</v>
      </c>
      <c r="F66" s="55">
        <v>6</v>
      </c>
      <c r="G66" s="53"/>
      <c r="H66" s="57"/>
      <c r="I66" s="56"/>
      <c r="J66" s="56"/>
      <c r="K66" s="36" t="s">
        <v>65</v>
      </c>
      <c r="L66" s="82">
        <v>66</v>
      </c>
      <c r="M66" s="82"/>
      <c r="N66" s="63"/>
      <c r="O66" s="85" t="s">
        <v>213</v>
      </c>
      <c r="P66" s="87">
        <v>44218.57938657407</v>
      </c>
      <c r="Q66" s="85" t="s">
        <v>307</v>
      </c>
      <c r="R66" s="85"/>
      <c r="S66" s="85"/>
      <c r="T66" s="85" t="s">
        <v>330</v>
      </c>
      <c r="U66" s="89" t="str">
        <f>HYPERLINK("https://pbs.twimg.com/tweet_video_thumb/EsV0sWLW4AEyvJG.jpg")</f>
        <v>https://pbs.twimg.com/tweet_video_thumb/EsV0sWLW4AEyvJG.jpg</v>
      </c>
      <c r="V66" s="89" t="str">
        <f>HYPERLINK("https://pbs.twimg.com/tweet_video_thumb/EsV0sWLW4AEyvJG.jpg")</f>
        <v>https://pbs.twimg.com/tweet_video_thumb/EsV0sWLW4AEyvJG.jpg</v>
      </c>
      <c r="W66" s="87">
        <v>44218.57938657407</v>
      </c>
      <c r="X66" s="91">
        <v>44218</v>
      </c>
      <c r="Y66" s="93" t="s">
        <v>388</v>
      </c>
      <c r="Z66" s="89" t="str">
        <f>HYPERLINK("https://twitter.com/rcpedintrainees/status/1352615580193468417")</f>
        <v>https://twitter.com/rcpedintrainees/status/1352615580193468417</v>
      </c>
      <c r="AA66" s="85"/>
      <c r="AB66" s="85"/>
      <c r="AC66" s="93" t="s">
        <v>457</v>
      </c>
      <c r="AD66" s="85"/>
      <c r="AE66" s="85" t="b">
        <v>0</v>
      </c>
      <c r="AF66" s="85">
        <v>1</v>
      </c>
      <c r="AG66" s="93" t="s">
        <v>470</v>
      </c>
      <c r="AH66" s="85" t="b">
        <v>0</v>
      </c>
      <c r="AI66" s="85" t="s">
        <v>473</v>
      </c>
      <c r="AJ66" s="85"/>
      <c r="AK66" s="93" t="s">
        <v>470</v>
      </c>
      <c r="AL66" s="85" t="b">
        <v>0</v>
      </c>
      <c r="AM66" s="85">
        <v>1</v>
      </c>
      <c r="AN66" s="93" t="s">
        <v>470</v>
      </c>
      <c r="AO66" s="85" t="s">
        <v>477</v>
      </c>
      <c r="AP66" s="85" t="b">
        <v>0</v>
      </c>
      <c r="AQ66" s="93" t="s">
        <v>457</v>
      </c>
      <c r="AR66" s="85" t="s">
        <v>213</v>
      </c>
      <c r="AS66" s="85">
        <v>0</v>
      </c>
      <c r="AT66" s="85">
        <v>0</v>
      </c>
      <c r="AU66" s="85"/>
      <c r="AV66" s="85"/>
      <c r="AW66" s="85"/>
      <c r="AX66" s="85"/>
      <c r="AY66" s="85"/>
      <c r="AZ66" s="85"/>
      <c r="BA66" s="85"/>
      <c r="BB66" s="85"/>
      <c r="BC66">
        <v>22</v>
      </c>
      <c r="BD66" s="84" t="str">
        <f>REPLACE(INDEX(GroupVertices[Group],MATCH(Edges[[#This Row],[Vertex 1]],GroupVertices[Vertex],0)),1,1,"")</f>
        <v>1</v>
      </c>
      <c r="BE66" s="84" t="str">
        <f>REPLACE(INDEX(GroupVertices[Group],MATCH(Edges[[#This Row],[Vertex 2]],GroupVertices[Vertex],0)),1,1,"")</f>
        <v>1</v>
      </c>
      <c r="BF66" s="51">
        <v>1</v>
      </c>
      <c r="BG66" s="52">
        <v>3.125</v>
      </c>
      <c r="BH66" s="51">
        <v>1</v>
      </c>
      <c r="BI66" s="52">
        <v>3.125</v>
      </c>
      <c r="BJ66" s="51">
        <v>0</v>
      </c>
      <c r="BK66" s="52">
        <v>0</v>
      </c>
      <c r="BL66" s="51">
        <v>30</v>
      </c>
      <c r="BM66" s="52">
        <v>93.75</v>
      </c>
      <c r="BN66" s="51">
        <v>32</v>
      </c>
    </row>
    <row r="67" spans="1:66" ht="30">
      <c r="A67" s="83" t="s">
        <v>272</v>
      </c>
      <c r="B67" s="83" t="s">
        <v>272</v>
      </c>
      <c r="C67" s="53" t="s">
        <v>1198</v>
      </c>
      <c r="D67" s="54">
        <v>10</v>
      </c>
      <c r="E67" s="66" t="s">
        <v>136</v>
      </c>
      <c r="F67" s="55">
        <v>6</v>
      </c>
      <c r="G67" s="53"/>
      <c r="H67" s="57"/>
      <c r="I67" s="56"/>
      <c r="J67" s="56"/>
      <c r="K67" s="36" t="s">
        <v>65</v>
      </c>
      <c r="L67" s="82">
        <v>67</v>
      </c>
      <c r="M67" s="82"/>
      <c r="N67" s="63"/>
      <c r="O67" s="85" t="s">
        <v>213</v>
      </c>
      <c r="P67" s="87">
        <v>44218.58173611111</v>
      </c>
      <c r="Q67" s="85" t="s">
        <v>319</v>
      </c>
      <c r="R67" s="85"/>
      <c r="S67" s="85"/>
      <c r="T67" s="85" t="s">
        <v>328</v>
      </c>
      <c r="U67" s="85"/>
      <c r="V67" s="89" t="str">
        <f>HYPERLINK("https://pbs.twimg.com/profile_images/774228058844852225/Z_rQuUK2_normal.jpg")</f>
        <v>https://pbs.twimg.com/profile_images/774228058844852225/Z_rQuUK2_normal.jpg</v>
      </c>
      <c r="W67" s="87">
        <v>44218.58173611111</v>
      </c>
      <c r="X67" s="91">
        <v>44218</v>
      </c>
      <c r="Y67" s="93" t="s">
        <v>389</v>
      </c>
      <c r="Z67" s="89" t="str">
        <f>HYPERLINK("https://twitter.com/rcpedintrainees/status/1352616433998557188")</f>
        <v>https://twitter.com/rcpedintrainees/status/1352616433998557188</v>
      </c>
      <c r="AA67" s="85"/>
      <c r="AB67" s="85"/>
      <c r="AC67" s="93" t="s">
        <v>458</v>
      </c>
      <c r="AD67" s="85"/>
      <c r="AE67" s="85" t="b">
        <v>0</v>
      </c>
      <c r="AF67" s="85">
        <v>2</v>
      </c>
      <c r="AG67" s="93" t="s">
        <v>470</v>
      </c>
      <c r="AH67" s="85" t="b">
        <v>0</v>
      </c>
      <c r="AI67" s="85" t="s">
        <v>473</v>
      </c>
      <c r="AJ67" s="85"/>
      <c r="AK67" s="93" t="s">
        <v>470</v>
      </c>
      <c r="AL67" s="85" t="b">
        <v>0</v>
      </c>
      <c r="AM67" s="85">
        <v>2</v>
      </c>
      <c r="AN67" s="93" t="s">
        <v>470</v>
      </c>
      <c r="AO67" s="85" t="s">
        <v>477</v>
      </c>
      <c r="AP67" s="85" t="b">
        <v>0</v>
      </c>
      <c r="AQ67" s="93" t="s">
        <v>458</v>
      </c>
      <c r="AR67" s="85" t="s">
        <v>213</v>
      </c>
      <c r="AS67" s="85">
        <v>0</v>
      </c>
      <c r="AT67" s="85">
        <v>0</v>
      </c>
      <c r="AU67" s="85"/>
      <c r="AV67" s="85"/>
      <c r="AW67" s="85"/>
      <c r="AX67" s="85"/>
      <c r="AY67" s="85"/>
      <c r="AZ67" s="85"/>
      <c r="BA67" s="85"/>
      <c r="BB67" s="85"/>
      <c r="BC67">
        <v>22</v>
      </c>
      <c r="BD67" s="84" t="str">
        <f>REPLACE(INDEX(GroupVertices[Group],MATCH(Edges[[#This Row],[Vertex 1]],GroupVertices[Vertex],0)),1,1,"")</f>
        <v>1</v>
      </c>
      <c r="BE67" s="84" t="str">
        <f>REPLACE(INDEX(GroupVertices[Group],MATCH(Edges[[#This Row],[Vertex 2]],GroupVertices[Vertex],0)),1,1,"")</f>
        <v>1</v>
      </c>
      <c r="BF67" s="51">
        <v>2</v>
      </c>
      <c r="BG67" s="52">
        <v>5.405405405405405</v>
      </c>
      <c r="BH67" s="51">
        <v>2</v>
      </c>
      <c r="BI67" s="52">
        <v>5.405405405405405</v>
      </c>
      <c r="BJ67" s="51">
        <v>0</v>
      </c>
      <c r="BK67" s="52">
        <v>0</v>
      </c>
      <c r="BL67" s="51">
        <v>33</v>
      </c>
      <c r="BM67" s="52">
        <v>89.1891891891892</v>
      </c>
      <c r="BN67" s="51">
        <v>37</v>
      </c>
    </row>
    <row r="68" spans="1:66" ht="30">
      <c r="A68" s="83" t="s">
        <v>272</v>
      </c>
      <c r="B68" s="83" t="s">
        <v>272</v>
      </c>
      <c r="C68" s="53" t="s">
        <v>1198</v>
      </c>
      <c r="D68" s="54">
        <v>10</v>
      </c>
      <c r="E68" s="66" t="s">
        <v>136</v>
      </c>
      <c r="F68" s="55">
        <v>6</v>
      </c>
      <c r="G68" s="53"/>
      <c r="H68" s="57"/>
      <c r="I68" s="56"/>
      <c r="J68" s="56"/>
      <c r="K68" s="36" t="s">
        <v>65</v>
      </c>
      <c r="L68" s="82">
        <v>68</v>
      </c>
      <c r="M68" s="82"/>
      <c r="N68" s="63"/>
      <c r="O68" s="85" t="s">
        <v>213</v>
      </c>
      <c r="P68" s="87">
        <v>44218.58561342592</v>
      </c>
      <c r="Q68" s="85" t="s">
        <v>320</v>
      </c>
      <c r="R68" s="85"/>
      <c r="S68" s="85"/>
      <c r="T68" s="85" t="s">
        <v>331</v>
      </c>
      <c r="U68" s="89" t="str">
        <f>HYPERLINK("https://pbs.twimg.com/media/EsV2qNKWMAUiaFR.jpg")</f>
        <v>https://pbs.twimg.com/media/EsV2qNKWMAUiaFR.jpg</v>
      </c>
      <c r="V68" s="89" t="str">
        <f>HYPERLINK("https://pbs.twimg.com/media/EsV2qNKWMAUiaFR.jpg")</f>
        <v>https://pbs.twimg.com/media/EsV2qNKWMAUiaFR.jpg</v>
      </c>
      <c r="W68" s="87">
        <v>44218.58561342592</v>
      </c>
      <c r="X68" s="91">
        <v>44218</v>
      </c>
      <c r="Y68" s="93" t="s">
        <v>390</v>
      </c>
      <c r="Z68" s="89" t="str">
        <f>HYPERLINK("https://twitter.com/rcpedintrainees/status/1352617835881787392")</f>
        <v>https://twitter.com/rcpedintrainees/status/1352617835881787392</v>
      </c>
      <c r="AA68" s="85"/>
      <c r="AB68" s="85"/>
      <c r="AC68" s="93" t="s">
        <v>459</v>
      </c>
      <c r="AD68" s="85"/>
      <c r="AE68" s="85" t="b">
        <v>0</v>
      </c>
      <c r="AF68" s="85">
        <v>5</v>
      </c>
      <c r="AG68" s="93" t="s">
        <v>470</v>
      </c>
      <c r="AH68" s="85" t="b">
        <v>0</v>
      </c>
      <c r="AI68" s="85" t="s">
        <v>473</v>
      </c>
      <c r="AJ68" s="85"/>
      <c r="AK68" s="93" t="s">
        <v>470</v>
      </c>
      <c r="AL68" s="85" t="b">
        <v>0</v>
      </c>
      <c r="AM68" s="85">
        <v>2</v>
      </c>
      <c r="AN68" s="93" t="s">
        <v>470</v>
      </c>
      <c r="AO68" s="85" t="s">
        <v>477</v>
      </c>
      <c r="AP68" s="85" t="b">
        <v>0</v>
      </c>
      <c r="AQ68" s="93" t="s">
        <v>459</v>
      </c>
      <c r="AR68" s="85" t="s">
        <v>213</v>
      </c>
      <c r="AS68" s="85">
        <v>0</v>
      </c>
      <c r="AT68" s="85">
        <v>0</v>
      </c>
      <c r="AU68" s="85"/>
      <c r="AV68" s="85"/>
      <c r="AW68" s="85"/>
      <c r="AX68" s="85"/>
      <c r="AY68" s="85"/>
      <c r="AZ68" s="85"/>
      <c r="BA68" s="85"/>
      <c r="BB68" s="85"/>
      <c r="BC68">
        <v>22</v>
      </c>
      <c r="BD68" s="84" t="str">
        <f>REPLACE(INDEX(GroupVertices[Group],MATCH(Edges[[#This Row],[Vertex 1]],GroupVertices[Vertex],0)),1,1,"")</f>
        <v>1</v>
      </c>
      <c r="BE68" s="84" t="str">
        <f>REPLACE(INDEX(GroupVertices[Group],MATCH(Edges[[#This Row],[Vertex 2]],GroupVertices[Vertex],0)),1,1,"")</f>
        <v>1</v>
      </c>
      <c r="BF68" s="51">
        <v>1</v>
      </c>
      <c r="BG68" s="52">
        <v>6.25</v>
      </c>
      <c r="BH68" s="51">
        <v>1</v>
      </c>
      <c r="BI68" s="52">
        <v>6.25</v>
      </c>
      <c r="BJ68" s="51">
        <v>0</v>
      </c>
      <c r="BK68" s="52">
        <v>0</v>
      </c>
      <c r="BL68" s="51">
        <v>14</v>
      </c>
      <c r="BM68" s="52">
        <v>87.5</v>
      </c>
      <c r="BN68" s="51">
        <v>16</v>
      </c>
    </row>
    <row r="69" spans="1:66" ht="30">
      <c r="A69" s="83" t="s">
        <v>272</v>
      </c>
      <c r="B69" s="83" t="s">
        <v>272</v>
      </c>
      <c r="C69" s="53" t="s">
        <v>1198</v>
      </c>
      <c r="D69" s="54">
        <v>10</v>
      </c>
      <c r="E69" s="66" t="s">
        <v>136</v>
      </c>
      <c r="F69" s="55">
        <v>6</v>
      </c>
      <c r="G69" s="53"/>
      <c r="H69" s="57"/>
      <c r="I69" s="56"/>
      <c r="J69" s="56"/>
      <c r="K69" s="36" t="s">
        <v>65</v>
      </c>
      <c r="L69" s="82">
        <v>69</v>
      </c>
      <c r="M69" s="82"/>
      <c r="N69" s="63"/>
      <c r="O69" s="85" t="s">
        <v>213</v>
      </c>
      <c r="P69" s="87">
        <v>44218.5909375</v>
      </c>
      <c r="Q69" s="85" t="s">
        <v>311</v>
      </c>
      <c r="R69" s="85"/>
      <c r="S69" s="85"/>
      <c r="T69" s="85" t="s">
        <v>328</v>
      </c>
      <c r="U69" s="89" t="str">
        <f>HYPERLINK("https://pbs.twimg.com/media/EsV4ftxW8AELq30.jpg")</f>
        <v>https://pbs.twimg.com/media/EsV4ftxW8AELq30.jpg</v>
      </c>
      <c r="V69" s="89" t="str">
        <f>HYPERLINK("https://pbs.twimg.com/media/EsV4ftxW8AELq30.jpg")</f>
        <v>https://pbs.twimg.com/media/EsV4ftxW8AELq30.jpg</v>
      </c>
      <c r="W69" s="87">
        <v>44218.5909375</v>
      </c>
      <c r="X69" s="91">
        <v>44218</v>
      </c>
      <c r="Y69" s="93" t="s">
        <v>391</v>
      </c>
      <c r="Z69" s="89" t="str">
        <f>HYPERLINK("https://twitter.com/rcpedintrainees/status/1352619767358771203")</f>
        <v>https://twitter.com/rcpedintrainees/status/1352619767358771203</v>
      </c>
      <c r="AA69" s="85"/>
      <c r="AB69" s="85"/>
      <c r="AC69" s="93" t="s">
        <v>460</v>
      </c>
      <c r="AD69" s="85"/>
      <c r="AE69" s="85" t="b">
        <v>0</v>
      </c>
      <c r="AF69" s="85">
        <v>13</v>
      </c>
      <c r="AG69" s="93" t="s">
        <v>470</v>
      </c>
      <c r="AH69" s="85" t="b">
        <v>0</v>
      </c>
      <c r="AI69" s="85" t="s">
        <v>473</v>
      </c>
      <c r="AJ69" s="85"/>
      <c r="AK69" s="93" t="s">
        <v>470</v>
      </c>
      <c r="AL69" s="85" t="b">
        <v>0</v>
      </c>
      <c r="AM69" s="85">
        <v>1</v>
      </c>
      <c r="AN69" s="93" t="s">
        <v>470</v>
      </c>
      <c r="AO69" s="85" t="s">
        <v>477</v>
      </c>
      <c r="AP69" s="85" t="b">
        <v>0</v>
      </c>
      <c r="AQ69" s="93" t="s">
        <v>460</v>
      </c>
      <c r="AR69" s="85" t="s">
        <v>213</v>
      </c>
      <c r="AS69" s="85">
        <v>0</v>
      </c>
      <c r="AT69" s="85">
        <v>0</v>
      </c>
      <c r="AU69" s="85"/>
      <c r="AV69" s="85"/>
      <c r="AW69" s="85"/>
      <c r="AX69" s="85"/>
      <c r="AY69" s="85"/>
      <c r="AZ69" s="85"/>
      <c r="BA69" s="85"/>
      <c r="BB69" s="85"/>
      <c r="BC69">
        <v>22</v>
      </c>
      <c r="BD69" s="84" t="str">
        <f>REPLACE(INDEX(GroupVertices[Group],MATCH(Edges[[#This Row],[Vertex 1]],GroupVertices[Vertex],0)),1,1,"")</f>
        <v>1</v>
      </c>
      <c r="BE69" s="84" t="str">
        <f>REPLACE(INDEX(GroupVertices[Group],MATCH(Edges[[#This Row],[Vertex 2]],GroupVertices[Vertex],0)),1,1,"")</f>
        <v>1</v>
      </c>
      <c r="BF69" s="51">
        <v>0</v>
      </c>
      <c r="BG69" s="52">
        <v>0</v>
      </c>
      <c r="BH69" s="51">
        <v>1</v>
      </c>
      <c r="BI69" s="52">
        <v>4.166666666666667</v>
      </c>
      <c r="BJ69" s="51">
        <v>0</v>
      </c>
      <c r="BK69" s="52">
        <v>0</v>
      </c>
      <c r="BL69" s="51">
        <v>23</v>
      </c>
      <c r="BM69" s="52">
        <v>95.83333333333333</v>
      </c>
      <c r="BN69" s="51">
        <v>24</v>
      </c>
    </row>
    <row r="70" spans="1:66" ht="30">
      <c r="A70" s="83" t="s">
        <v>272</v>
      </c>
      <c r="B70" s="83" t="s">
        <v>272</v>
      </c>
      <c r="C70" s="53" t="s">
        <v>1198</v>
      </c>
      <c r="D70" s="54">
        <v>10</v>
      </c>
      <c r="E70" s="66" t="s">
        <v>136</v>
      </c>
      <c r="F70" s="55">
        <v>6</v>
      </c>
      <c r="G70" s="53"/>
      <c r="H70" s="57"/>
      <c r="I70" s="56"/>
      <c r="J70" s="56"/>
      <c r="K70" s="36" t="s">
        <v>65</v>
      </c>
      <c r="L70" s="82">
        <v>70</v>
      </c>
      <c r="M70" s="82"/>
      <c r="N70" s="63"/>
      <c r="O70" s="85" t="s">
        <v>213</v>
      </c>
      <c r="P70" s="87">
        <v>44218.592094907406</v>
      </c>
      <c r="Q70" s="85" t="s">
        <v>321</v>
      </c>
      <c r="R70" s="85"/>
      <c r="S70" s="85"/>
      <c r="T70" s="85" t="s">
        <v>328</v>
      </c>
      <c r="U70" s="85"/>
      <c r="V70" s="89" t="str">
        <f>HYPERLINK("https://pbs.twimg.com/profile_images/774228058844852225/Z_rQuUK2_normal.jpg")</f>
        <v>https://pbs.twimg.com/profile_images/774228058844852225/Z_rQuUK2_normal.jpg</v>
      </c>
      <c r="W70" s="87">
        <v>44218.592094907406</v>
      </c>
      <c r="X70" s="91">
        <v>44218</v>
      </c>
      <c r="Y70" s="93" t="s">
        <v>392</v>
      </c>
      <c r="Z70" s="89" t="str">
        <f>HYPERLINK("https://twitter.com/rcpedintrainees/status/1352620184645881857")</f>
        <v>https://twitter.com/rcpedintrainees/status/1352620184645881857</v>
      </c>
      <c r="AA70" s="85"/>
      <c r="AB70" s="85"/>
      <c r="AC70" s="93" t="s">
        <v>461</v>
      </c>
      <c r="AD70" s="85"/>
      <c r="AE70" s="85" t="b">
        <v>0</v>
      </c>
      <c r="AF70" s="85">
        <v>0</v>
      </c>
      <c r="AG70" s="93" t="s">
        <v>470</v>
      </c>
      <c r="AH70" s="85" t="b">
        <v>0</v>
      </c>
      <c r="AI70" s="85" t="s">
        <v>473</v>
      </c>
      <c r="AJ70" s="85"/>
      <c r="AK70" s="93" t="s">
        <v>470</v>
      </c>
      <c r="AL70" s="85" t="b">
        <v>0</v>
      </c>
      <c r="AM70" s="85">
        <v>0</v>
      </c>
      <c r="AN70" s="93" t="s">
        <v>470</v>
      </c>
      <c r="AO70" s="85" t="s">
        <v>477</v>
      </c>
      <c r="AP70" s="85" t="b">
        <v>0</v>
      </c>
      <c r="AQ70" s="93" t="s">
        <v>461</v>
      </c>
      <c r="AR70" s="85" t="s">
        <v>213</v>
      </c>
      <c r="AS70" s="85">
        <v>0</v>
      </c>
      <c r="AT70" s="85">
        <v>0</v>
      </c>
      <c r="AU70" s="85"/>
      <c r="AV70" s="85"/>
      <c r="AW70" s="85"/>
      <c r="AX70" s="85"/>
      <c r="AY70" s="85"/>
      <c r="AZ70" s="85"/>
      <c r="BA70" s="85"/>
      <c r="BB70" s="85"/>
      <c r="BC70">
        <v>22</v>
      </c>
      <c r="BD70" s="84" t="str">
        <f>REPLACE(INDEX(GroupVertices[Group],MATCH(Edges[[#This Row],[Vertex 1]],GroupVertices[Vertex],0)),1,1,"")</f>
        <v>1</v>
      </c>
      <c r="BE70" s="84" t="str">
        <f>REPLACE(INDEX(GroupVertices[Group],MATCH(Edges[[#This Row],[Vertex 2]],GroupVertices[Vertex],0)),1,1,"")</f>
        <v>1</v>
      </c>
      <c r="BF70" s="51">
        <v>3</v>
      </c>
      <c r="BG70" s="52">
        <v>6.818181818181818</v>
      </c>
      <c r="BH70" s="51">
        <v>1</v>
      </c>
      <c r="BI70" s="52">
        <v>2.272727272727273</v>
      </c>
      <c r="BJ70" s="51">
        <v>0</v>
      </c>
      <c r="BK70" s="52">
        <v>0</v>
      </c>
      <c r="BL70" s="51">
        <v>40</v>
      </c>
      <c r="BM70" s="52">
        <v>90.9090909090909</v>
      </c>
      <c r="BN70" s="51">
        <v>44</v>
      </c>
    </row>
    <row r="71" spans="1:66" ht="30">
      <c r="A71" s="83" t="s">
        <v>272</v>
      </c>
      <c r="B71" s="83" t="s">
        <v>272</v>
      </c>
      <c r="C71" s="53" t="s">
        <v>1198</v>
      </c>
      <c r="D71" s="54">
        <v>10</v>
      </c>
      <c r="E71" s="66" t="s">
        <v>136</v>
      </c>
      <c r="F71" s="55">
        <v>6</v>
      </c>
      <c r="G71" s="53"/>
      <c r="H71" s="57"/>
      <c r="I71" s="56"/>
      <c r="J71" s="56"/>
      <c r="K71" s="36" t="s">
        <v>65</v>
      </c>
      <c r="L71" s="82">
        <v>71</v>
      </c>
      <c r="M71" s="82"/>
      <c r="N71" s="63"/>
      <c r="O71" s="85" t="s">
        <v>213</v>
      </c>
      <c r="P71" s="87">
        <v>44218.59747685185</v>
      </c>
      <c r="Q71" s="85" t="s">
        <v>322</v>
      </c>
      <c r="R71" s="85"/>
      <c r="S71" s="85"/>
      <c r="T71" s="85" t="s">
        <v>328</v>
      </c>
      <c r="U71" s="85"/>
      <c r="V71" s="89" t="str">
        <f>HYPERLINK("https://pbs.twimg.com/profile_images/774228058844852225/Z_rQuUK2_normal.jpg")</f>
        <v>https://pbs.twimg.com/profile_images/774228058844852225/Z_rQuUK2_normal.jpg</v>
      </c>
      <c r="W71" s="87">
        <v>44218.59747685185</v>
      </c>
      <c r="X71" s="91">
        <v>44218</v>
      </c>
      <c r="Y71" s="93" t="s">
        <v>393</v>
      </c>
      <c r="Z71" s="89" t="str">
        <f>HYPERLINK("https://twitter.com/rcpedintrainees/status/1352622138302332929")</f>
        <v>https://twitter.com/rcpedintrainees/status/1352622138302332929</v>
      </c>
      <c r="AA71" s="85"/>
      <c r="AB71" s="85"/>
      <c r="AC71" s="93" t="s">
        <v>462</v>
      </c>
      <c r="AD71" s="85"/>
      <c r="AE71" s="85" t="b">
        <v>0</v>
      </c>
      <c r="AF71" s="85">
        <v>1</v>
      </c>
      <c r="AG71" s="93" t="s">
        <v>470</v>
      </c>
      <c r="AH71" s="85" t="b">
        <v>0</v>
      </c>
      <c r="AI71" s="85" t="s">
        <v>473</v>
      </c>
      <c r="AJ71" s="85"/>
      <c r="AK71" s="93" t="s">
        <v>470</v>
      </c>
      <c r="AL71" s="85" t="b">
        <v>0</v>
      </c>
      <c r="AM71" s="85">
        <v>0</v>
      </c>
      <c r="AN71" s="93" t="s">
        <v>470</v>
      </c>
      <c r="AO71" s="85" t="s">
        <v>477</v>
      </c>
      <c r="AP71" s="85" t="b">
        <v>0</v>
      </c>
      <c r="AQ71" s="93" t="s">
        <v>462</v>
      </c>
      <c r="AR71" s="85" t="s">
        <v>213</v>
      </c>
      <c r="AS71" s="85">
        <v>0</v>
      </c>
      <c r="AT71" s="85">
        <v>0</v>
      </c>
      <c r="AU71" s="85"/>
      <c r="AV71" s="85"/>
      <c r="AW71" s="85"/>
      <c r="AX71" s="85"/>
      <c r="AY71" s="85"/>
      <c r="AZ71" s="85"/>
      <c r="BA71" s="85"/>
      <c r="BB71" s="85"/>
      <c r="BC71">
        <v>22</v>
      </c>
      <c r="BD71" s="84" t="str">
        <f>REPLACE(INDEX(GroupVertices[Group],MATCH(Edges[[#This Row],[Vertex 1]],GroupVertices[Vertex],0)),1,1,"")</f>
        <v>1</v>
      </c>
      <c r="BE71" s="84" t="str">
        <f>REPLACE(INDEX(GroupVertices[Group],MATCH(Edges[[#This Row],[Vertex 2]],GroupVertices[Vertex],0)),1,1,"")</f>
        <v>1</v>
      </c>
      <c r="BF71" s="51">
        <v>1</v>
      </c>
      <c r="BG71" s="52">
        <v>7.142857142857143</v>
      </c>
      <c r="BH71" s="51">
        <v>0</v>
      </c>
      <c r="BI71" s="52">
        <v>0</v>
      </c>
      <c r="BJ71" s="51">
        <v>0</v>
      </c>
      <c r="BK71" s="52">
        <v>0</v>
      </c>
      <c r="BL71" s="51">
        <v>13</v>
      </c>
      <c r="BM71" s="52">
        <v>92.85714285714286</v>
      </c>
      <c r="BN71" s="51">
        <v>14</v>
      </c>
    </row>
    <row r="72" spans="1:66" ht="30">
      <c r="A72" s="83" t="s">
        <v>272</v>
      </c>
      <c r="B72" s="83" t="s">
        <v>272</v>
      </c>
      <c r="C72" s="53" t="s">
        <v>1198</v>
      </c>
      <c r="D72" s="54">
        <v>10</v>
      </c>
      <c r="E72" s="66" t="s">
        <v>136</v>
      </c>
      <c r="F72" s="55">
        <v>6</v>
      </c>
      <c r="G72" s="53"/>
      <c r="H72" s="57"/>
      <c r="I72" s="56"/>
      <c r="J72" s="56"/>
      <c r="K72" s="36" t="s">
        <v>65</v>
      </c>
      <c r="L72" s="82">
        <v>72</v>
      </c>
      <c r="M72" s="82"/>
      <c r="N72" s="63"/>
      <c r="O72" s="85" t="s">
        <v>213</v>
      </c>
      <c r="P72" s="87">
        <v>44218.60857638889</v>
      </c>
      <c r="Q72" s="85" t="s">
        <v>323</v>
      </c>
      <c r="R72" s="85"/>
      <c r="S72" s="85"/>
      <c r="T72" s="85" t="s">
        <v>328</v>
      </c>
      <c r="U72" s="89" t="str">
        <f>HYPERLINK("https://pbs.twimg.com/media/EsV-SwcW8AMObTv.png")</f>
        <v>https://pbs.twimg.com/media/EsV-SwcW8AMObTv.png</v>
      </c>
      <c r="V72" s="89" t="str">
        <f>HYPERLINK("https://pbs.twimg.com/media/EsV-SwcW8AMObTv.png")</f>
        <v>https://pbs.twimg.com/media/EsV-SwcW8AMObTv.png</v>
      </c>
      <c r="W72" s="87">
        <v>44218.60857638889</v>
      </c>
      <c r="X72" s="91">
        <v>44218</v>
      </c>
      <c r="Y72" s="93" t="s">
        <v>394</v>
      </c>
      <c r="Z72" s="89" t="str">
        <f>HYPERLINK("https://twitter.com/rcpedintrainees/status/1352626157393485825")</f>
        <v>https://twitter.com/rcpedintrainees/status/1352626157393485825</v>
      </c>
      <c r="AA72" s="85"/>
      <c r="AB72" s="85"/>
      <c r="AC72" s="93" t="s">
        <v>463</v>
      </c>
      <c r="AD72" s="85"/>
      <c r="AE72" s="85" t="b">
        <v>0</v>
      </c>
      <c r="AF72" s="85">
        <v>6</v>
      </c>
      <c r="AG72" s="93" t="s">
        <v>470</v>
      </c>
      <c r="AH72" s="85" t="b">
        <v>0</v>
      </c>
      <c r="AI72" s="85" t="s">
        <v>473</v>
      </c>
      <c r="AJ72" s="85"/>
      <c r="AK72" s="93" t="s">
        <v>470</v>
      </c>
      <c r="AL72" s="85" t="b">
        <v>0</v>
      </c>
      <c r="AM72" s="85">
        <v>1</v>
      </c>
      <c r="AN72" s="93" t="s">
        <v>470</v>
      </c>
      <c r="AO72" s="85" t="s">
        <v>477</v>
      </c>
      <c r="AP72" s="85" t="b">
        <v>0</v>
      </c>
      <c r="AQ72" s="93" t="s">
        <v>463</v>
      </c>
      <c r="AR72" s="85" t="s">
        <v>213</v>
      </c>
      <c r="AS72" s="85">
        <v>0</v>
      </c>
      <c r="AT72" s="85">
        <v>0</v>
      </c>
      <c r="AU72" s="85"/>
      <c r="AV72" s="85"/>
      <c r="AW72" s="85"/>
      <c r="AX72" s="85"/>
      <c r="AY72" s="85"/>
      <c r="AZ72" s="85"/>
      <c r="BA72" s="85"/>
      <c r="BB72" s="85"/>
      <c r="BC72">
        <v>22</v>
      </c>
      <c r="BD72" s="84" t="str">
        <f>REPLACE(INDEX(GroupVertices[Group],MATCH(Edges[[#This Row],[Vertex 1]],GroupVertices[Vertex],0)),1,1,"")</f>
        <v>1</v>
      </c>
      <c r="BE72" s="84" t="str">
        <f>REPLACE(INDEX(GroupVertices[Group],MATCH(Edges[[#This Row],[Vertex 2]],GroupVertices[Vertex],0)),1,1,"")</f>
        <v>1</v>
      </c>
      <c r="BF72" s="51">
        <v>1</v>
      </c>
      <c r="BG72" s="52">
        <v>6.25</v>
      </c>
      <c r="BH72" s="51">
        <v>0</v>
      </c>
      <c r="BI72" s="52">
        <v>0</v>
      </c>
      <c r="BJ72" s="51">
        <v>0</v>
      </c>
      <c r="BK72" s="52">
        <v>0</v>
      </c>
      <c r="BL72" s="51">
        <v>15</v>
      </c>
      <c r="BM72" s="52">
        <v>93.75</v>
      </c>
      <c r="BN72" s="51">
        <v>16</v>
      </c>
    </row>
    <row r="73" spans="1:66" ht="30">
      <c r="A73" s="83" t="s">
        <v>272</v>
      </c>
      <c r="B73" s="83" t="s">
        <v>272</v>
      </c>
      <c r="C73" s="53" t="s">
        <v>1198</v>
      </c>
      <c r="D73" s="54">
        <v>10</v>
      </c>
      <c r="E73" s="66" t="s">
        <v>136</v>
      </c>
      <c r="F73" s="55">
        <v>6</v>
      </c>
      <c r="G73" s="53"/>
      <c r="H73" s="57"/>
      <c r="I73" s="56"/>
      <c r="J73" s="56"/>
      <c r="K73" s="36" t="s">
        <v>65</v>
      </c>
      <c r="L73" s="82">
        <v>73</v>
      </c>
      <c r="M73" s="82"/>
      <c r="N73" s="63"/>
      <c r="O73" s="85" t="s">
        <v>213</v>
      </c>
      <c r="P73" s="87">
        <v>44218.60915509259</v>
      </c>
      <c r="Q73" s="85" t="s">
        <v>324</v>
      </c>
      <c r="R73" s="89" t="str">
        <f>HYPERLINK("https://www.nice.org.uk/guidance/ng159/resources/clinical-frailty-scale-pdf-8712262765")</f>
        <v>https://www.nice.org.uk/guidance/ng159/resources/clinical-frailty-scale-pdf-8712262765</v>
      </c>
      <c r="S73" s="85" t="s">
        <v>327</v>
      </c>
      <c r="T73" s="85" t="s">
        <v>328</v>
      </c>
      <c r="U73" s="85"/>
      <c r="V73" s="89" t="str">
        <f>HYPERLINK("https://pbs.twimg.com/profile_images/774228058844852225/Z_rQuUK2_normal.jpg")</f>
        <v>https://pbs.twimg.com/profile_images/774228058844852225/Z_rQuUK2_normal.jpg</v>
      </c>
      <c r="W73" s="87">
        <v>44218.60915509259</v>
      </c>
      <c r="X73" s="91">
        <v>44218</v>
      </c>
      <c r="Y73" s="93" t="s">
        <v>395</v>
      </c>
      <c r="Z73" s="89" t="str">
        <f>HYPERLINK("https://twitter.com/rcpedintrainees/status/1352626367653961731")</f>
        <v>https://twitter.com/rcpedintrainees/status/1352626367653961731</v>
      </c>
      <c r="AA73" s="85"/>
      <c r="AB73" s="85"/>
      <c r="AC73" s="93" t="s">
        <v>464</v>
      </c>
      <c r="AD73" s="85"/>
      <c r="AE73" s="85" t="b">
        <v>0</v>
      </c>
      <c r="AF73" s="85">
        <v>1</v>
      </c>
      <c r="AG73" s="93" t="s">
        <v>470</v>
      </c>
      <c r="AH73" s="85" t="b">
        <v>0</v>
      </c>
      <c r="AI73" s="85" t="s">
        <v>473</v>
      </c>
      <c r="AJ73" s="85"/>
      <c r="AK73" s="93" t="s">
        <v>470</v>
      </c>
      <c r="AL73" s="85" t="b">
        <v>0</v>
      </c>
      <c r="AM73" s="85">
        <v>0</v>
      </c>
      <c r="AN73" s="93" t="s">
        <v>470</v>
      </c>
      <c r="AO73" s="85" t="s">
        <v>477</v>
      </c>
      <c r="AP73" s="85" t="b">
        <v>0</v>
      </c>
      <c r="AQ73" s="93" t="s">
        <v>464</v>
      </c>
      <c r="AR73" s="85" t="s">
        <v>213</v>
      </c>
      <c r="AS73" s="85">
        <v>0</v>
      </c>
      <c r="AT73" s="85">
        <v>0</v>
      </c>
      <c r="AU73" s="85"/>
      <c r="AV73" s="85"/>
      <c r="AW73" s="85"/>
      <c r="AX73" s="85"/>
      <c r="AY73" s="85"/>
      <c r="AZ73" s="85"/>
      <c r="BA73" s="85"/>
      <c r="BB73" s="85"/>
      <c r="BC73">
        <v>22</v>
      </c>
      <c r="BD73" s="84" t="str">
        <f>REPLACE(INDEX(GroupVertices[Group],MATCH(Edges[[#This Row],[Vertex 1]],GroupVertices[Vertex],0)),1,1,"")</f>
        <v>1</v>
      </c>
      <c r="BE73" s="84" t="str">
        <f>REPLACE(INDEX(GroupVertices[Group],MATCH(Edges[[#This Row],[Vertex 2]],GroupVertices[Vertex],0)),1,1,"")</f>
        <v>1</v>
      </c>
      <c r="BF73" s="51">
        <v>0</v>
      </c>
      <c r="BG73" s="52">
        <v>0</v>
      </c>
      <c r="BH73" s="51">
        <v>0</v>
      </c>
      <c r="BI73" s="52">
        <v>0</v>
      </c>
      <c r="BJ73" s="51">
        <v>0</v>
      </c>
      <c r="BK73" s="52">
        <v>0</v>
      </c>
      <c r="BL73" s="51">
        <v>9</v>
      </c>
      <c r="BM73" s="52">
        <v>100</v>
      </c>
      <c r="BN73" s="51">
        <v>9</v>
      </c>
    </row>
    <row r="74" spans="1:66" ht="30">
      <c r="A74" s="83" t="s">
        <v>273</v>
      </c>
      <c r="B74" s="83" t="s">
        <v>272</v>
      </c>
      <c r="C74" s="53" t="s">
        <v>1197</v>
      </c>
      <c r="D74" s="54">
        <v>10</v>
      </c>
      <c r="E74" s="66" t="s">
        <v>136</v>
      </c>
      <c r="F74" s="55">
        <v>24.57142857142857</v>
      </c>
      <c r="G74" s="53"/>
      <c r="H74" s="57"/>
      <c r="I74" s="56"/>
      <c r="J74" s="56"/>
      <c r="K74" s="36" t="s">
        <v>65</v>
      </c>
      <c r="L74" s="82">
        <v>74</v>
      </c>
      <c r="M74" s="82"/>
      <c r="N74" s="63"/>
      <c r="O74" s="85" t="s">
        <v>283</v>
      </c>
      <c r="P74" s="87">
        <v>44218.568125</v>
      </c>
      <c r="Q74" s="85" t="s">
        <v>295</v>
      </c>
      <c r="R74" s="85"/>
      <c r="S74" s="85"/>
      <c r="T74" s="85" t="s">
        <v>328</v>
      </c>
      <c r="U74" s="89" t="str">
        <f>HYPERLINK("https://pbs.twimg.com/tweet_video_thumb/EsVf83GXIAIlMXm.jpg")</f>
        <v>https://pbs.twimg.com/tweet_video_thumb/EsVf83GXIAIlMXm.jpg</v>
      </c>
      <c r="V74" s="89" t="str">
        <f>HYPERLINK("https://pbs.twimg.com/tweet_video_thumb/EsVf83GXIAIlMXm.jpg")</f>
        <v>https://pbs.twimg.com/tweet_video_thumb/EsVf83GXIAIlMXm.jpg</v>
      </c>
      <c r="W74" s="87">
        <v>44218.568125</v>
      </c>
      <c r="X74" s="91">
        <v>44218</v>
      </c>
      <c r="Y74" s="93" t="s">
        <v>396</v>
      </c>
      <c r="Z74" s="89" t="str">
        <f>HYPERLINK("https://twitter.com/tinahen08/status/1352611500335230979")</f>
        <v>https://twitter.com/tinahen08/status/1352611500335230979</v>
      </c>
      <c r="AA74" s="85"/>
      <c r="AB74" s="85"/>
      <c r="AC74" s="93" t="s">
        <v>465</v>
      </c>
      <c r="AD74" s="85"/>
      <c r="AE74" s="85" t="b">
        <v>0</v>
      </c>
      <c r="AF74" s="85">
        <v>0</v>
      </c>
      <c r="AG74" s="93" t="s">
        <v>470</v>
      </c>
      <c r="AH74" s="85" t="b">
        <v>0</v>
      </c>
      <c r="AI74" s="85" t="s">
        <v>473</v>
      </c>
      <c r="AJ74" s="85"/>
      <c r="AK74" s="93" t="s">
        <v>470</v>
      </c>
      <c r="AL74" s="85" t="b">
        <v>0</v>
      </c>
      <c r="AM74" s="85">
        <v>3</v>
      </c>
      <c r="AN74" s="93" t="s">
        <v>454</v>
      </c>
      <c r="AO74" s="85" t="s">
        <v>475</v>
      </c>
      <c r="AP74" s="85" t="b">
        <v>0</v>
      </c>
      <c r="AQ74" s="93" t="s">
        <v>454</v>
      </c>
      <c r="AR74" s="85" t="s">
        <v>213</v>
      </c>
      <c r="AS74" s="85">
        <v>0</v>
      </c>
      <c r="AT74" s="85">
        <v>0</v>
      </c>
      <c r="AU74" s="85"/>
      <c r="AV74" s="85"/>
      <c r="AW74" s="85"/>
      <c r="AX74" s="85"/>
      <c r="AY74" s="85"/>
      <c r="AZ74" s="85"/>
      <c r="BA74" s="85"/>
      <c r="BB74" s="85"/>
      <c r="BC74">
        <v>7</v>
      </c>
      <c r="BD74" s="84" t="str">
        <f>REPLACE(INDEX(GroupVertices[Group],MATCH(Edges[[#This Row],[Vertex 1]],GroupVertices[Vertex],0)),1,1,"")</f>
        <v>3</v>
      </c>
      <c r="BE74" s="84" t="str">
        <f>REPLACE(INDEX(GroupVertices[Group],MATCH(Edges[[#This Row],[Vertex 2]],GroupVertices[Vertex],0)),1,1,"")</f>
        <v>1</v>
      </c>
      <c r="BF74" s="51">
        <v>2</v>
      </c>
      <c r="BG74" s="52">
        <v>5.882352941176471</v>
      </c>
      <c r="BH74" s="51">
        <v>0</v>
      </c>
      <c r="BI74" s="52">
        <v>0</v>
      </c>
      <c r="BJ74" s="51">
        <v>0</v>
      </c>
      <c r="BK74" s="52">
        <v>0</v>
      </c>
      <c r="BL74" s="51">
        <v>32</v>
      </c>
      <c r="BM74" s="52">
        <v>94.11764705882354</v>
      </c>
      <c r="BN74" s="51">
        <v>34</v>
      </c>
    </row>
    <row r="75" spans="1:66" ht="30">
      <c r="A75" s="83" t="s">
        <v>273</v>
      </c>
      <c r="B75" s="83" t="s">
        <v>272</v>
      </c>
      <c r="C75" s="53" t="s">
        <v>1197</v>
      </c>
      <c r="D75" s="54">
        <v>10</v>
      </c>
      <c r="E75" s="66" t="s">
        <v>136</v>
      </c>
      <c r="F75" s="55">
        <v>24.57142857142857</v>
      </c>
      <c r="G75" s="53"/>
      <c r="H75" s="57"/>
      <c r="I75" s="56"/>
      <c r="J75" s="56"/>
      <c r="K75" s="36" t="s">
        <v>65</v>
      </c>
      <c r="L75" s="82">
        <v>75</v>
      </c>
      <c r="M75" s="82"/>
      <c r="N75" s="63"/>
      <c r="O75" s="85" t="s">
        <v>283</v>
      </c>
      <c r="P75" s="87">
        <v>44218.61616898148</v>
      </c>
      <c r="Q75" s="85" t="s">
        <v>319</v>
      </c>
      <c r="R75" s="85"/>
      <c r="S75" s="85"/>
      <c r="T75" s="85" t="s">
        <v>328</v>
      </c>
      <c r="U75" s="85"/>
      <c r="V75" s="89" t="str">
        <f>HYPERLINK("https://pbs.twimg.com/profile_images/763810887023157248/xL7PikMR_normal.jpg")</f>
        <v>https://pbs.twimg.com/profile_images/763810887023157248/xL7PikMR_normal.jpg</v>
      </c>
      <c r="W75" s="87">
        <v>44218.61616898148</v>
      </c>
      <c r="X75" s="91">
        <v>44218</v>
      </c>
      <c r="Y75" s="93" t="s">
        <v>397</v>
      </c>
      <c r="Z75" s="89" t="str">
        <f>HYPERLINK("https://twitter.com/tinahen08/status/1352628912111628292")</f>
        <v>https://twitter.com/tinahen08/status/1352628912111628292</v>
      </c>
      <c r="AA75" s="85"/>
      <c r="AB75" s="85"/>
      <c r="AC75" s="93" t="s">
        <v>466</v>
      </c>
      <c r="AD75" s="85"/>
      <c r="AE75" s="85" t="b">
        <v>0</v>
      </c>
      <c r="AF75" s="85">
        <v>0</v>
      </c>
      <c r="AG75" s="93" t="s">
        <v>470</v>
      </c>
      <c r="AH75" s="85" t="b">
        <v>0</v>
      </c>
      <c r="AI75" s="85" t="s">
        <v>473</v>
      </c>
      <c r="AJ75" s="85"/>
      <c r="AK75" s="93" t="s">
        <v>470</v>
      </c>
      <c r="AL75" s="85" t="b">
        <v>0</v>
      </c>
      <c r="AM75" s="85">
        <v>2</v>
      </c>
      <c r="AN75" s="93" t="s">
        <v>458</v>
      </c>
      <c r="AO75" s="85" t="s">
        <v>475</v>
      </c>
      <c r="AP75" s="85" t="b">
        <v>0</v>
      </c>
      <c r="AQ75" s="93" t="s">
        <v>458</v>
      </c>
      <c r="AR75" s="85" t="s">
        <v>213</v>
      </c>
      <c r="AS75" s="85">
        <v>0</v>
      </c>
      <c r="AT75" s="85">
        <v>0</v>
      </c>
      <c r="AU75" s="85"/>
      <c r="AV75" s="85"/>
      <c r="AW75" s="85"/>
      <c r="AX75" s="85"/>
      <c r="AY75" s="85"/>
      <c r="AZ75" s="85"/>
      <c r="BA75" s="85"/>
      <c r="BB75" s="85"/>
      <c r="BC75">
        <v>7</v>
      </c>
      <c r="BD75" s="84" t="str">
        <f>REPLACE(INDEX(GroupVertices[Group],MATCH(Edges[[#This Row],[Vertex 1]],GroupVertices[Vertex],0)),1,1,"")</f>
        <v>3</v>
      </c>
      <c r="BE75" s="84" t="str">
        <f>REPLACE(INDEX(GroupVertices[Group],MATCH(Edges[[#This Row],[Vertex 2]],GroupVertices[Vertex],0)),1,1,"")</f>
        <v>1</v>
      </c>
      <c r="BF75" s="51">
        <v>2</v>
      </c>
      <c r="BG75" s="52">
        <v>5.405405405405405</v>
      </c>
      <c r="BH75" s="51">
        <v>2</v>
      </c>
      <c r="BI75" s="52">
        <v>5.405405405405405</v>
      </c>
      <c r="BJ75" s="51">
        <v>0</v>
      </c>
      <c r="BK75" s="52">
        <v>0</v>
      </c>
      <c r="BL75" s="51">
        <v>33</v>
      </c>
      <c r="BM75" s="52">
        <v>89.1891891891892</v>
      </c>
      <c r="BN75" s="51">
        <v>37</v>
      </c>
    </row>
    <row r="76" spans="1:66" ht="30">
      <c r="A76" s="83" t="s">
        <v>273</v>
      </c>
      <c r="B76" s="83" t="s">
        <v>272</v>
      </c>
      <c r="C76" s="53" t="s">
        <v>1197</v>
      </c>
      <c r="D76" s="54">
        <v>10</v>
      </c>
      <c r="E76" s="66" t="s">
        <v>136</v>
      </c>
      <c r="F76" s="55">
        <v>24.57142857142857</v>
      </c>
      <c r="G76" s="53"/>
      <c r="H76" s="57"/>
      <c r="I76" s="56"/>
      <c r="J76" s="56"/>
      <c r="K76" s="36" t="s">
        <v>65</v>
      </c>
      <c r="L76" s="82">
        <v>76</v>
      </c>
      <c r="M76" s="82"/>
      <c r="N76" s="63"/>
      <c r="O76" s="85" t="s">
        <v>283</v>
      </c>
      <c r="P76" s="87">
        <v>44218.61824074074</v>
      </c>
      <c r="Q76" s="85" t="s">
        <v>320</v>
      </c>
      <c r="R76" s="85"/>
      <c r="S76" s="85"/>
      <c r="T76" s="85" t="s">
        <v>331</v>
      </c>
      <c r="U76" s="89" t="str">
        <f>HYPERLINK("https://pbs.twimg.com/media/EsV2qNKWMAUiaFR.jpg")</f>
        <v>https://pbs.twimg.com/media/EsV2qNKWMAUiaFR.jpg</v>
      </c>
      <c r="V76" s="89" t="str">
        <f>HYPERLINK("https://pbs.twimg.com/media/EsV2qNKWMAUiaFR.jpg")</f>
        <v>https://pbs.twimg.com/media/EsV2qNKWMAUiaFR.jpg</v>
      </c>
      <c r="W76" s="87">
        <v>44218.61824074074</v>
      </c>
      <c r="X76" s="91">
        <v>44218</v>
      </c>
      <c r="Y76" s="93" t="s">
        <v>398</v>
      </c>
      <c r="Z76" s="89" t="str">
        <f>HYPERLINK("https://twitter.com/tinahen08/status/1352629659985440772")</f>
        <v>https://twitter.com/tinahen08/status/1352629659985440772</v>
      </c>
      <c r="AA76" s="85"/>
      <c r="AB76" s="85"/>
      <c r="AC76" s="93" t="s">
        <v>467</v>
      </c>
      <c r="AD76" s="85"/>
      <c r="AE76" s="85" t="b">
        <v>0</v>
      </c>
      <c r="AF76" s="85">
        <v>0</v>
      </c>
      <c r="AG76" s="93" t="s">
        <v>470</v>
      </c>
      <c r="AH76" s="85" t="b">
        <v>0</v>
      </c>
      <c r="AI76" s="85" t="s">
        <v>473</v>
      </c>
      <c r="AJ76" s="85"/>
      <c r="AK76" s="93" t="s">
        <v>470</v>
      </c>
      <c r="AL76" s="85" t="b">
        <v>0</v>
      </c>
      <c r="AM76" s="85">
        <v>2</v>
      </c>
      <c r="AN76" s="93" t="s">
        <v>459</v>
      </c>
      <c r="AO76" s="85" t="s">
        <v>475</v>
      </c>
      <c r="AP76" s="85" t="b">
        <v>0</v>
      </c>
      <c r="AQ76" s="93" t="s">
        <v>459</v>
      </c>
      <c r="AR76" s="85" t="s">
        <v>213</v>
      </c>
      <c r="AS76" s="85">
        <v>0</v>
      </c>
      <c r="AT76" s="85">
        <v>0</v>
      </c>
      <c r="AU76" s="85"/>
      <c r="AV76" s="85"/>
      <c r="AW76" s="85"/>
      <c r="AX76" s="85"/>
      <c r="AY76" s="85"/>
      <c r="AZ76" s="85"/>
      <c r="BA76" s="85"/>
      <c r="BB76" s="85"/>
      <c r="BC76">
        <v>7</v>
      </c>
      <c r="BD76" s="84" t="str">
        <f>REPLACE(INDEX(GroupVertices[Group],MATCH(Edges[[#This Row],[Vertex 1]],GroupVertices[Vertex],0)),1,1,"")</f>
        <v>3</v>
      </c>
      <c r="BE76" s="84" t="str">
        <f>REPLACE(INDEX(GroupVertices[Group],MATCH(Edges[[#This Row],[Vertex 2]],GroupVertices[Vertex],0)),1,1,"")</f>
        <v>1</v>
      </c>
      <c r="BF76" s="51">
        <v>1</v>
      </c>
      <c r="BG76" s="52">
        <v>6.25</v>
      </c>
      <c r="BH76" s="51">
        <v>1</v>
      </c>
      <c r="BI76" s="52">
        <v>6.25</v>
      </c>
      <c r="BJ76" s="51">
        <v>0</v>
      </c>
      <c r="BK76" s="52">
        <v>0</v>
      </c>
      <c r="BL76" s="51">
        <v>14</v>
      </c>
      <c r="BM76" s="52">
        <v>87.5</v>
      </c>
      <c r="BN76" s="51">
        <v>16</v>
      </c>
    </row>
    <row r="77" spans="1:66" ht="30">
      <c r="A77" s="83" t="s">
        <v>273</v>
      </c>
      <c r="B77" s="83" t="s">
        <v>272</v>
      </c>
      <c r="C77" s="53" t="s">
        <v>1197</v>
      </c>
      <c r="D77" s="54">
        <v>10</v>
      </c>
      <c r="E77" s="66" t="s">
        <v>136</v>
      </c>
      <c r="F77" s="55">
        <v>24.57142857142857</v>
      </c>
      <c r="G77" s="53"/>
      <c r="H77" s="57"/>
      <c r="I77" s="56"/>
      <c r="J77" s="56"/>
      <c r="K77" s="36" t="s">
        <v>65</v>
      </c>
      <c r="L77" s="82">
        <v>77</v>
      </c>
      <c r="M77" s="82"/>
      <c r="N77" s="63"/>
      <c r="O77" s="85" t="s">
        <v>283</v>
      </c>
      <c r="P77" s="87">
        <v>44218.61858796296</v>
      </c>
      <c r="Q77" s="85" t="s">
        <v>312</v>
      </c>
      <c r="R77" s="85"/>
      <c r="S77" s="85"/>
      <c r="T77" s="85" t="s">
        <v>328</v>
      </c>
      <c r="U77" s="85"/>
      <c r="V77" s="89" t="str">
        <f>HYPERLINK("https://pbs.twimg.com/profile_images/763810887023157248/xL7PikMR_normal.jpg")</f>
        <v>https://pbs.twimg.com/profile_images/763810887023157248/xL7PikMR_normal.jpg</v>
      </c>
      <c r="W77" s="87">
        <v>44218.61858796296</v>
      </c>
      <c r="X77" s="91">
        <v>44218</v>
      </c>
      <c r="Y77" s="93" t="s">
        <v>369</v>
      </c>
      <c r="Z77" s="89" t="str">
        <f>HYPERLINK("https://twitter.com/tinahen08/status/1352629788838678529")</f>
        <v>https://twitter.com/tinahen08/status/1352629788838678529</v>
      </c>
      <c r="AA77" s="85"/>
      <c r="AB77" s="85"/>
      <c r="AC77" s="93" t="s">
        <v>438</v>
      </c>
      <c r="AD77" s="85"/>
      <c r="AE77" s="85" t="b">
        <v>0</v>
      </c>
      <c r="AF77" s="85">
        <v>0</v>
      </c>
      <c r="AG77" s="93" t="s">
        <v>470</v>
      </c>
      <c r="AH77" s="85" t="b">
        <v>0</v>
      </c>
      <c r="AI77" s="85" t="s">
        <v>473</v>
      </c>
      <c r="AJ77" s="85"/>
      <c r="AK77" s="93" t="s">
        <v>470</v>
      </c>
      <c r="AL77" s="85" t="b">
        <v>0</v>
      </c>
      <c r="AM77" s="85">
        <v>1</v>
      </c>
      <c r="AN77" s="93" t="s">
        <v>436</v>
      </c>
      <c r="AO77" s="85" t="s">
        <v>475</v>
      </c>
      <c r="AP77" s="85" t="b">
        <v>0</v>
      </c>
      <c r="AQ77" s="93" t="s">
        <v>436</v>
      </c>
      <c r="AR77" s="85" t="s">
        <v>213</v>
      </c>
      <c r="AS77" s="85">
        <v>0</v>
      </c>
      <c r="AT77" s="85">
        <v>0</v>
      </c>
      <c r="AU77" s="85"/>
      <c r="AV77" s="85"/>
      <c r="AW77" s="85"/>
      <c r="AX77" s="85"/>
      <c r="AY77" s="85"/>
      <c r="AZ77" s="85"/>
      <c r="BA77" s="85"/>
      <c r="BB77" s="85"/>
      <c r="BC77">
        <v>7</v>
      </c>
      <c r="BD77" s="84" t="str">
        <f>REPLACE(INDEX(GroupVertices[Group],MATCH(Edges[[#This Row],[Vertex 1]],GroupVertices[Vertex],0)),1,1,"")</f>
        <v>3</v>
      </c>
      <c r="BE77" s="84" t="str">
        <f>REPLACE(INDEX(GroupVertices[Group],MATCH(Edges[[#This Row],[Vertex 2]],GroupVertices[Vertex],0)),1,1,"")</f>
        <v>1</v>
      </c>
      <c r="BF77" s="51">
        <v>1</v>
      </c>
      <c r="BG77" s="52">
        <v>4.761904761904762</v>
      </c>
      <c r="BH77" s="51">
        <v>1</v>
      </c>
      <c r="BI77" s="52">
        <v>4.761904761904762</v>
      </c>
      <c r="BJ77" s="51">
        <v>0</v>
      </c>
      <c r="BK77" s="52">
        <v>0</v>
      </c>
      <c r="BL77" s="51">
        <v>19</v>
      </c>
      <c r="BM77" s="52">
        <v>90.47619047619048</v>
      </c>
      <c r="BN77" s="51">
        <v>21</v>
      </c>
    </row>
    <row r="78" spans="1:66" ht="30">
      <c r="A78" s="83" t="s">
        <v>273</v>
      </c>
      <c r="B78" s="83" t="s">
        <v>272</v>
      </c>
      <c r="C78" s="53" t="s">
        <v>1197</v>
      </c>
      <c r="D78" s="54">
        <v>10</v>
      </c>
      <c r="E78" s="66" t="s">
        <v>136</v>
      </c>
      <c r="F78" s="55">
        <v>24.57142857142857</v>
      </c>
      <c r="G78" s="53"/>
      <c r="H78" s="57"/>
      <c r="I78" s="56"/>
      <c r="J78" s="56"/>
      <c r="K78" s="36" t="s">
        <v>65</v>
      </c>
      <c r="L78" s="82">
        <v>78</v>
      </c>
      <c r="M78" s="82"/>
      <c r="N78" s="63"/>
      <c r="O78" s="85" t="s">
        <v>283</v>
      </c>
      <c r="P78" s="87">
        <v>44218.62027777778</v>
      </c>
      <c r="Q78" s="85" t="s">
        <v>293</v>
      </c>
      <c r="R78" s="85"/>
      <c r="S78" s="85"/>
      <c r="T78" s="85" t="s">
        <v>328</v>
      </c>
      <c r="U78" s="89" t="str">
        <f>HYPERLINK("https://pbs.twimg.com/media/EsVCPJAXEAENCgh.jpg")</f>
        <v>https://pbs.twimg.com/media/EsVCPJAXEAENCgh.jpg</v>
      </c>
      <c r="V78" s="89" t="str">
        <f>HYPERLINK("https://pbs.twimg.com/media/EsVCPJAXEAENCgh.jpg")</f>
        <v>https://pbs.twimg.com/media/EsVCPJAXEAENCgh.jpg</v>
      </c>
      <c r="W78" s="87">
        <v>44218.62027777778</v>
      </c>
      <c r="X78" s="91">
        <v>44218</v>
      </c>
      <c r="Y78" s="93" t="s">
        <v>371</v>
      </c>
      <c r="Z78" s="89" t="str">
        <f>HYPERLINK("https://twitter.com/tinahen08/status/1352630399814533128")</f>
        <v>https://twitter.com/tinahen08/status/1352630399814533128</v>
      </c>
      <c r="AA78" s="85"/>
      <c r="AB78" s="85"/>
      <c r="AC78" s="93" t="s">
        <v>440</v>
      </c>
      <c r="AD78" s="85"/>
      <c r="AE78" s="85" t="b">
        <v>0</v>
      </c>
      <c r="AF78" s="85">
        <v>0</v>
      </c>
      <c r="AG78" s="93" t="s">
        <v>470</v>
      </c>
      <c r="AH78" s="85" t="b">
        <v>0</v>
      </c>
      <c r="AI78" s="85" t="s">
        <v>473</v>
      </c>
      <c r="AJ78" s="85"/>
      <c r="AK78" s="93" t="s">
        <v>470</v>
      </c>
      <c r="AL78" s="85" t="b">
        <v>0</v>
      </c>
      <c r="AM78" s="85">
        <v>4</v>
      </c>
      <c r="AN78" s="93" t="s">
        <v>439</v>
      </c>
      <c r="AO78" s="85" t="s">
        <v>475</v>
      </c>
      <c r="AP78" s="85" t="b">
        <v>0</v>
      </c>
      <c r="AQ78" s="93" t="s">
        <v>439</v>
      </c>
      <c r="AR78" s="85" t="s">
        <v>213</v>
      </c>
      <c r="AS78" s="85">
        <v>0</v>
      </c>
      <c r="AT78" s="85">
        <v>0</v>
      </c>
      <c r="AU78" s="85"/>
      <c r="AV78" s="85"/>
      <c r="AW78" s="85"/>
      <c r="AX78" s="85"/>
      <c r="AY78" s="85"/>
      <c r="AZ78" s="85"/>
      <c r="BA78" s="85"/>
      <c r="BB78" s="85"/>
      <c r="BC78">
        <v>7</v>
      </c>
      <c r="BD78" s="84" t="str">
        <f>REPLACE(INDEX(GroupVertices[Group],MATCH(Edges[[#This Row],[Vertex 1]],GroupVertices[Vertex],0)),1,1,"")</f>
        <v>3</v>
      </c>
      <c r="BE78" s="84" t="str">
        <f>REPLACE(INDEX(GroupVertices[Group],MATCH(Edges[[#This Row],[Vertex 2]],GroupVertices[Vertex],0)),1,1,"")</f>
        <v>1</v>
      </c>
      <c r="BF78" s="51">
        <v>2</v>
      </c>
      <c r="BG78" s="52">
        <v>6.896551724137931</v>
      </c>
      <c r="BH78" s="51">
        <v>0</v>
      </c>
      <c r="BI78" s="52">
        <v>0</v>
      </c>
      <c r="BJ78" s="51">
        <v>0</v>
      </c>
      <c r="BK78" s="52">
        <v>0</v>
      </c>
      <c r="BL78" s="51">
        <v>27</v>
      </c>
      <c r="BM78" s="52">
        <v>93.10344827586206</v>
      </c>
      <c r="BN78" s="51">
        <v>29</v>
      </c>
    </row>
    <row r="79" spans="1:66" ht="30">
      <c r="A79" s="83" t="s">
        <v>273</v>
      </c>
      <c r="B79" s="83" t="s">
        <v>272</v>
      </c>
      <c r="C79" s="53" t="s">
        <v>1197</v>
      </c>
      <c r="D79" s="54">
        <v>10</v>
      </c>
      <c r="E79" s="66" t="s">
        <v>136</v>
      </c>
      <c r="F79" s="55">
        <v>24.57142857142857</v>
      </c>
      <c r="G79" s="53"/>
      <c r="H79" s="57"/>
      <c r="I79" s="56"/>
      <c r="J79" s="56"/>
      <c r="K79" s="36" t="s">
        <v>65</v>
      </c>
      <c r="L79" s="82">
        <v>79</v>
      </c>
      <c r="M79" s="82"/>
      <c r="N79" s="63"/>
      <c r="O79" s="85" t="s">
        <v>283</v>
      </c>
      <c r="P79" s="87">
        <v>44218.69039351852</v>
      </c>
      <c r="Q79" s="85" t="s">
        <v>316</v>
      </c>
      <c r="R79" s="85"/>
      <c r="S79" s="85"/>
      <c r="T79" s="85" t="s">
        <v>328</v>
      </c>
      <c r="U79" s="85"/>
      <c r="V79" s="89" t="str">
        <f>HYPERLINK("https://pbs.twimg.com/profile_images/763810887023157248/xL7PikMR_normal.jpg")</f>
        <v>https://pbs.twimg.com/profile_images/763810887023157248/xL7PikMR_normal.jpg</v>
      </c>
      <c r="W79" s="87">
        <v>44218.69039351852</v>
      </c>
      <c r="X79" s="91">
        <v>44218</v>
      </c>
      <c r="Y79" s="93" t="s">
        <v>399</v>
      </c>
      <c r="Z79" s="89" t="str">
        <f>HYPERLINK("https://twitter.com/tinahen08/status/1352655809050779655")</f>
        <v>https://twitter.com/tinahen08/status/1352655809050779655</v>
      </c>
      <c r="AA79" s="85"/>
      <c r="AB79" s="85"/>
      <c r="AC79" s="93" t="s">
        <v>468</v>
      </c>
      <c r="AD79" s="85"/>
      <c r="AE79" s="85" t="b">
        <v>0</v>
      </c>
      <c r="AF79" s="85">
        <v>0</v>
      </c>
      <c r="AG79" s="93" t="s">
        <v>470</v>
      </c>
      <c r="AH79" s="85" t="b">
        <v>0</v>
      </c>
      <c r="AI79" s="85" t="s">
        <v>473</v>
      </c>
      <c r="AJ79" s="85"/>
      <c r="AK79" s="93" t="s">
        <v>470</v>
      </c>
      <c r="AL79" s="85" t="b">
        <v>0</v>
      </c>
      <c r="AM79" s="85">
        <v>1</v>
      </c>
      <c r="AN79" s="93" t="s">
        <v>450</v>
      </c>
      <c r="AO79" s="85" t="s">
        <v>475</v>
      </c>
      <c r="AP79" s="85" t="b">
        <v>0</v>
      </c>
      <c r="AQ79" s="93" t="s">
        <v>450</v>
      </c>
      <c r="AR79" s="85" t="s">
        <v>213</v>
      </c>
      <c r="AS79" s="85">
        <v>0</v>
      </c>
      <c r="AT79" s="85">
        <v>0</v>
      </c>
      <c r="AU79" s="85"/>
      <c r="AV79" s="85"/>
      <c r="AW79" s="85"/>
      <c r="AX79" s="85"/>
      <c r="AY79" s="85"/>
      <c r="AZ79" s="85"/>
      <c r="BA79" s="85"/>
      <c r="BB79" s="85"/>
      <c r="BC79">
        <v>7</v>
      </c>
      <c r="BD79" s="84" t="str">
        <f>REPLACE(INDEX(GroupVertices[Group],MATCH(Edges[[#This Row],[Vertex 1]],GroupVertices[Vertex],0)),1,1,"")</f>
        <v>3</v>
      </c>
      <c r="BE79" s="84" t="str">
        <f>REPLACE(INDEX(GroupVertices[Group],MATCH(Edges[[#This Row],[Vertex 2]],GroupVertices[Vertex],0)),1,1,"")</f>
        <v>1</v>
      </c>
      <c r="BF79" s="51">
        <v>1</v>
      </c>
      <c r="BG79" s="52">
        <v>2.857142857142857</v>
      </c>
      <c r="BH79" s="51">
        <v>1</v>
      </c>
      <c r="BI79" s="52">
        <v>2.857142857142857</v>
      </c>
      <c r="BJ79" s="51">
        <v>0</v>
      </c>
      <c r="BK79" s="52">
        <v>0</v>
      </c>
      <c r="BL79" s="51">
        <v>33</v>
      </c>
      <c r="BM79" s="52">
        <v>94.28571428571429</v>
      </c>
      <c r="BN79" s="51">
        <v>35</v>
      </c>
    </row>
    <row r="80" spans="1:66" ht="30">
      <c r="A80" s="83" t="s">
        <v>273</v>
      </c>
      <c r="B80" s="83" t="s">
        <v>272</v>
      </c>
      <c r="C80" s="53" t="s">
        <v>1197</v>
      </c>
      <c r="D80" s="54">
        <v>10</v>
      </c>
      <c r="E80" s="66" t="s">
        <v>136</v>
      </c>
      <c r="F80" s="55">
        <v>24.57142857142857</v>
      </c>
      <c r="G80" s="53"/>
      <c r="H80" s="57"/>
      <c r="I80" s="56"/>
      <c r="J80" s="56"/>
      <c r="K80" s="36" t="s">
        <v>65</v>
      </c>
      <c r="L80" s="82">
        <v>80</v>
      </c>
      <c r="M80" s="82"/>
      <c r="N80" s="63"/>
      <c r="O80" s="85" t="s">
        <v>283</v>
      </c>
      <c r="P80" s="87">
        <v>44219.30130787037</v>
      </c>
      <c r="Q80" s="85" t="s">
        <v>313</v>
      </c>
      <c r="R80" s="85"/>
      <c r="S80" s="85"/>
      <c r="T80" s="85" t="s">
        <v>328</v>
      </c>
      <c r="U80" s="85"/>
      <c r="V80" s="89" t="str">
        <f>HYPERLINK("https://pbs.twimg.com/profile_images/763810887023157248/xL7PikMR_normal.jpg")</f>
        <v>https://pbs.twimg.com/profile_images/763810887023157248/xL7PikMR_normal.jpg</v>
      </c>
      <c r="W80" s="87">
        <v>44219.30130787037</v>
      </c>
      <c r="X80" s="91">
        <v>44219</v>
      </c>
      <c r="Y80" s="93" t="s">
        <v>373</v>
      </c>
      <c r="Z80" s="89" t="str">
        <f>HYPERLINK("https://twitter.com/tinahen08/status/1352877196117995520")</f>
        <v>https://twitter.com/tinahen08/status/1352877196117995520</v>
      </c>
      <c r="AA80" s="85"/>
      <c r="AB80" s="85"/>
      <c r="AC80" s="93" t="s">
        <v>442</v>
      </c>
      <c r="AD80" s="85"/>
      <c r="AE80" s="85" t="b">
        <v>0</v>
      </c>
      <c r="AF80" s="85">
        <v>0</v>
      </c>
      <c r="AG80" s="93" t="s">
        <v>470</v>
      </c>
      <c r="AH80" s="85" t="b">
        <v>0</v>
      </c>
      <c r="AI80" s="85" t="s">
        <v>473</v>
      </c>
      <c r="AJ80" s="85"/>
      <c r="AK80" s="93" t="s">
        <v>470</v>
      </c>
      <c r="AL80" s="85" t="b">
        <v>0</v>
      </c>
      <c r="AM80" s="85">
        <v>1</v>
      </c>
      <c r="AN80" s="93" t="s">
        <v>441</v>
      </c>
      <c r="AO80" s="85" t="s">
        <v>475</v>
      </c>
      <c r="AP80" s="85" t="b">
        <v>0</v>
      </c>
      <c r="AQ80" s="93" t="s">
        <v>441</v>
      </c>
      <c r="AR80" s="85" t="s">
        <v>213</v>
      </c>
      <c r="AS80" s="85">
        <v>0</v>
      </c>
      <c r="AT80" s="85">
        <v>0</v>
      </c>
      <c r="AU80" s="85"/>
      <c r="AV80" s="85"/>
      <c r="AW80" s="85"/>
      <c r="AX80" s="85"/>
      <c r="AY80" s="85"/>
      <c r="AZ80" s="85"/>
      <c r="BA80" s="85"/>
      <c r="BB80" s="85"/>
      <c r="BC80">
        <v>7</v>
      </c>
      <c r="BD80" s="84" t="str">
        <f>REPLACE(INDEX(GroupVertices[Group],MATCH(Edges[[#This Row],[Vertex 1]],GroupVertices[Vertex],0)),1,1,"")</f>
        <v>3</v>
      </c>
      <c r="BE80" s="84" t="str">
        <f>REPLACE(INDEX(GroupVertices[Group],MATCH(Edges[[#This Row],[Vertex 2]],GroupVertices[Vertex],0)),1,1,"")</f>
        <v>1</v>
      </c>
      <c r="BF80" s="51"/>
      <c r="BG80" s="52"/>
      <c r="BH80" s="51"/>
      <c r="BI80" s="52"/>
      <c r="BJ80" s="51"/>
      <c r="BK80" s="52"/>
      <c r="BL80" s="51"/>
      <c r="BM80" s="52"/>
      <c r="BN8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DA700-2E97-4BB3-9707-0B840161283C}">
  <dimension ref="A1:L570"/>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12" width="28.57421875" style="0" bestFit="1" customWidth="1"/>
  </cols>
  <sheetData>
    <row r="1" spans="1:12" ht="15" customHeight="1">
      <c r="A1" s="13" t="s">
        <v>1141</v>
      </c>
      <c r="B1" s="13" t="s">
        <v>1142</v>
      </c>
      <c r="C1" s="13" t="s">
        <v>1132</v>
      </c>
      <c r="D1" s="13" t="s">
        <v>1136</v>
      </c>
      <c r="E1" s="13" t="s">
        <v>1143</v>
      </c>
      <c r="F1" s="13" t="s">
        <v>144</v>
      </c>
      <c r="G1" s="13" t="s">
        <v>1144</v>
      </c>
      <c r="H1" s="13" t="s">
        <v>1145</v>
      </c>
      <c r="I1" s="13" t="s">
        <v>1146</v>
      </c>
      <c r="J1" s="13" t="s">
        <v>1147</v>
      </c>
      <c r="K1" s="13" t="s">
        <v>1148</v>
      </c>
      <c r="L1" s="13" t="s">
        <v>1149</v>
      </c>
    </row>
    <row r="2" spans="1:12" ht="15">
      <c r="A2" s="92" t="s">
        <v>703</v>
      </c>
      <c r="B2" s="92" t="s">
        <v>704</v>
      </c>
      <c r="C2" s="92">
        <v>13</v>
      </c>
      <c r="D2" s="125">
        <v>0.007892608542374741</v>
      </c>
      <c r="E2" s="125">
        <v>1.710251014745708</v>
      </c>
      <c r="F2" s="92" t="s">
        <v>1137</v>
      </c>
      <c r="G2" s="92" t="b">
        <v>0</v>
      </c>
      <c r="H2" s="92" t="b">
        <v>0</v>
      </c>
      <c r="I2" s="92" t="b">
        <v>0</v>
      </c>
      <c r="J2" s="92" t="b">
        <v>0</v>
      </c>
      <c r="K2" s="92" t="b">
        <v>0</v>
      </c>
      <c r="L2" s="92" t="b">
        <v>0</v>
      </c>
    </row>
    <row r="3" spans="1:12" ht="15">
      <c r="A3" s="93" t="s">
        <v>712</v>
      </c>
      <c r="B3" s="92" t="s">
        <v>713</v>
      </c>
      <c r="C3" s="92">
        <v>8</v>
      </c>
      <c r="D3" s="125">
        <v>0.008286694133395597</v>
      </c>
      <c r="E3" s="125">
        <v>2.1480625354554377</v>
      </c>
      <c r="F3" s="92" t="s">
        <v>1137</v>
      </c>
      <c r="G3" s="92" t="b">
        <v>0</v>
      </c>
      <c r="H3" s="92" t="b">
        <v>0</v>
      </c>
      <c r="I3" s="92" t="b">
        <v>0</v>
      </c>
      <c r="J3" s="92" t="b">
        <v>0</v>
      </c>
      <c r="K3" s="92" t="b">
        <v>0</v>
      </c>
      <c r="L3" s="92" t="b">
        <v>0</v>
      </c>
    </row>
    <row r="4" spans="1:12" ht="15">
      <c r="A4" s="93" t="s">
        <v>722</v>
      </c>
      <c r="B4" s="92" t="s">
        <v>723</v>
      </c>
      <c r="C4" s="92">
        <v>6</v>
      </c>
      <c r="D4" s="125">
        <v>0.006215020600046698</v>
      </c>
      <c r="E4" s="125">
        <v>2.2730012720637376</v>
      </c>
      <c r="F4" s="92" t="s">
        <v>1137</v>
      </c>
      <c r="G4" s="92" t="b">
        <v>0</v>
      </c>
      <c r="H4" s="92" t="b">
        <v>1</v>
      </c>
      <c r="I4" s="92" t="b">
        <v>0</v>
      </c>
      <c r="J4" s="92" t="b">
        <v>0</v>
      </c>
      <c r="K4" s="92" t="b">
        <v>0</v>
      </c>
      <c r="L4" s="92" t="b">
        <v>0</v>
      </c>
    </row>
    <row r="5" spans="1:12" ht="15">
      <c r="A5" s="93" t="s">
        <v>702</v>
      </c>
      <c r="B5" s="92" t="s">
        <v>894</v>
      </c>
      <c r="C5" s="92">
        <v>6</v>
      </c>
      <c r="D5" s="125">
        <v>0.00533013990127443</v>
      </c>
      <c r="E5" s="125">
        <v>1.728933227713462</v>
      </c>
      <c r="F5" s="92" t="s">
        <v>1137</v>
      </c>
      <c r="G5" s="92" t="b">
        <v>0</v>
      </c>
      <c r="H5" s="92" t="b">
        <v>0</v>
      </c>
      <c r="I5" s="92" t="b">
        <v>0</v>
      </c>
      <c r="J5" s="92" t="b">
        <v>0</v>
      </c>
      <c r="K5" s="92" t="b">
        <v>0</v>
      </c>
      <c r="L5" s="92" t="b">
        <v>0</v>
      </c>
    </row>
    <row r="6" spans="1:12" ht="15">
      <c r="A6" s="93" t="s">
        <v>892</v>
      </c>
      <c r="B6" s="92" t="s">
        <v>895</v>
      </c>
      <c r="C6" s="92">
        <v>6</v>
      </c>
      <c r="D6" s="125">
        <v>0.00533013990127443</v>
      </c>
      <c r="E6" s="125">
        <v>2.2060544824331245</v>
      </c>
      <c r="F6" s="92" t="s">
        <v>1137</v>
      </c>
      <c r="G6" s="92" t="b">
        <v>0</v>
      </c>
      <c r="H6" s="92" t="b">
        <v>0</v>
      </c>
      <c r="I6" s="92" t="b">
        <v>0</v>
      </c>
      <c r="J6" s="92" t="b">
        <v>0</v>
      </c>
      <c r="K6" s="92" t="b">
        <v>0</v>
      </c>
      <c r="L6" s="92" t="b">
        <v>0</v>
      </c>
    </row>
    <row r="7" spans="1:12" ht="15">
      <c r="A7" s="93" t="s">
        <v>895</v>
      </c>
      <c r="B7" s="92" t="s">
        <v>896</v>
      </c>
      <c r="C7" s="92">
        <v>6</v>
      </c>
      <c r="D7" s="125">
        <v>0.00533013990127443</v>
      </c>
      <c r="E7" s="125">
        <v>2.2730012720637376</v>
      </c>
      <c r="F7" s="92" t="s">
        <v>1137</v>
      </c>
      <c r="G7" s="92" t="b">
        <v>0</v>
      </c>
      <c r="H7" s="92" t="b">
        <v>0</v>
      </c>
      <c r="I7" s="92" t="b">
        <v>0</v>
      </c>
      <c r="J7" s="92" t="b">
        <v>0</v>
      </c>
      <c r="K7" s="92" t="b">
        <v>0</v>
      </c>
      <c r="L7" s="92" t="b">
        <v>0</v>
      </c>
    </row>
    <row r="8" spans="1:12" ht="15">
      <c r="A8" s="93" t="s">
        <v>897</v>
      </c>
      <c r="B8" s="92" t="s">
        <v>898</v>
      </c>
      <c r="C8" s="92">
        <v>6</v>
      </c>
      <c r="D8" s="125">
        <v>0.00533013990127443</v>
      </c>
      <c r="E8" s="125">
        <v>2.2730012720637376</v>
      </c>
      <c r="F8" s="92" t="s">
        <v>1137</v>
      </c>
      <c r="G8" s="92" t="b">
        <v>0</v>
      </c>
      <c r="H8" s="92" t="b">
        <v>0</v>
      </c>
      <c r="I8" s="92" t="b">
        <v>0</v>
      </c>
      <c r="J8" s="92" t="b">
        <v>1</v>
      </c>
      <c r="K8" s="92" t="b">
        <v>0</v>
      </c>
      <c r="L8" s="92" t="b">
        <v>0</v>
      </c>
    </row>
    <row r="9" spans="1:12" ht="15">
      <c r="A9" s="93" t="s">
        <v>899</v>
      </c>
      <c r="B9" s="92" t="s">
        <v>886</v>
      </c>
      <c r="C9" s="92">
        <v>6</v>
      </c>
      <c r="D9" s="125">
        <v>0.00533013990127443</v>
      </c>
      <c r="E9" s="125">
        <v>2.0969100130080562</v>
      </c>
      <c r="F9" s="92" t="s">
        <v>1137</v>
      </c>
      <c r="G9" s="92" t="b">
        <v>0</v>
      </c>
      <c r="H9" s="92" t="b">
        <v>0</v>
      </c>
      <c r="I9" s="92" t="b">
        <v>0</v>
      </c>
      <c r="J9" s="92" t="b">
        <v>0</v>
      </c>
      <c r="K9" s="92" t="b">
        <v>0</v>
      </c>
      <c r="L9" s="92" t="b">
        <v>0</v>
      </c>
    </row>
    <row r="10" spans="1:12" ht="15">
      <c r="A10" s="93" t="s">
        <v>886</v>
      </c>
      <c r="B10" s="92" t="s">
        <v>900</v>
      </c>
      <c r="C10" s="92">
        <v>6</v>
      </c>
      <c r="D10" s="125">
        <v>0.00533013990127443</v>
      </c>
      <c r="E10" s="125">
        <v>2.0969100130080562</v>
      </c>
      <c r="F10" s="92" t="s">
        <v>1137</v>
      </c>
      <c r="G10" s="92" t="b">
        <v>0</v>
      </c>
      <c r="H10" s="92" t="b">
        <v>0</v>
      </c>
      <c r="I10" s="92" t="b">
        <v>0</v>
      </c>
      <c r="J10" s="92" t="b">
        <v>0</v>
      </c>
      <c r="K10" s="92" t="b">
        <v>0</v>
      </c>
      <c r="L10" s="92" t="b">
        <v>0</v>
      </c>
    </row>
    <row r="11" spans="1:12" ht="15">
      <c r="A11" s="93" t="s">
        <v>708</v>
      </c>
      <c r="B11" s="92" t="s">
        <v>906</v>
      </c>
      <c r="C11" s="92">
        <v>5</v>
      </c>
      <c r="D11" s="125">
        <v>0.004773363008380387</v>
      </c>
      <c r="E11" s="125">
        <v>2.009759837289156</v>
      </c>
      <c r="F11" s="92" t="s">
        <v>1137</v>
      </c>
      <c r="G11" s="92" t="b">
        <v>1</v>
      </c>
      <c r="H11" s="92" t="b">
        <v>0</v>
      </c>
      <c r="I11" s="92" t="b">
        <v>0</v>
      </c>
      <c r="J11" s="92" t="b">
        <v>0</v>
      </c>
      <c r="K11" s="92" t="b">
        <v>0</v>
      </c>
      <c r="L11" s="92" t="b">
        <v>0</v>
      </c>
    </row>
    <row r="12" spans="1:12" ht="15">
      <c r="A12" s="93" t="s">
        <v>906</v>
      </c>
      <c r="B12" s="92" t="s">
        <v>275</v>
      </c>
      <c r="C12" s="92">
        <v>5</v>
      </c>
      <c r="D12" s="125">
        <v>0.004773363008380387</v>
      </c>
      <c r="E12" s="125">
        <v>2.3521825181113627</v>
      </c>
      <c r="F12" s="92" t="s">
        <v>1137</v>
      </c>
      <c r="G12" s="92" t="b">
        <v>0</v>
      </c>
      <c r="H12" s="92" t="b">
        <v>0</v>
      </c>
      <c r="I12" s="92" t="b">
        <v>0</v>
      </c>
      <c r="J12" s="92" t="b">
        <v>0</v>
      </c>
      <c r="K12" s="92" t="b">
        <v>0</v>
      </c>
      <c r="L12" s="92" t="b">
        <v>0</v>
      </c>
    </row>
    <row r="13" spans="1:12" ht="15">
      <c r="A13" s="93" t="s">
        <v>275</v>
      </c>
      <c r="B13" s="92" t="s">
        <v>710</v>
      </c>
      <c r="C13" s="92">
        <v>5</v>
      </c>
      <c r="D13" s="125">
        <v>0.004773363008380387</v>
      </c>
      <c r="E13" s="125">
        <v>2.0511525224473814</v>
      </c>
      <c r="F13" s="92" t="s">
        <v>1137</v>
      </c>
      <c r="G13" s="92" t="b">
        <v>0</v>
      </c>
      <c r="H13" s="92" t="b">
        <v>0</v>
      </c>
      <c r="I13" s="92" t="b">
        <v>0</v>
      </c>
      <c r="J13" s="92" t="b">
        <v>0</v>
      </c>
      <c r="K13" s="92" t="b">
        <v>0</v>
      </c>
      <c r="L13" s="92" t="b">
        <v>0</v>
      </c>
    </row>
    <row r="14" spans="1:12" ht="15">
      <c r="A14" s="93" t="s">
        <v>710</v>
      </c>
      <c r="B14" s="92" t="s">
        <v>707</v>
      </c>
      <c r="C14" s="92">
        <v>5</v>
      </c>
      <c r="D14" s="125">
        <v>0.004773363008380387</v>
      </c>
      <c r="E14" s="125">
        <v>1.6709412807357753</v>
      </c>
      <c r="F14" s="92" t="s">
        <v>1137</v>
      </c>
      <c r="G14" s="92" t="b">
        <v>0</v>
      </c>
      <c r="H14" s="92" t="b">
        <v>0</v>
      </c>
      <c r="I14" s="92" t="b">
        <v>0</v>
      </c>
      <c r="J14" s="92" t="b">
        <v>0</v>
      </c>
      <c r="K14" s="92" t="b">
        <v>0</v>
      </c>
      <c r="L14" s="92" t="b">
        <v>0</v>
      </c>
    </row>
    <row r="15" spans="1:12" ht="15">
      <c r="A15" s="93" t="s">
        <v>707</v>
      </c>
      <c r="B15" s="92" t="s">
        <v>732</v>
      </c>
      <c r="C15" s="92">
        <v>5</v>
      </c>
      <c r="D15" s="125">
        <v>0.004773363008380387</v>
      </c>
      <c r="E15" s="125">
        <v>1.9719712763997566</v>
      </c>
      <c r="F15" s="92" t="s">
        <v>1137</v>
      </c>
      <c r="G15" s="92" t="b">
        <v>0</v>
      </c>
      <c r="H15" s="92" t="b">
        <v>0</v>
      </c>
      <c r="I15" s="92" t="b">
        <v>0</v>
      </c>
      <c r="J15" s="92" t="b">
        <v>0</v>
      </c>
      <c r="K15" s="92" t="b">
        <v>0</v>
      </c>
      <c r="L15" s="92" t="b">
        <v>0</v>
      </c>
    </row>
    <row r="16" spans="1:12" ht="15">
      <c r="A16" s="93" t="s">
        <v>732</v>
      </c>
      <c r="B16" s="92" t="s">
        <v>702</v>
      </c>
      <c r="C16" s="92">
        <v>5</v>
      </c>
      <c r="D16" s="125">
        <v>0.004773363008380387</v>
      </c>
      <c r="E16" s="125">
        <v>1.582805192035224</v>
      </c>
      <c r="F16" s="92" t="s">
        <v>1137</v>
      </c>
      <c r="G16" s="92" t="b">
        <v>0</v>
      </c>
      <c r="H16" s="92" t="b">
        <v>0</v>
      </c>
      <c r="I16" s="92" t="b">
        <v>0</v>
      </c>
      <c r="J16" s="92" t="b">
        <v>0</v>
      </c>
      <c r="K16" s="92" t="b">
        <v>0</v>
      </c>
      <c r="L16" s="92" t="b">
        <v>0</v>
      </c>
    </row>
    <row r="17" spans="1:12" ht="15">
      <c r="A17" s="93" t="s">
        <v>702</v>
      </c>
      <c r="B17" s="92" t="s">
        <v>907</v>
      </c>
      <c r="C17" s="92">
        <v>5</v>
      </c>
      <c r="D17" s="125">
        <v>0.004773363008380387</v>
      </c>
      <c r="E17" s="125">
        <v>1.728933227713462</v>
      </c>
      <c r="F17" s="92" t="s">
        <v>1137</v>
      </c>
      <c r="G17" s="92" t="b">
        <v>0</v>
      </c>
      <c r="H17" s="92" t="b">
        <v>0</v>
      </c>
      <c r="I17" s="92" t="b">
        <v>0</v>
      </c>
      <c r="J17" s="92" t="b">
        <v>0</v>
      </c>
      <c r="K17" s="92" t="b">
        <v>0</v>
      </c>
      <c r="L17" s="92" t="b">
        <v>0</v>
      </c>
    </row>
    <row r="18" spans="1:12" ht="15">
      <c r="A18" s="93" t="s">
        <v>907</v>
      </c>
      <c r="B18" s="92" t="s">
        <v>908</v>
      </c>
      <c r="C18" s="92">
        <v>5</v>
      </c>
      <c r="D18" s="125">
        <v>0.004773363008380387</v>
      </c>
      <c r="E18" s="125">
        <v>2.3521825181113627</v>
      </c>
      <c r="F18" s="92" t="s">
        <v>1137</v>
      </c>
      <c r="G18" s="92" t="b">
        <v>0</v>
      </c>
      <c r="H18" s="92" t="b">
        <v>0</v>
      </c>
      <c r="I18" s="92" t="b">
        <v>0</v>
      </c>
      <c r="J18" s="92" t="b">
        <v>0</v>
      </c>
      <c r="K18" s="92" t="b">
        <v>0</v>
      </c>
      <c r="L18" s="92" t="b">
        <v>0</v>
      </c>
    </row>
    <row r="19" spans="1:12" ht="15">
      <c r="A19" s="93" t="s">
        <v>908</v>
      </c>
      <c r="B19" s="92" t="s">
        <v>909</v>
      </c>
      <c r="C19" s="92">
        <v>5</v>
      </c>
      <c r="D19" s="125">
        <v>0.004773363008380387</v>
      </c>
      <c r="E19" s="125">
        <v>2.3521825181113627</v>
      </c>
      <c r="F19" s="92" t="s">
        <v>1137</v>
      </c>
      <c r="G19" s="92" t="b">
        <v>0</v>
      </c>
      <c r="H19" s="92" t="b">
        <v>0</v>
      </c>
      <c r="I19" s="92" t="b">
        <v>0</v>
      </c>
      <c r="J19" s="92" t="b">
        <v>0</v>
      </c>
      <c r="K19" s="92" t="b">
        <v>0</v>
      </c>
      <c r="L19" s="92" t="b">
        <v>0</v>
      </c>
    </row>
    <row r="20" spans="1:12" ht="15">
      <c r="A20" s="93" t="s">
        <v>909</v>
      </c>
      <c r="B20" s="92" t="s">
        <v>891</v>
      </c>
      <c r="C20" s="92">
        <v>5</v>
      </c>
      <c r="D20" s="125">
        <v>0.004773363008380387</v>
      </c>
      <c r="E20" s="125">
        <v>2.2060544824331245</v>
      </c>
      <c r="F20" s="92" t="s">
        <v>1137</v>
      </c>
      <c r="G20" s="92" t="b">
        <v>0</v>
      </c>
      <c r="H20" s="92" t="b">
        <v>0</v>
      </c>
      <c r="I20" s="92" t="b">
        <v>0</v>
      </c>
      <c r="J20" s="92" t="b">
        <v>0</v>
      </c>
      <c r="K20" s="92" t="b">
        <v>0</v>
      </c>
      <c r="L20" s="92" t="b">
        <v>0</v>
      </c>
    </row>
    <row r="21" spans="1:12" ht="15">
      <c r="A21" s="93" t="s">
        <v>891</v>
      </c>
      <c r="B21" s="92" t="s">
        <v>910</v>
      </c>
      <c r="C21" s="92">
        <v>5</v>
      </c>
      <c r="D21" s="125">
        <v>0.004773363008380387</v>
      </c>
      <c r="E21" s="125">
        <v>2.2060544824331245</v>
      </c>
      <c r="F21" s="92" t="s">
        <v>1137</v>
      </c>
      <c r="G21" s="92" t="b">
        <v>0</v>
      </c>
      <c r="H21" s="92" t="b">
        <v>0</v>
      </c>
      <c r="I21" s="92" t="b">
        <v>0</v>
      </c>
      <c r="J21" s="92" t="b">
        <v>0</v>
      </c>
      <c r="K21" s="92" t="b">
        <v>0</v>
      </c>
      <c r="L21" s="92" t="b">
        <v>0</v>
      </c>
    </row>
    <row r="22" spans="1:12" ht="15">
      <c r="A22" s="93" t="s">
        <v>910</v>
      </c>
      <c r="B22" s="92" t="s">
        <v>911</v>
      </c>
      <c r="C22" s="92">
        <v>5</v>
      </c>
      <c r="D22" s="125">
        <v>0.004773363008380387</v>
      </c>
      <c r="E22" s="125">
        <v>2.3521825181113627</v>
      </c>
      <c r="F22" s="92" t="s">
        <v>1137</v>
      </c>
      <c r="G22" s="92" t="b">
        <v>0</v>
      </c>
      <c r="H22" s="92" t="b">
        <v>0</v>
      </c>
      <c r="I22" s="92" t="b">
        <v>0</v>
      </c>
      <c r="J22" s="92" t="b">
        <v>0</v>
      </c>
      <c r="K22" s="92" t="b">
        <v>0</v>
      </c>
      <c r="L22" s="92" t="b">
        <v>0</v>
      </c>
    </row>
    <row r="23" spans="1:12" ht="15">
      <c r="A23" s="93" t="s">
        <v>911</v>
      </c>
      <c r="B23" s="92" t="s">
        <v>705</v>
      </c>
      <c r="C23" s="92">
        <v>5</v>
      </c>
      <c r="D23" s="125">
        <v>0.004773363008380387</v>
      </c>
      <c r="E23" s="125">
        <v>1.9372091701405445</v>
      </c>
      <c r="F23" s="92" t="s">
        <v>1137</v>
      </c>
      <c r="G23" s="92" t="b">
        <v>0</v>
      </c>
      <c r="H23" s="92" t="b">
        <v>0</v>
      </c>
      <c r="I23" s="92" t="b">
        <v>0</v>
      </c>
      <c r="J23" s="92" t="b">
        <v>1</v>
      </c>
      <c r="K23" s="92" t="b">
        <v>0</v>
      </c>
      <c r="L23" s="92" t="b">
        <v>0</v>
      </c>
    </row>
    <row r="24" spans="1:12" ht="15">
      <c r="A24" s="93" t="s">
        <v>705</v>
      </c>
      <c r="B24" s="92" t="s">
        <v>912</v>
      </c>
      <c r="C24" s="92">
        <v>5</v>
      </c>
      <c r="D24" s="125">
        <v>0.004773363008380387</v>
      </c>
      <c r="E24" s="125">
        <v>1.9372091701405445</v>
      </c>
      <c r="F24" s="92" t="s">
        <v>1137</v>
      </c>
      <c r="G24" s="92" t="b">
        <v>1</v>
      </c>
      <c r="H24" s="92" t="b">
        <v>0</v>
      </c>
      <c r="I24" s="92" t="b">
        <v>0</v>
      </c>
      <c r="J24" s="92" t="b">
        <v>0</v>
      </c>
      <c r="K24" s="92" t="b">
        <v>0</v>
      </c>
      <c r="L24" s="92" t="b">
        <v>0</v>
      </c>
    </row>
    <row r="25" spans="1:12" ht="15">
      <c r="A25" s="93" t="s">
        <v>912</v>
      </c>
      <c r="B25" s="92" t="s">
        <v>888</v>
      </c>
      <c r="C25" s="92">
        <v>5</v>
      </c>
      <c r="D25" s="125">
        <v>0.004773363008380387</v>
      </c>
      <c r="E25" s="125">
        <v>2.1480625354554377</v>
      </c>
      <c r="F25" s="92" t="s">
        <v>1137</v>
      </c>
      <c r="G25" s="92" t="b">
        <v>0</v>
      </c>
      <c r="H25" s="92" t="b">
        <v>0</v>
      </c>
      <c r="I25" s="92" t="b">
        <v>0</v>
      </c>
      <c r="J25" s="92" t="b">
        <v>0</v>
      </c>
      <c r="K25" s="92" t="b">
        <v>0</v>
      </c>
      <c r="L25" s="92" t="b">
        <v>0</v>
      </c>
    </row>
    <row r="26" spans="1:12" ht="15">
      <c r="A26" s="93" t="s">
        <v>888</v>
      </c>
      <c r="B26" s="92" t="s">
        <v>913</v>
      </c>
      <c r="C26" s="92">
        <v>5</v>
      </c>
      <c r="D26" s="125">
        <v>0.004773363008380387</v>
      </c>
      <c r="E26" s="125">
        <v>2.1480625354554377</v>
      </c>
      <c r="F26" s="92" t="s">
        <v>1137</v>
      </c>
      <c r="G26" s="92" t="b">
        <v>0</v>
      </c>
      <c r="H26" s="92" t="b">
        <v>0</v>
      </c>
      <c r="I26" s="92" t="b">
        <v>0</v>
      </c>
      <c r="J26" s="92" t="b">
        <v>0</v>
      </c>
      <c r="K26" s="92" t="b">
        <v>0</v>
      </c>
      <c r="L26" s="92" t="b">
        <v>0</v>
      </c>
    </row>
    <row r="27" spans="1:12" ht="15">
      <c r="A27" s="93" t="s">
        <v>913</v>
      </c>
      <c r="B27" s="92" t="s">
        <v>701</v>
      </c>
      <c r="C27" s="92">
        <v>5</v>
      </c>
      <c r="D27" s="125">
        <v>0.004773363008380387</v>
      </c>
      <c r="E27" s="125">
        <v>1.212303431710126</v>
      </c>
      <c r="F27" s="92" t="s">
        <v>1137</v>
      </c>
      <c r="G27" s="92" t="b">
        <v>0</v>
      </c>
      <c r="H27" s="92" t="b">
        <v>0</v>
      </c>
      <c r="I27" s="92" t="b">
        <v>0</v>
      </c>
      <c r="J27" s="92" t="b">
        <v>0</v>
      </c>
      <c r="K27" s="92" t="b">
        <v>0</v>
      </c>
      <c r="L27" s="92" t="b">
        <v>0</v>
      </c>
    </row>
    <row r="28" spans="1:12" ht="15">
      <c r="A28" s="93" t="s">
        <v>916</v>
      </c>
      <c r="B28" s="92" t="s">
        <v>892</v>
      </c>
      <c r="C28" s="92">
        <v>5</v>
      </c>
      <c r="D28" s="125">
        <v>0.004773363008380387</v>
      </c>
      <c r="E28" s="125">
        <v>2.2060544824331245</v>
      </c>
      <c r="F28" s="92" t="s">
        <v>1137</v>
      </c>
      <c r="G28" s="92" t="b">
        <v>0</v>
      </c>
      <c r="H28" s="92" t="b">
        <v>0</v>
      </c>
      <c r="I28" s="92" t="b">
        <v>0</v>
      </c>
      <c r="J28" s="92" t="b">
        <v>0</v>
      </c>
      <c r="K28" s="92" t="b">
        <v>0</v>
      </c>
      <c r="L28" s="92" t="b">
        <v>0</v>
      </c>
    </row>
    <row r="29" spans="1:12" ht="15">
      <c r="A29" s="93" t="s">
        <v>889</v>
      </c>
      <c r="B29" s="92" t="s">
        <v>701</v>
      </c>
      <c r="C29" s="92">
        <v>5</v>
      </c>
      <c r="D29" s="125">
        <v>0.004773363008380387</v>
      </c>
      <c r="E29" s="125">
        <v>1.0081834490542012</v>
      </c>
      <c r="F29" s="92" t="s">
        <v>1137</v>
      </c>
      <c r="G29" s="92" t="b">
        <v>0</v>
      </c>
      <c r="H29" s="92" t="b">
        <v>0</v>
      </c>
      <c r="I29" s="92" t="b">
        <v>0</v>
      </c>
      <c r="J29" s="92" t="b">
        <v>0</v>
      </c>
      <c r="K29" s="92" t="b">
        <v>0</v>
      </c>
      <c r="L29" s="92" t="b">
        <v>0</v>
      </c>
    </row>
    <row r="30" spans="1:12" ht="15">
      <c r="A30" s="93" t="s">
        <v>704</v>
      </c>
      <c r="B30" s="92" t="s">
        <v>716</v>
      </c>
      <c r="C30" s="92">
        <v>5</v>
      </c>
      <c r="D30" s="125">
        <v>0.004773363008380387</v>
      </c>
      <c r="E30" s="125">
        <v>1.7289332277134621</v>
      </c>
      <c r="F30" s="92" t="s">
        <v>1137</v>
      </c>
      <c r="G30" s="92" t="b">
        <v>0</v>
      </c>
      <c r="H30" s="92" t="b">
        <v>0</v>
      </c>
      <c r="I30" s="92" t="b">
        <v>0</v>
      </c>
      <c r="J30" s="92" t="b">
        <v>0</v>
      </c>
      <c r="K30" s="92" t="b">
        <v>0</v>
      </c>
      <c r="L30" s="92" t="b">
        <v>0</v>
      </c>
    </row>
    <row r="31" spans="1:12" ht="15">
      <c r="A31" s="93" t="s">
        <v>702</v>
      </c>
      <c r="B31" s="92" t="s">
        <v>905</v>
      </c>
      <c r="C31" s="92">
        <v>4</v>
      </c>
      <c r="D31" s="125">
        <v>0.004143347066697799</v>
      </c>
      <c r="E31" s="125">
        <v>1.6320232147054057</v>
      </c>
      <c r="F31" s="92" t="s">
        <v>1137</v>
      </c>
      <c r="G31" s="92" t="b">
        <v>0</v>
      </c>
      <c r="H31" s="92" t="b">
        <v>0</v>
      </c>
      <c r="I31" s="92" t="b">
        <v>0</v>
      </c>
      <c r="J31" s="92" t="b">
        <v>0</v>
      </c>
      <c r="K31" s="92" t="b">
        <v>0</v>
      </c>
      <c r="L31" s="92" t="b">
        <v>0</v>
      </c>
    </row>
    <row r="32" spans="1:12" ht="15">
      <c r="A32" s="93" t="s">
        <v>932</v>
      </c>
      <c r="B32" s="92" t="s">
        <v>933</v>
      </c>
      <c r="C32" s="92">
        <v>4</v>
      </c>
      <c r="D32" s="125">
        <v>0.004143347066697799</v>
      </c>
      <c r="E32" s="125">
        <v>2.449092531119419</v>
      </c>
      <c r="F32" s="92" t="s">
        <v>1137</v>
      </c>
      <c r="G32" s="92" t="b">
        <v>1</v>
      </c>
      <c r="H32" s="92" t="b">
        <v>0</v>
      </c>
      <c r="I32" s="92" t="b">
        <v>0</v>
      </c>
      <c r="J32" s="92" t="b">
        <v>0</v>
      </c>
      <c r="K32" s="92" t="b">
        <v>0</v>
      </c>
      <c r="L32" s="92" t="b">
        <v>0</v>
      </c>
    </row>
    <row r="33" spans="1:12" ht="15">
      <c r="A33" s="93" t="s">
        <v>933</v>
      </c>
      <c r="B33" s="92" t="s">
        <v>702</v>
      </c>
      <c r="C33" s="92">
        <v>4</v>
      </c>
      <c r="D33" s="125">
        <v>0.004143347066697799</v>
      </c>
      <c r="E33" s="125">
        <v>1.728933227713462</v>
      </c>
      <c r="F33" s="92" t="s">
        <v>1137</v>
      </c>
      <c r="G33" s="92" t="b">
        <v>0</v>
      </c>
      <c r="H33" s="92" t="b">
        <v>0</v>
      </c>
      <c r="I33" s="92" t="b">
        <v>0</v>
      </c>
      <c r="J33" s="92" t="b">
        <v>0</v>
      </c>
      <c r="K33" s="92" t="b">
        <v>0</v>
      </c>
      <c r="L33" s="92" t="b">
        <v>0</v>
      </c>
    </row>
    <row r="34" spans="1:12" ht="15">
      <c r="A34" s="93" t="s">
        <v>894</v>
      </c>
      <c r="B34" s="92" t="s">
        <v>934</v>
      </c>
      <c r="C34" s="92">
        <v>4</v>
      </c>
      <c r="D34" s="125">
        <v>0.004143347066697799</v>
      </c>
      <c r="E34" s="125">
        <v>2.2730012720637376</v>
      </c>
      <c r="F34" s="92" t="s">
        <v>1137</v>
      </c>
      <c r="G34" s="92" t="b">
        <v>0</v>
      </c>
      <c r="H34" s="92" t="b">
        <v>0</v>
      </c>
      <c r="I34" s="92" t="b">
        <v>0</v>
      </c>
      <c r="J34" s="92" t="b">
        <v>1</v>
      </c>
      <c r="K34" s="92" t="b">
        <v>0</v>
      </c>
      <c r="L34" s="92" t="b">
        <v>0</v>
      </c>
    </row>
    <row r="35" spans="1:12" ht="15">
      <c r="A35" s="93" t="s">
        <v>934</v>
      </c>
      <c r="B35" s="92" t="s">
        <v>935</v>
      </c>
      <c r="C35" s="92">
        <v>4</v>
      </c>
      <c r="D35" s="125">
        <v>0.004143347066697799</v>
      </c>
      <c r="E35" s="125">
        <v>2.449092531119419</v>
      </c>
      <c r="F35" s="92" t="s">
        <v>1137</v>
      </c>
      <c r="G35" s="92" t="b">
        <v>1</v>
      </c>
      <c r="H35" s="92" t="b">
        <v>0</v>
      </c>
      <c r="I35" s="92" t="b">
        <v>0</v>
      </c>
      <c r="J35" s="92" t="b">
        <v>0</v>
      </c>
      <c r="K35" s="92" t="b">
        <v>0</v>
      </c>
      <c r="L35" s="92" t="b">
        <v>0</v>
      </c>
    </row>
    <row r="36" spans="1:12" ht="15">
      <c r="A36" s="93" t="s">
        <v>935</v>
      </c>
      <c r="B36" s="92" t="s">
        <v>915</v>
      </c>
      <c r="C36" s="92">
        <v>4</v>
      </c>
      <c r="D36" s="125">
        <v>0.004143347066697799</v>
      </c>
      <c r="E36" s="125">
        <v>2.3521825181113627</v>
      </c>
      <c r="F36" s="92" t="s">
        <v>1137</v>
      </c>
      <c r="G36" s="92" t="b">
        <v>0</v>
      </c>
      <c r="H36" s="92" t="b">
        <v>0</v>
      </c>
      <c r="I36" s="92" t="b">
        <v>0</v>
      </c>
      <c r="J36" s="92" t="b">
        <v>0</v>
      </c>
      <c r="K36" s="92" t="b">
        <v>0</v>
      </c>
      <c r="L36" s="92" t="b">
        <v>0</v>
      </c>
    </row>
    <row r="37" spans="1:12" ht="15">
      <c r="A37" s="93" t="s">
        <v>915</v>
      </c>
      <c r="B37" s="92" t="s">
        <v>936</v>
      </c>
      <c r="C37" s="92">
        <v>4</v>
      </c>
      <c r="D37" s="125">
        <v>0.004143347066697799</v>
      </c>
      <c r="E37" s="125">
        <v>2.449092531119419</v>
      </c>
      <c r="F37" s="92" t="s">
        <v>1137</v>
      </c>
      <c r="G37" s="92" t="b">
        <v>0</v>
      </c>
      <c r="H37" s="92" t="b">
        <v>0</v>
      </c>
      <c r="I37" s="92" t="b">
        <v>0</v>
      </c>
      <c r="J37" s="92" t="b">
        <v>0</v>
      </c>
      <c r="K37" s="92" t="b">
        <v>0</v>
      </c>
      <c r="L37" s="92" t="b">
        <v>0</v>
      </c>
    </row>
    <row r="38" spans="1:12" ht="15">
      <c r="A38" s="93" t="s">
        <v>936</v>
      </c>
      <c r="B38" s="92" t="s">
        <v>709</v>
      </c>
      <c r="C38" s="92">
        <v>4</v>
      </c>
      <c r="D38" s="125">
        <v>0.004143347066697799</v>
      </c>
      <c r="E38" s="125">
        <v>2.009759837289156</v>
      </c>
      <c r="F38" s="92" t="s">
        <v>1137</v>
      </c>
      <c r="G38" s="92" t="b">
        <v>0</v>
      </c>
      <c r="H38" s="92" t="b">
        <v>0</v>
      </c>
      <c r="I38" s="92" t="b">
        <v>0</v>
      </c>
      <c r="J38" s="92" t="b">
        <v>0</v>
      </c>
      <c r="K38" s="92" t="b">
        <v>0</v>
      </c>
      <c r="L38" s="92" t="b">
        <v>0</v>
      </c>
    </row>
    <row r="39" spans="1:12" ht="15">
      <c r="A39" s="93" t="s">
        <v>709</v>
      </c>
      <c r="B39" s="92" t="s">
        <v>916</v>
      </c>
      <c r="C39" s="92">
        <v>4</v>
      </c>
      <c r="D39" s="125">
        <v>0.004143347066697799</v>
      </c>
      <c r="E39" s="125">
        <v>1.9128498242810998</v>
      </c>
      <c r="F39" s="92" t="s">
        <v>1137</v>
      </c>
      <c r="G39" s="92" t="b">
        <v>0</v>
      </c>
      <c r="H39" s="92" t="b">
        <v>0</v>
      </c>
      <c r="I39" s="92" t="b">
        <v>0</v>
      </c>
      <c r="J39" s="92" t="b">
        <v>0</v>
      </c>
      <c r="K39" s="92" t="b">
        <v>0</v>
      </c>
      <c r="L39" s="92" t="b">
        <v>0</v>
      </c>
    </row>
    <row r="40" spans="1:12" ht="15">
      <c r="A40" s="93" t="s">
        <v>896</v>
      </c>
      <c r="B40" s="92" t="s">
        <v>706</v>
      </c>
      <c r="C40" s="92">
        <v>4</v>
      </c>
      <c r="D40" s="125">
        <v>0.004143347066697799</v>
      </c>
      <c r="E40" s="125">
        <v>1.9208187539523751</v>
      </c>
      <c r="F40" s="92" t="s">
        <v>1137</v>
      </c>
      <c r="G40" s="92" t="b">
        <v>0</v>
      </c>
      <c r="H40" s="92" t="b">
        <v>0</v>
      </c>
      <c r="I40" s="92" t="b">
        <v>0</v>
      </c>
      <c r="J40" s="92" t="b">
        <v>0</v>
      </c>
      <c r="K40" s="92" t="b">
        <v>0</v>
      </c>
      <c r="L40" s="92" t="b">
        <v>0</v>
      </c>
    </row>
    <row r="41" spans="1:12" ht="15">
      <c r="A41" s="93" t="s">
        <v>706</v>
      </c>
      <c r="B41" s="92" t="s">
        <v>937</v>
      </c>
      <c r="C41" s="92">
        <v>4</v>
      </c>
      <c r="D41" s="125">
        <v>0.004143347066697799</v>
      </c>
      <c r="E41" s="125">
        <v>1.9372091701405445</v>
      </c>
      <c r="F41" s="92" t="s">
        <v>1137</v>
      </c>
      <c r="G41" s="92" t="b">
        <v>0</v>
      </c>
      <c r="H41" s="92" t="b">
        <v>0</v>
      </c>
      <c r="I41" s="92" t="b">
        <v>0</v>
      </c>
      <c r="J41" s="92" t="b">
        <v>0</v>
      </c>
      <c r="K41" s="92" t="b">
        <v>0</v>
      </c>
      <c r="L41" s="92" t="b">
        <v>0</v>
      </c>
    </row>
    <row r="42" spans="1:12" ht="15">
      <c r="A42" s="93" t="s">
        <v>937</v>
      </c>
      <c r="B42" s="92" t="s">
        <v>889</v>
      </c>
      <c r="C42" s="92">
        <v>4</v>
      </c>
      <c r="D42" s="125">
        <v>0.004143347066697799</v>
      </c>
      <c r="E42" s="125">
        <v>2.2060544824331245</v>
      </c>
      <c r="F42" s="92" t="s">
        <v>1137</v>
      </c>
      <c r="G42" s="92" t="b">
        <v>0</v>
      </c>
      <c r="H42" s="92" t="b">
        <v>0</v>
      </c>
      <c r="I42" s="92" t="b">
        <v>0</v>
      </c>
      <c r="J42" s="92" t="b">
        <v>0</v>
      </c>
      <c r="K42" s="92" t="b">
        <v>0</v>
      </c>
      <c r="L42" s="92" t="b">
        <v>0</v>
      </c>
    </row>
    <row r="43" spans="1:12" ht="15">
      <c r="A43" s="93" t="s">
        <v>938</v>
      </c>
      <c r="B43" s="92" t="s">
        <v>939</v>
      </c>
      <c r="C43" s="92">
        <v>4</v>
      </c>
      <c r="D43" s="125">
        <v>0.004143347066697799</v>
      </c>
      <c r="E43" s="125">
        <v>2.449092531119419</v>
      </c>
      <c r="F43" s="92" t="s">
        <v>1137</v>
      </c>
      <c r="G43" s="92" t="b">
        <v>0</v>
      </c>
      <c r="H43" s="92" t="b">
        <v>1</v>
      </c>
      <c r="I43" s="92" t="b">
        <v>0</v>
      </c>
      <c r="J43" s="92" t="b">
        <v>0</v>
      </c>
      <c r="K43" s="92" t="b">
        <v>0</v>
      </c>
      <c r="L43" s="92" t="b">
        <v>0</v>
      </c>
    </row>
    <row r="44" spans="1:12" ht="15">
      <c r="A44" s="93" t="s">
        <v>939</v>
      </c>
      <c r="B44" s="92" t="s">
        <v>917</v>
      </c>
      <c r="C44" s="92">
        <v>4</v>
      </c>
      <c r="D44" s="125">
        <v>0.004143347066697799</v>
      </c>
      <c r="E44" s="125">
        <v>2.3521825181113627</v>
      </c>
      <c r="F44" s="92" t="s">
        <v>1137</v>
      </c>
      <c r="G44" s="92" t="b">
        <v>0</v>
      </c>
      <c r="H44" s="92" t="b">
        <v>0</v>
      </c>
      <c r="I44" s="92" t="b">
        <v>0</v>
      </c>
      <c r="J44" s="92" t="b">
        <v>0</v>
      </c>
      <c r="K44" s="92" t="b">
        <v>0</v>
      </c>
      <c r="L44" s="92" t="b">
        <v>0</v>
      </c>
    </row>
    <row r="45" spans="1:12" ht="15">
      <c r="A45" s="93" t="s">
        <v>917</v>
      </c>
      <c r="B45" s="92" t="s">
        <v>918</v>
      </c>
      <c r="C45" s="92">
        <v>4</v>
      </c>
      <c r="D45" s="125">
        <v>0.004143347066697799</v>
      </c>
      <c r="E45" s="125">
        <v>2.255272505103306</v>
      </c>
      <c r="F45" s="92" t="s">
        <v>1137</v>
      </c>
      <c r="G45" s="92" t="b">
        <v>0</v>
      </c>
      <c r="H45" s="92" t="b">
        <v>0</v>
      </c>
      <c r="I45" s="92" t="b">
        <v>0</v>
      </c>
      <c r="J45" s="92" t="b">
        <v>0</v>
      </c>
      <c r="K45" s="92" t="b">
        <v>0</v>
      </c>
      <c r="L45" s="92" t="b">
        <v>0</v>
      </c>
    </row>
    <row r="46" spans="1:12" ht="15">
      <c r="A46" s="93" t="s">
        <v>918</v>
      </c>
      <c r="B46" s="92" t="s">
        <v>919</v>
      </c>
      <c r="C46" s="92">
        <v>4</v>
      </c>
      <c r="D46" s="125">
        <v>0.004143347066697799</v>
      </c>
      <c r="E46" s="125">
        <v>2.255272505103306</v>
      </c>
      <c r="F46" s="92" t="s">
        <v>1137</v>
      </c>
      <c r="G46" s="92" t="b">
        <v>0</v>
      </c>
      <c r="H46" s="92" t="b">
        <v>0</v>
      </c>
      <c r="I46" s="92" t="b">
        <v>0</v>
      </c>
      <c r="J46" s="92" t="b">
        <v>0</v>
      </c>
      <c r="K46" s="92" t="b">
        <v>0</v>
      </c>
      <c r="L46" s="92" t="b">
        <v>0</v>
      </c>
    </row>
    <row r="47" spans="1:12" ht="15">
      <c r="A47" s="93" t="s">
        <v>919</v>
      </c>
      <c r="B47" s="92" t="s">
        <v>707</v>
      </c>
      <c r="C47" s="92">
        <v>4</v>
      </c>
      <c r="D47" s="125">
        <v>0.004143347066697799</v>
      </c>
      <c r="E47" s="125">
        <v>1.8750612633917</v>
      </c>
      <c r="F47" s="92" t="s">
        <v>1137</v>
      </c>
      <c r="G47" s="92" t="b">
        <v>0</v>
      </c>
      <c r="H47" s="92" t="b">
        <v>0</v>
      </c>
      <c r="I47" s="92" t="b">
        <v>0</v>
      </c>
      <c r="J47" s="92" t="b">
        <v>0</v>
      </c>
      <c r="K47" s="92" t="b">
        <v>0</v>
      </c>
      <c r="L47" s="92" t="b">
        <v>0</v>
      </c>
    </row>
    <row r="48" spans="1:12" ht="15">
      <c r="A48" s="93" t="s">
        <v>707</v>
      </c>
      <c r="B48" s="92" t="s">
        <v>940</v>
      </c>
      <c r="C48" s="92">
        <v>4</v>
      </c>
      <c r="D48" s="125">
        <v>0.004143347066697799</v>
      </c>
      <c r="E48" s="125">
        <v>1.9719712763997566</v>
      </c>
      <c r="F48" s="92" t="s">
        <v>1137</v>
      </c>
      <c r="G48" s="92" t="b">
        <v>0</v>
      </c>
      <c r="H48" s="92" t="b">
        <v>0</v>
      </c>
      <c r="I48" s="92" t="b">
        <v>0</v>
      </c>
      <c r="J48" s="92" t="b">
        <v>0</v>
      </c>
      <c r="K48" s="92" t="b">
        <v>0</v>
      </c>
      <c r="L48" s="92" t="b">
        <v>0</v>
      </c>
    </row>
    <row r="49" spans="1:12" ht="15">
      <c r="A49" s="93" t="s">
        <v>940</v>
      </c>
      <c r="B49" s="92" t="s">
        <v>712</v>
      </c>
      <c r="C49" s="92">
        <v>4</v>
      </c>
      <c r="D49" s="125">
        <v>0.004143347066697799</v>
      </c>
      <c r="E49" s="125">
        <v>2.1480625354554377</v>
      </c>
      <c r="F49" s="92" t="s">
        <v>1137</v>
      </c>
      <c r="G49" s="92" t="b">
        <v>0</v>
      </c>
      <c r="H49" s="92" t="b">
        <v>0</v>
      </c>
      <c r="I49" s="92" t="b">
        <v>0</v>
      </c>
      <c r="J49" s="92" t="b">
        <v>0</v>
      </c>
      <c r="K49" s="92" t="b">
        <v>0</v>
      </c>
      <c r="L49" s="92" t="b">
        <v>0</v>
      </c>
    </row>
    <row r="50" spans="1:12" ht="15">
      <c r="A50" s="93" t="s">
        <v>713</v>
      </c>
      <c r="B50" s="92" t="s">
        <v>941</v>
      </c>
      <c r="C50" s="92">
        <v>4</v>
      </c>
      <c r="D50" s="125">
        <v>0.004143347066697799</v>
      </c>
      <c r="E50" s="125">
        <v>2.1480625354554377</v>
      </c>
      <c r="F50" s="92" t="s">
        <v>1137</v>
      </c>
      <c r="G50" s="92" t="b">
        <v>0</v>
      </c>
      <c r="H50" s="92" t="b">
        <v>0</v>
      </c>
      <c r="I50" s="92" t="b">
        <v>0</v>
      </c>
      <c r="J50" s="92" t="b">
        <v>0</v>
      </c>
      <c r="K50" s="92" t="b">
        <v>0</v>
      </c>
      <c r="L50" s="92" t="b">
        <v>0</v>
      </c>
    </row>
    <row r="51" spans="1:12" ht="15">
      <c r="A51" s="93" t="s">
        <v>941</v>
      </c>
      <c r="B51" s="92" t="s">
        <v>712</v>
      </c>
      <c r="C51" s="92">
        <v>4</v>
      </c>
      <c r="D51" s="125">
        <v>0.004143347066697799</v>
      </c>
      <c r="E51" s="125">
        <v>2.1480625354554377</v>
      </c>
      <c r="F51" s="92" t="s">
        <v>1137</v>
      </c>
      <c r="G51" s="92" t="b">
        <v>0</v>
      </c>
      <c r="H51" s="92" t="b">
        <v>0</v>
      </c>
      <c r="I51" s="92" t="b">
        <v>0</v>
      </c>
      <c r="J51" s="92" t="b">
        <v>0</v>
      </c>
      <c r="K51" s="92" t="b">
        <v>0</v>
      </c>
      <c r="L51" s="92" t="b">
        <v>0</v>
      </c>
    </row>
    <row r="52" spans="1:12" ht="15">
      <c r="A52" s="93" t="s">
        <v>713</v>
      </c>
      <c r="B52" s="92" t="s">
        <v>942</v>
      </c>
      <c r="C52" s="92">
        <v>4</v>
      </c>
      <c r="D52" s="125">
        <v>0.004143347066697799</v>
      </c>
      <c r="E52" s="125">
        <v>2.1480625354554377</v>
      </c>
      <c r="F52" s="92" t="s">
        <v>1137</v>
      </c>
      <c r="G52" s="92" t="b">
        <v>0</v>
      </c>
      <c r="H52" s="92" t="b">
        <v>0</v>
      </c>
      <c r="I52" s="92" t="b">
        <v>0</v>
      </c>
      <c r="J52" s="92" t="b">
        <v>0</v>
      </c>
      <c r="K52" s="92" t="b">
        <v>0</v>
      </c>
      <c r="L52" s="92" t="b">
        <v>0</v>
      </c>
    </row>
    <row r="53" spans="1:12" ht="15">
      <c r="A53" s="93" t="s">
        <v>942</v>
      </c>
      <c r="B53" s="92" t="s">
        <v>943</v>
      </c>
      <c r="C53" s="92">
        <v>4</v>
      </c>
      <c r="D53" s="125">
        <v>0.004143347066697799</v>
      </c>
      <c r="E53" s="125">
        <v>2.449092531119419</v>
      </c>
      <c r="F53" s="92" t="s">
        <v>1137</v>
      </c>
      <c r="G53" s="92" t="b">
        <v>0</v>
      </c>
      <c r="H53" s="92" t="b">
        <v>0</v>
      </c>
      <c r="I53" s="92" t="b">
        <v>0</v>
      </c>
      <c r="J53" s="92" t="b">
        <v>0</v>
      </c>
      <c r="K53" s="92" t="b">
        <v>0</v>
      </c>
      <c r="L53" s="92" t="b">
        <v>0</v>
      </c>
    </row>
    <row r="54" spans="1:12" ht="15">
      <c r="A54" s="93" t="s">
        <v>943</v>
      </c>
      <c r="B54" s="92" t="s">
        <v>710</v>
      </c>
      <c r="C54" s="92">
        <v>4</v>
      </c>
      <c r="D54" s="125">
        <v>0.004143347066697799</v>
      </c>
      <c r="E54" s="125">
        <v>2.0511525224473814</v>
      </c>
      <c r="F54" s="92" t="s">
        <v>1137</v>
      </c>
      <c r="G54" s="92" t="b">
        <v>0</v>
      </c>
      <c r="H54" s="92" t="b">
        <v>0</v>
      </c>
      <c r="I54" s="92" t="b">
        <v>0</v>
      </c>
      <c r="J54" s="92" t="b">
        <v>0</v>
      </c>
      <c r="K54" s="92" t="b">
        <v>0</v>
      </c>
      <c r="L54" s="92" t="b">
        <v>0</v>
      </c>
    </row>
    <row r="55" spans="1:12" ht="15">
      <c r="A55" s="93" t="s">
        <v>710</v>
      </c>
      <c r="B55" s="92" t="s">
        <v>944</v>
      </c>
      <c r="C55" s="92">
        <v>4</v>
      </c>
      <c r="D55" s="125">
        <v>0.004143347066697799</v>
      </c>
      <c r="E55" s="125">
        <v>2.0511525224473814</v>
      </c>
      <c r="F55" s="92" t="s">
        <v>1137</v>
      </c>
      <c r="G55" s="92" t="b">
        <v>0</v>
      </c>
      <c r="H55" s="92" t="b">
        <v>0</v>
      </c>
      <c r="I55" s="92" t="b">
        <v>0</v>
      </c>
      <c r="J55" s="92" t="b">
        <v>0</v>
      </c>
      <c r="K55" s="92" t="b">
        <v>0</v>
      </c>
      <c r="L55" s="92" t="b">
        <v>0</v>
      </c>
    </row>
    <row r="56" spans="1:12" ht="15">
      <c r="A56" s="93" t="s">
        <v>944</v>
      </c>
      <c r="B56" s="92" t="s">
        <v>701</v>
      </c>
      <c r="C56" s="92">
        <v>4</v>
      </c>
      <c r="D56" s="125">
        <v>0.004143347066697799</v>
      </c>
      <c r="E56" s="125">
        <v>1.212303431710126</v>
      </c>
      <c r="F56" s="92" t="s">
        <v>1137</v>
      </c>
      <c r="G56" s="92" t="b">
        <v>0</v>
      </c>
      <c r="H56" s="92" t="b">
        <v>0</v>
      </c>
      <c r="I56" s="92" t="b">
        <v>0</v>
      </c>
      <c r="J56" s="92" t="b">
        <v>0</v>
      </c>
      <c r="K56" s="92" t="b">
        <v>0</v>
      </c>
      <c r="L56" s="92" t="b">
        <v>0</v>
      </c>
    </row>
    <row r="57" spans="1:12" ht="15">
      <c r="A57" s="93" t="s">
        <v>920</v>
      </c>
      <c r="B57" s="92" t="s">
        <v>949</v>
      </c>
      <c r="C57" s="92">
        <v>4</v>
      </c>
      <c r="D57" s="125">
        <v>0.004143347066697799</v>
      </c>
      <c r="E57" s="125">
        <v>2.3521825181113627</v>
      </c>
      <c r="F57" s="92" t="s">
        <v>1137</v>
      </c>
      <c r="G57" s="92" t="b">
        <v>1</v>
      </c>
      <c r="H57" s="92" t="b">
        <v>0</v>
      </c>
      <c r="I57" s="92" t="b">
        <v>0</v>
      </c>
      <c r="J57" s="92" t="b">
        <v>0</v>
      </c>
      <c r="K57" s="92" t="b">
        <v>0</v>
      </c>
      <c r="L57" s="92" t="b">
        <v>0</v>
      </c>
    </row>
    <row r="58" spans="1:12" ht="15">
      <c r="A58" s="93" t="s">
        <v>949</v>
      </c>
      <c r="B58" s="92" t="s">
        <v>703</v>
      </c>
      <c r="C58" s="92">
        <v>4</v>
      </c>
      <c r="D58" s="125">
        <v>0.004143347066697799</v>
      </c>
      <c r="E58" s="125">
        <v>1.7723989214945524</v>
      </c>
      <c r="F58" s="92" t="s">
        <v>1137</v>
      </c>
      <c r="G58" s="92" t="b">
        <v>0</v>
      </c>
      <c r="H58" s="92" t="b">
        <v>0</v>
      </c>
      <c r="I58" s="92" t="b">
        <v>0</v>
      </c>
      <c r="J58" s="92" t="b">
        <v>0</v>
      </c>
      <c r="K58" s="92" t="b">
        <v>0</v>
      </c>
      <c r="L58" s="92" t="b">
        <v>0</v>
      </c>
    </row>
    <row r="59" spans="1:12" ht="15">
      <c r="A59" s="93" t="s">
        <v>716</v>
      </c>
      <c r="B59" s="92" t="s">
        <v>706</v>
      </c>
      <c r="C59" s="92">
        <v>4</v>
      </c>
      <c r="D59" s="125">
        <v>0.004143347066697799</v>
      </c>
      <c r="E59" s="125">
        <v>1.853871964321762</v>
      </c>
      <c r="F59" s="92" t="s">
        <v>1137</v>
      </c>
      <c r="G59" s="92" t="b">
        <v>0</v>
      </c>
      <c r="H59" s="92" t="b">
        <v>0</v>
      </c>
      <c r="I59" s="92" t="b">
        <v>0</v>
      </c>
      <c r="J59" s="92" t="b">
        <v>0</v>
      </c>
      <c r="K59" s="92" t="b">
        <v>0</v>
      </c>
      <c r="L59" s="92" t="b">
        <v>0</v>
      </c>
    </row>
    <row r="60" spans="1:12" ht="15">
      <c r="A60" s="93" t="s">
        <v>706</v>
      </c>
      <c r="B60" s="92" t="s">
        <v>950</v>
      </c>
      <c r="C60" s="92">
        <v>4</v>
      </c>
      <c r="D60" s="125">
        <v>0.004143347066697799</v>
      </c>
      <c r="E60" s="125">
        <v>1.9372091701405445</v>
      </c>
      <c r="F60" s="92" t="s">
        <v>1137</v>
      </c>
      <c r="G60" s="92" t="b">
        <v>0</v>
      </c>
      <c r="H60" s="92" t="b">
        <v>0</v>
      </c>
      <c r="I60" s="92" t="b">
        <v>0</v>
      </c>
      <c r="J60" s="92" t="b">
        <v>0</v>
      </c>
      <c r="K60" s="92" t="b">
        <v>0</v>
      </c>
      <c r="L60" s="92" t="b">
        <v>0</v>
      </c>
    </row>
    <row r="61" spans="1:12" ht="15">
      <c r="A61" s="93" t="s">
        <v>950</v>
      </c>
      <c r="B61" s="92" t="s">
        <v>893</v>
      </c>
      <c r="C61" s="92">
        <v>4</v>
      </c>
      <c r="D61" s="125">
        <v>0.004143347066697799</v>
      </c>
      <c r="E61" s="125">
        <v>2.2730012720637376</v>
      </c>
      <c r="F61" s="92" t="s">
        <v>1137</v>
      </c>
      <c r="G61" s="92" t="b">
        <v>0</v>
      </c>
      <c r="H61" s="92" t="b">
        <v>0</v>
      </c>
      <c r="I61" s="92" t="b">
        <v>0</v>
      </c>
      <c r="J61" s="92" t="b">
        <v>0</v>
      </c>
      <c r="K61" s="92" t="b">
        <v>1</v>
      </c>
      <c r="L61" s="92" t="b">
        <v>0</v>
      </c>
    </row>
    <row r="62" spans="1:12" ht="15">
      <c r="A62" s="93" t="s">
        <v>893</v>
      </c>
      <c r="B62" s="92" t="s">
        <v>887</v>
      </c>
      <c r="C62" s="92">
        <v>4</v>
      </c>
      <c r="D62" s="125">
        <v>0.004143347066697799</v>
      </c>
      <c r="E62" s="125">
        <v>1.9719712763997566</v>
      </c>
      <c r="F62" s="92" t="s">
        <v>1137</v>
      </c>
      <c r="G62" s="92" t="b">
        <v>0</v>
      </c>
      <c r="H62" s="92" t="b">
        <v>1</v>
      </c>
      <c r="I62" s="92" t="b">
        <v>0</v>
      </c>
      <c r="J62" s="92" t="b">
        <v>1</v>
      </c>
      <c r="K62" s="92" t="b">
        <v>0</v>
      </c>
      <c r="L62" s="92" t="b">
        <v>0</v>
      </c>
    </row>
    <row r="63" spans="1:12" ht="15">
      <c r="A63" s="93" t="s">
        <v>887</v>
      </c>
      <c r="B63" s="92" t="s">
        <v>901</v>
      </c>
      <c r="C63" s="92">
        <v>4</v>
      </c>
      <c r="D63" s="125">
        <v>0.004143347066697799</v>
      </c>
      <c r="E63" s="125">
        <v>1.9719712763997566</v>
      </c>
      <c r="F63" s="92" t="s">
        <v>1137</v>
      </c>
      <c r="G63" s="92" t="b">
        <v>1</v>
      </c>
      <c r="H63" s="92" t="b">
        <v>0</v>
      </c>
      <c r="I63" s="92" t="b">
        <v>0</v>
      </c>
      <c r="J63" s="92" t="b">
        <v>0</v>
      </c>
      <c r="K63" s="92" t="b">
        <v>0</v>
      </c>
      <c r="L63" s="92" t="b">
        <v>0</v>
      </c>
    </row>
    <row r="64" spans="1:12" ht="15">
      <c r="A64" s="93" t="s">
        <v>901</v>
      </c>
      <c r="B64" s="92" t="s">
        <v>951</v>
      </c>
      <c r="C64" s="92">
        <v>4</v>
      </c>
      <c r="D64" s="125">
        <v>0.004143347066697799</v>
      </c>
      <c r="E64" s="125">
        <v>2.2730012720637376</v>
      </c>
      <c r="F64" s="92" t="s">
        <v>1137</v>
      </c>
      <c r="G64" s="92" t="b">
        <v>0</v>
      </c>
      <c r="H64" s="92" t="b">
        <v>0</v>
      </c>
      <c r="I64" s="92" t="b">
        <v>0</v>
      </c>
      <c r="J64" s="92" t="b">
        <v>0</v>
      </c>
      <c r="K64" s="92" t="b">
        <v>0</v>
      </c>
      <c r="L64" s="92" t="b">
        <v>0</v>
      </c>
    </row>
    <row r="65" spans="1:12" ht="15">
      <c r="A65" s="93" t="s">
        <v>951</v>
      </c>
      <c r="B65" s="92" t="s">
        <v>897</v>
      </c>
      <c r="C65" s="92">
        <v>4</v>
      </c>
      <c r="D65" s="125">
        <v>0.004143347066697799</v>
      </c>
      <c r="E65" s="125">
        <v>2.2730012720637376</v>
      </c>
      <c r="F65" s="92" t="s">
        <v>1137</v>
      </c>
      <c r="G65" s="92" t="b">
        <v>0</v>
      </c>
      <c r="H65" s="92" t="b">
        <v>0</v>
      </c>
      <c r="I65" s="92" t="b">
        <v>0</v>
      </c>
      <c r="J65" s="92" t="b">
        <v>0</v>
      </c>
      <c r="K65" s="92" t="b">
        <v>0</v>
      </c>
      <c r="L65" s="92" t="b">
        <v>0</v>
      </c>
    </row>
    <row r="66" spans="1:12" ht="15">
      <c r="A66" s="93" t="s">
        <v>898</v>
      </c>
      <c r="B66" s="92" t="s">
        <v>701</v>
      </c>
      <c r="C66" s="92">
        <v>4</v>
      </c>
      <c r="D66" s="125">
        <v>0.004143347066697799</v>
      </c>
      <c r="E66" s="125">
        <v>1.0362121726544449</v>
      </c>
      <c r="F66" s="92" t="s">
        <v>1137</v>
      </c>
      <c r="G66" s="92" t="b">
        <v>1</v>
      </c>
      <c r="H66" s="92" t="b">
        <v>0</v>
      </c>
      <c r="I66" s="92" t="b">
        <v>0</v>
      </c>
      <c r="J66" s="92" t="b">
        <v>0</v>
      </c>
      <c r="K66" s="92" t="b">
        <v>0</v>
      </c>
      <c r="L66" s="92" t="b">
        <v>0</v>
      </c>
    </row>
    <row r="67" spans="1:12" ht="15">
      <c r="A67" s="93" t="s">
        <v>890</v>
      </c>
      <c r="B67" s="92" t="s">
        <v>956</v>
      </c>
      <c r="C67" s="92">
        <v>4</v>
      </c>
      <c r="D67" s="125">
        <v>0.004143347066697799</v>
      </c>
      <c r="E67" s="125">
        <v>2.1480625354554377</v>
      </c>
      <c r="F67" s="92" t="s">
        <v>1137</v>
      </c>
      <c r="G67" s="92" t="b">
        <v>0</v>
      </c>
      <c r="H67" s="92" t="b">
        <v>0</v>
      </c>
      <c r="I67" s="92" t="b">
        <v>0</v>
      </c>
      <c r="J67" s="92" t="b">
        <v>0</v>
      </c>
      <c r="K67" s="92" t="b">
        <v>0</v>
      </c>
      <c r="L67" s="92" t="b">
        <v>0</v>
      </c>
    </row>
    <row r="68" spans="1:12" ht="15">
      <c r="A68" s="93" t="s">
        <v>728</v>
      </c>
      <c r="B68" s="92" t="s">
        <v>729</v>
      </c>
      <c r="C68" s="92">
        <v>4</v>
      </c>
      <c r="D68" s="125">
        <v>0.004143347066697799</v>
      </c>
      <c r="E68" s="125">
        <v>2.449092531119419</v>
      </c>
      <c r="F68" s="92" t="s">
        <v>1137</v>
      </c>
      <c r="G68" s="92" t="b">
        <v>0</v>
      </c>
      <c r="H68" s="92" t="b">
        <v>0</v>
      </c>
      <c r="I68" s="92" t="b">
        <v>0</v>
      </c>
      <c r="J68" s="92" t="b">
        <v>0</v>
      </c>
      <c r="K68" s="92" t="b">
        <v>0</v>
      </c>
      <c r="L68" s="92" t="b">
        <v>0</v>
      </c>
    </row>
    <row r="69" spans="1:12" ht="15">
      <c r="A69" s="93" t="s">
        <v>706</v>
      </c>
      <c r="B69" s="92" t="s">
        <v>959</v>
      </c>
      <c r="C69" s="92">
        <v>4</v>
      </c>
      <c r="D69" s="125">
        <v>0.004143347066697799</v>
      </c>
      <c r="E69" s="125">
        <v>1.9372091701405445</v>
      </c>
      <c r="F69" s="92" t="s">
        <v>1137</v>
      </c>
      <c r="G69" s="92" t="b">
        <v>0</v>
      </c>
      <c r="H69" s="92" t="b">
        <v>0</v>
      </c>
      <c r="I69" s="92" t="b">
        <v>0</v>
      </c>
      <c r="J69" s="92" t="b">
        <v>0</v>
      </c>
      <c r="K69" s="92" t="b">
        <v>0</v>
      </c>
      <c r="L69" s="92" t="b">
        <v>0</v>
      </c>
    </row>
    <row r="70" spans="1:12" ht="15">
      <c r="A70" s="93" t="s">
        <v>959</v>
      </c>
      <c r="B70" s="92" t="s">
        <v>960</v>
      </c>
      <c r="C70" s="92">
        <v>4</v>
      </c>
      <c r="D70" s="125">
        <v>0.004143347066697799</v>
      </c>
      <c r="E70" s="125">
        <v>2.449092531119419</v>
      </c>
      <c r="F70" s="92" t="s">
        <v>1137</v>
      </c>
      <c r="G70" s="92" t="b">
        <v>0</v>
      </c>
      <c r="H70" s="92" t="b">
        <v>0</v>
      </c>
      <c r="I70" s="92" t="b">
        <v>0</v>
      </c>
      <c r="J70" s="92" t="b">
        <v>0</v>
      </c>
      <c r="K70" s="92" t="b">
        <v>0</v>
      </c>
      <c r="L70" s="92" t="b">
        <v>0</v>
      </c>
    </row>
    <row r="71" spans="1:12" ht="15">
      <c r="A71" s="93" t="s">
        <v>960</v>
      </c>
      <c r="B71" s="92" t="s">
        <v>961</v>
      </c>
      <c r="C71" s="92">
        <v>4</v>
      </c>
      <c r="D71" s="125">
        <v>0.004143347066697799</v>
      </c>
      <c r="E71" s="125">
        <v>2.449092531119419</v>
      </c>
      <c r="F71" s="92" t="s">
        <v>1137</v>
      </c>
      <c r="G71" s="92" t="b">
        <v>0</v>
      </c>
      <c r="H71" s="92" t="b">
        <v>0</v>
      </c>
      <c r="I71" s="92" t="b">
        <v>0</v>
      </c>
      <c r="J71" s="92" t="b">
        <v>0</v>
      </c>
      <c r="K71" s="92" t="b">
        <v>0</v>
      </c>
      <c r="L71" s="92" t="b">
        <v>0</v>
      </c>
    </row>
    <row r="72" spans="1:12" ht="15">
      <c r="A72" s="93" t="s">
        <v>961</v>
      </c>
      <c r="B72" s="92" t="s">
        <v>962</v>
      </c>
      <c r="C72" s="92">
        <v>4</v>
      </c>
      <c r="D72" s="125">
        <v>0.004143347066697799</v>
      </c>
      <c r="E72" s="125">
        <v>2.449092531119419</v>
      </c>
      <c r="F72" s="92" t="s">
        <v>1137</v>
      </c>
      <c r="G72" s="92" t="b">
        <v>0</v>
      </c>
      <c r="H72" s="92" t="b">
        <v>0</v>
      </c>
      <c r="I72" s="92" t="b">
        <v>0</v>
      </c>
      <c r="J72" s="92" t="b">
        <v>1</v>
      </c>
      <c r="K72" s="92" t="b">
        <v>0</v>
      </c>
      <c r="L72" s="92" t="b">
        <v>0</v>
      </c>
    </row>
    <row r="73" spans="1:12" ht="15">
      <c r="A73" s="93" t="s">
        <v>962</v>
      </c>
      <c r="B73" s="92" t="s">
        <v>703</v>
      </c>
      <c r="C73" s="92">
        <v>4</v>
      </c>
      <c r="D73" s="125">
        <v>0.004143347066697799</v>
      </c>
      <c r="E73" s="125">
        <v>1.7723989214945524</v>
      </c>
      <c r="F73" s="92" t="s">
        <v>1137</v>
      </c>
      <c r="G73" s="92" t="b">
        <v>1</v>
      </c>
      <c r="H73" s="92" t="b">
        <v>0</v>
      </c>
      <c r="I73" s="92" t="b">
        <v>0</v>
      </c>
      <c r="J73" s="92" t="b">
        <v>0</v>
      </c>
      <c r="K73" s="92" t="b">
        <v>0</v>
      </c>
      <c r="L73" s="92" t="b">
        <v>0</v>
      </c>
    </row>
    <row r="74" spans="1:12" ht="15">
      <c r="A74" s="93" t="s">
        <v>704</v>
      </c>
      <c r="B74" s="92" t="s">
        <v>890</v>
      </c>
      <c r="C74" s="92">
        <v>4</v>
      </c>
      <c r="D74" s="125">
        <v>0.004143347066697799</v>
      </c>
      <c r="E74" s="125">
        <v>1.5740312677277188</v>
      </c>
      <c r="F74" s="92" t="s">
        <v>1137</v>
      </c>
      <c r="G74" s="92" t="b">
        <v>0</v>
      </c>
      <c r="H74" s="92" t="b">
        <v>0</v>
      </c>
      <c r="I74" s="92" t="b">
        <v>0</v>
      </c>
      <c r="J74" s="92" t="b">
        <v>0</v>
      </c>
      <c r="K74" s="92" t="b">
        <v>0</v>
      </c>
      <c r="L74" s="92" t="b">
        <v>0</v>
      </c>
    </row>
    <row r="75" spans="1:12" ht="15">
      <c r="A75" s="93" t="s">
        <v>890</v>
      </c>
      <c r="B75" s="92" t="s">
        <v>963</v>
      </c>
      <c r="C75" s="92">
        <v>4</v>
      </c>
      <c r="D75" s="125">
        <v>0.004143347066697799</v>
      </c>
      <c r="E75" s="125">
        <v>2.1480625354554377</v>
      </c>
      <c r="F75" s="92" t="s">
        <v>1137</v>
      </c>
      <c r="G75" s="92" t="b">
        <v>0</v>
      </c>
      <c r="H75" s="92" t="b">
        <v>0</v>
      </c>
      <c r="I75" s="92" t="b">
        <v>0</v>
      </c>
      <c r="J75" s="92" t="b">
        <v>0</v>
      </c>
      <c r="K75" s="92" t="b">
        <v>0</v>
      </c>
      <c r="L75" s="92" t="b">
        <v>0</v>
      </c>
    </row>
    <row r="76" spans="1:12" ht="15">
      <c r="A76" s="93" t="s">
        <v>963</v>
      </c>
      <c r="B76" s="92" t="s">
        <v>964</v>
      </c>
      <c r="C76" s="92">
        <v>4</v>
      </c>
      <c r="D76" s="125">
        <v>0.004143347066697799</v>
      </c>
      <c r="E76" s="125">
        <v>2.449092531119419</v>
      </c>
      <c r="F76" s="92" t="s">
        <v>1137</v>
      </c>
      <c r="G76" s="92" t="b">
        <v>0</v>
      </c>
      <c r="H76" s="92" t="b">
        <v>0</v>
      </c>
      <c r="I76" s="92" t="b">
        <v>0</v>
      </c>
      <c r="J76" s="92" t="b">
        <v>0</v>
      </c>
      <c r="K76" s="92" t="b">
        <v>0</v>
      </c>
      <c r="L76" s="92" t="b">
        <v>0</v>
      </c>
    </row>
    <row r="77" spans="1:12" ht="15">
      <c r="A77" s="93" t="s">
        <v>964</v>
      </c>
      <c r="B77" s="92" t="s">
        <v>965</v>
      </c>
      <c r="C77" s="92">
        <v>4</v>
      </c>
      <c r="D77" s="125">
        <v>0.004143347066697799</v>
      </c>
      <c r="E77" s="125">
        <v>2.449092531119419</v>
      </c>
      <c r="F77" s="92" t="s">
        <v>1137</v>
      </c>
      <c r="G77" s="92" t="b">
        <v>0</v>
      </c>
      <c r="H77" s="92" t="b">
        <v>0</v>
      </c>
      <c r="I77" s="92" t="b">
        <v>0</v>
      </c>
      <c r="J77" s="92" t="b">
        <v>0</v>
      </c>
      <c r="K77" s="92" t="b">
        <v>0</v>
      </c>
      <c r="L77" s="92" t="b">
        <v>0</v>
      </c>
    </row>
    <row r="78" spans="1:12" ht="15">
      <c r="A78" s="93" t="s">
        <v>965</v>
      </c>
      <c r="B78" s="92" t="s">
        <v>966</v>
      </c>
      <c r="C78" s="92">
        <v>4</v>
      </c>
      <c r="D78" s="125">
        <v>0.004143347066697799</v>
      </c>
      <c r="E78" s="125">
        <v>2.449092531119419</v>
      </c>
      <c r="F78" s="92" t="s">
        <v>1137</v>
      </c>
      <c r="G78" s="92" t="b">
        <v>0</v>
      </c>
      <c r="H78" s="92" t="b">
        <v>0</v>
      </c>
      <c r="I78" s="92" t="b">
        <v>0</v>
      </c>
      <c r="J78" s="92" t="b">
        <v>0</v>
      </c>
      <c r="K78" s="92" t="b">
        <v>0</v>
      </c>
      <c r="L78" s="92" t="b">
        <v>0</v>
      </c>
    </row>
    <row r="79" spans="1:12" ht="15">
      <c r="A79" s="93" t="s">
        <v>966</v>
      </c>
      <c r="B79" s="92" t="s">
        <v>924</v>
      </c>
      <c r="C79" s="92">
        <v>4</v>
      </c>
      <c r="D79" s="125">
        <v>0.004143347066697799</v>
      </c>
      <c r="E79" s="125">
        <v>2.3521825181113627</v>
      </c>
      <c r="F79" s="92" t="s">
        <v>1137</v>
      </c>
      <c r="G79" s="92" t="b">
        <v>0</v>
      </c>
      <c r="H79" s="92" t="b">
        <v>0</v>
      </c>
      <c r="I79" s="92" t="b">
        <v>0</v>
      </c>
      <c r="J79" s="92" t="b">
        <v>0</v>
      </c>
      <c r="K79" s="92" t="b">
        <v>0</v>
      </c>
      <c r="L79" s="92" t="b">
        <v>0</v>
      </c>
    </row>
    <row r="80" spans="1:12" ht="15">
      <c r="A80" s="93" t="s">
        <v>924</v>
      </c>
      <c r="B80" s="92" t="s">
        <v>967</v>
      </c>
      <c r="C80" s="92">
        <v>4</v>
      </c>
      <c r="D80" s="125">
        <v>0.004143347066697799</v>
      </c>
      <c r="E80" s="125">
        <v>2.3521825181113627</v>
      </c>
      <c r="F80" s="92" t="s">
        <v>1137</v>
      </c>
      <c r="G80" s="92" t="b">
        <v>0</v>
      </c>
      <c r="H80" s="92" t="b">
        <v>0</v>
      </c>
      <c r="I80" s="92" t="b">
        <v>0</v>
      </c>
      <c r="J80" s="92" t="b">
        <v>1</v>
      </c>
      <c r="K80" s="92" t="b">
        <v>0</v>
      </c>
      <c r="L80" s="92" t="b">
        <v>0</v>
      </c>
    </row>
    <row r="81" spans="1:12" ht="15">
      <c r="A81" s="93" t="s">
        <v>967</v>
      </c>
      <c r="B81" s="92" t="s">
        <v>899</v>
      </c>
      <c r="C81" s="92">
        <v>4</v>
      </c>
      <c r="D81" s="125">
        <v>0.004143347066697799</v>
      </c>
      <c r="E81" s="125">
        <v>2.2730012720637376</v>
      </c>
      <c r="F81" s="92" t="s">
        <v>1137</v>
      </c>
      <c r="G81" s="92" t="b">
        <v>1</v>
      </c>
      <c r="H81" s="92" t="b">
        <v>0</v>
      </c>
      <c r="I81" s="92" t="b">
        <v>0</v>
      </c>
      <c r="J81" s="92" t="b">
        <v>0</v>
      </c>
      <c r="K81" s="92" t="b">
        <v>0</v>
      </c>
      <c r="L81" s="92" t="b">
        <v>0</v>
      </c>
    </row>
    <row r="82" spans="1:12" ht="15">
      <c r="A82" s="93" t="s">
        <v>900</v>
      </c>
      <c r="B82" s="92" t="s">
        <v>968</v>
      </c>
      <c r="C82" s="92">
        <v>4</v>
      </c>
      <c r="D82" s="125">
        <v>0.004143347066697799</v>
      </c>
      <c r="E82" s="125">
        <v>2.2730012720637376</v>
      </c>
      <c r="F82" s="92" t="s">
        <v>1137</v>
      </c>
      <c r="G82" s="92" t="b">
        <v>0</v>
      </c>
      <c r="H82" s="92" t="b">
        <v>0</v>
      </c>
      <c r="I82" s="92" t="b">
        <v>0</v>
      </c>
      <c r="J82" s="92" t="b">
        <v>0</v>
      </c>
      <c r="K82" s="92" t="b">
        <v>0</v>
      </c>
      <c r="L82" s="92" t="b">
        <v>0</v>
      </c>
    </row>
    <row r="83" spans="1:12" ht="15">
      <c r="A83" s="93" t="s">
        <v>968</v>
      </c>
      <c r="B83" s="92" t="s">
        <v>969</v>
      </c>
      <c r="C83" s="92">
        <v>4</v>
      </c>
      <c r="D83" s="125">
        <v>0.004143347066697799</v>
      </c>
      <c r="E83" s="125">
        <v>2.449092531119419</v>
      </c>
      <c r="F83" s="92" t="s">
        <v>1137</v>
      </c>
      <c r="G83" s="92" t="b">
        <v>0</v>
      </c>
      <c r="H83" s="92" t="b">
        <v>0</v>
      </c>
      <c r="I83" s="92" t="b">
        <v>0</v>
      </c>
      <c r="J83" s="92" t="b">
        <v>0</v>
      </c>
      <c r="K83" s="92" t="b">
        <v>0</v>
      </c>
      <c r="L83" s="92" t="b">
        <v>0</v>
      </c>
    </row>
    <row r="84" spans="1:12" ht="15">
      <c r="A84" s="93" t="s">
        <v>969</v>
      </c>
      <c r="B84" s="92" t="s">
        <v>970</v>
      </c>
      <c r="C84" s="92">
        <v>4</v>
      </c>
      <c r="D84" s="125">
        <v>0.004143347066697799</v>
      </c>
      <c r="E84" s="125">
        <v>2.449092531119419</v>
      </c>
      <c r="F84" s="92" t="s">
        <v>1137</v>
      </c>
      <c r="G84" s="92" t="b">
        <v>0</v>
      </c>
      <c r="H84" s="92" t="b">
        <v>0</v>
      </c>
      <c r="I84" s="92" t="b">
        <v>0</v>
      </c>
      <c r="J84" s="92" t="b">
        <v>0</v>
      </c>
      <c r="K84" s="92" t="b">
        <v>0</v>
      </c>
      <c r="L84" s="92" t="b">
        <v>0</v>
      </c>
    </row>
    <row r="85" spans="1:12" ht="15">
      <c r="A85" s="93" t="s">
        <v>970</v>
      </c>
      <c r="B85" s="92" t="s">
        <v>925</v>
      </c>
      <c r="C85" s="92">
        <v>4</v>
      </c>
      <c r="D85" s="125">
        <v>0.004143347066697799</v>
      </c>
      <c r="E85" s="125">
        <v>2.3521825181113627</v>
      </c>
      <c r="F85" s="92" t="s">
        <v>1137</v>
      </c>
      <c r="G85" s="92" t="b">
        <v>0</v>
      </c>
      <c r="H85" s="92" t="b">
        <v>0</v>
      </c>
      <c r="I85" s="92" t="b">
        <v>0</v>
      </c>
      <c r="J85" s="92" t="b">
        <v>0</v>
      </c>
      <c r="K85" s="92" t="b">
        <v>0</v>
      </c>
      <c r="L85" s="92" t="b">
        <v>0</v>
      </c>
    </row>
    <row r="86" spans="1:12" ht="15">
      <c r="A86" s="93" t="s">
        <v>925</v>
      </c>
      <c r="B86" s="92" t="s">
        <v>703</v>
      </c>
      <c r="C86" s="92">
        <v>4</v>
      </c>
      <c r="D86" s="125">
        <v>0.004143347066697799</v>
      </c>
      <c r="E86" s="125">
        <v>1.675488908486496</v>
      </c>
      <c r="F86" s="92" t="s">
        <v>1137</v>
      </c>
      <c r="G86" s="92" t="b">
        <v>0</v>
      </c>
      <c r="H86" s="92" t="b">
        <v>0</v>
      </c>
      <c r="I86" s="92" t="b">
        <v>0</v>
      </c>
      <c r="J86" s="92" t="b">
        <v>0</v>
      </c>
      <c r="K86" s="92" t="b">
        <v>0</v>
      </c>
      <c r="L86" s="92" t="b">
        <v>0</v>
      </c>
    </row>
    <row r="87" spans="1:12" ht="15">
      <c r="A87" s="93" t="s">
        <v>703</v>
      </c>
      <c r="B87" s="92" t="s">
        <v>971</v>
      </c>
      <c r="C87" s="92">
        <v>4</v>
      </c>
      <c r="D87" s="125">
        <v>0.004143347066697799</v>
      </c>
      <c r="E87" s="125">
        <v>1.7723989214945524</v>
      </c>
      <c r="F87" s="92" t="s">
        <v>1137</v>
      </c>
      <c r="G87" s="92" t="b">
        <v>0</v>
      </c>
      <c r="H87" s="92" t="b">
        <v>0</v>
      </c>
      <c r="I87" s="92" t="b">
        <v>0</v>
      </c>
      <c r="J87" s="92" t="b">
        <v>0</v>
      </c>
      <c r="K87" s="92" t="b">
        <v>0</v>
      </c>
      <c r="L87" s="92" t="b">
        <v>0</v>
      </c>
    </row>
    <row r="88" spans="1:12" ht="15">
      <c r="A88" s="93" t="s">
        <v>971</v>
      </c>
      <c r="B88" s="92" t="s">
        <v>701</v>
      </c>
      <c r="C88" s="92">
        <v>4</v>
      </c>
      <c r="D88" s="125">
        <v>0.004143347066697799</v>
      </c>
      <c r="E88" s="125">
        <v>1.212303431710126</v>
      </c>
      <c r="F88" s="92" t="s">
        <v>1137</v>
      </c>
      <c r="G88" s="92" t="b">
        <v>0</v>
      </c>
      <c r="H88" s="92" t="b">
        <v>0</v>
      </c>
      <c r="I88" s="92" t="b">
        <v>0</v>
      </c>
      <c r="J88" s="92" t="b">
        <v>0</v>
      </c>
      <c r="K88" s="92" t="b">
        <v>0</v>
      </c>
      <c r="L88" s="92" t="b">
        <v>0</v>
      </c>
    </row>
    <row r="89" spans="1:12" ht="15">
      <c r="A89" s="93" t="s">
        <v>973</v>
      </c>
      <c r="B89" s="92" t="s">
        <v>886</v>
      </c>
      <c r="C89" s="92">
        <v>3</v>
      </c>
      <c r="D89" s="125">
        <v>0.0034214267236622937</v>
      </c>
      <c r="E89" s="125">
        <v>2.0969100130080562</v>
      </c>
      <c r="F89" s="92" t="s">
        <v>1137</v>
      </c>
      <c r="G89" s="92" t="b">
        <v>0</v>
      </c>
      <c r="H89" s="92" t="b">
        <v>0</v>
      </c>
      <c r="I89" s="92" t="b">
        <v>0</v>
      </c>
      <c r="J89" s="92" t="b">
        <v>0</v>
      </c>
      <c r="K89" s="92" t="b">
        <v>0</v>
      </c>
      <c r="L89" s="92" t="b">
        <v>0</v>
      </c>
    </row>
    <row r="90" spans="1:12" ht="15">
      <c r="A90" s="93" t="s">
        <v>702</v>
      </c>
      <c r="B90" s="92" t="s">
        <v>975</v>
      </c>
      <c r="C90" s="92">
        <v>3</v>
      </c>
      <c r="D90" s="125">
        <v>0.0034214267236622937</v>
      </c>
      <c r="E90" s="125">
        <v>1.728933227713462</v>
      </c>
      <c r="F90" s="92" t="s">
        <v>1137</v>
      </c>
      <c r="G90" s="92" t="b">
        <v>0</v>
      </c>
      <c r="H90" s="92" t="b">
        <v>0</v>
      </c>
      <c r="I90" s="92" t="b">
        <v>0</v>
      </c>
      <c r="J90" s="92" t="b">
        <v>0</v>
      </c>
      <c r="K90" s="92" t="b">
        <v>0</v>
      </c>
      <c r="L90" s="92" t="b">
        <v>0</v>
      </c>
    </row>
    <row r="91" spans="1:12" ht="15">
      <c r="A91" s="93" t="s">
        <v>975</v>
      </c>
      <c r="B91" s="92" t="s">
        <v>914</v>
      </c>
      <c r="C91" s="92">
        <v>3</v>
      </c>
      <c r="D91" s="125">
        <v>0.0034214267236622937</v>
      </c>
      <c r="E91" s="125">
        <v>2.3521825181113627</v>
      </c>
      <c r="F91" s="92" t="s">
        <v>1137</v>
      </c>
      <c r="G91" s="92" t="b">
        <v>0</v>
      </c>
      <c r="H91" s="92" t="b">
        <v>0</v>
      </c>
      <c r="I91" s="92" t="b">
        <v>0</v>
      </c>
      <c r="J91" s="92" t="b">
        <v>0</v>
      </c>
      <c r="K91" s="92" t="b">
        <v>0</v>
      </c>
      <c r="L91" s="92" t="b">
        <v>0</v>
      </c>
    </row>
    <row r="92" spans="1:12" ht="15">
      <c r="A92" s="93" t="s">
        <v>979</v>
      </c>
      <c r="B92" s="92" t="s">
        <v>980</v>
      </c>
      <c r="C92" s="92">
        <v>3</v>
      </c>
      <c r="D92" s="125">
        <v>0.0034214267236622937</v>
      </c>
      <c r="E92" s="125">
        <v>2.574031267727719</v>
      </c>
      <c r="F92" s="92" t="s">
        <v>1137</v>
      </c>
      <c r="G92" s="92" t="b">
        <v>0</v>
      </c>
      <c r="H92" s="92" t="b">
        <v>0</v>
      </c>
      <c r="I92" s="92" t="b">
        <v>0</v>
      </c>
      <c r="J92" s="92" t="b">
        <v>0</v>
      </c>
      <c r="K92" s="92" t="b">
        <v>0</v>
      </c>
      <c r="L92" s="92" t="b">
        <v>0</v>
      </c>
    </row>
    <row r="93" spans="1:12" ht="15">
      <c r="A93" s="93" t="s">
        <v>982</v>
      </c>
      <c r="B93" s="92" t="s">
        <v>983</v>
      </c>
      <c r="C93" s="92">
        <v>3</v>
      </c>
      <c r="D93" s="125">
        <v>0.0034214267236622937</v>
      </c>
      <c r="E93" s="125">
        <v>2.574031267727719</v>
      </c>
      <c r="F93" s="92" t="s">
        <v>1137</v>
      </c>
      <c r="G93" s="92" t="b">
        <v>0</v>
      </c>
      <c r="H93" s="92" t="b">
        <v>0</v>
      </c>
      <c r="I93" s="92" t="b">
        <v>0</v>
      </c>
      <c r="J93" s="92" t="b">
        <v>0</v>
      </c>
      <c r="K93" s="92" t="b">
        <v>1</v>
      </c>
      <c r="L93" s="92" t="b">
        <v>0</v>
      </c>
    </row>
    <row r="94" spans="1:12" ht="15">
      <c r="A94" s="93" t="s">
        <v>709</v>
      </c>
      <c r="B94" s="92" t="s">
        <v>922</v>
      </c>
      <c r="C94" s="92">
        <v>3</v>
      </c>
      <c r="D94" s="125">
        <v>0.0034214267236622937</v>
      </c>
      <c r="E94" s="125">
        <v>1.7879110876728</v>
      </c>
      <c r="F94" s="92" t="s">
        <v>1137</v>
      </c>
      <c r="G94" s="92" t="b">
        <v>0</v>
      </c>
      <c r="H94" s="92" t="b">
        <v>0</v>
      </c>
      <c r="I94" s="92" t="b">
        <v>0</v>
      </c>
      <c r="J94" s="92" t="b">
        <v>0</v>
      </c>
      <c r="K94" s="92" t="b">
        <v>0</v>
      </c>
      <c r="L94" s="92" t="b">
        <v>0</v>
      </c>
    </row>
    <row r="95" spans="1:12" ht="15">
      <c r="A95" s="93" t="s">
        <v>724</v>
      </c>
      <c r="B95" s="92" t="s">
        <v>988</v>
      </c>
      <c r="C95" s="92">
        <v>2</v>
      </c>
      <c r="D95" s="125">
        <v>0.0025759113820322853</v>
      </c>
      <c r="E95" s="125">
        <v>2.449092531119419</v>
      </c>
      <c r="F95" s="92" t="s">
        <v>1137</v>
      </c>
      <c r="G95" s="92" t="b">
        <v>0</v>
      </c>
      <c r="H95" s="92" t="b">
        <v>0</v>
      </c>
      <c r="I95" s="92" t="b">
        <v>0</v>
      </c>
      <c r="J95" s="92" t="b">
        <v>0</v>
      </c>
      <c r="K95" s="92" t="b">
        <v>0</v>
      </c>
      <c r="L95" s="92" t="b">
        <v>0</v>
      </c>
    </row>
    <row r="96" spans="1:12" ht="15">
      <c r="A96" s="93" t="s">
        <v>988</v>
      </c>
      <c r="B96" s="92" t="s">
        <v>989</v>
      </c>
      <c r="C96" s="92">
        <v>2</v>
      </c>
      <c r="D96" s="125">
        <v>0.0025759113820322853</v>
      </c>
      <c r="E96" s="125">
        <v>2.7501225267834</v>
      </c>
      <c r="F96" s="92" t="s">
        <v>1137</v>
      </c>
      <c r="G96" s="92" t="b">
        <v>0</v>
      </c>
      <c r="H96" s="92" t="b">
        <v>0</v>
      </c>
      <c r="I96" s="92" t="b">
        <v>0</v>
      </c>
      <c r="J96" s="92" t="b">
        <v>0</v>
      </c>
      <c r="K96" s="92" t="b">
        <v>0</v>
      </c>
      <c r="L96" s="92" t="b">
        <v>0</v>
      </c>
    </row>
    <row r="97" spans="1:12" ht="15">
      <c r="A97" s="93" t="s">
        <v>989</v>
      </c>
      <c r="B97" s="92" t="s">
        <v>990</v>
      </c>
      <c r="C97" s="92">
        <v>2</v>
      </c>
      <c r="D97" s="125">
        <v>0.0025759113820322853</v>
      </c>
      <c r="E97" s="125">
        <v>2.7501225267834</v>
      </c>
      <c r="F97" s="92" t="s">
        <v>1137</v>
      </c>
      <c r="G97" s="92" t="b">
        <v>0</v>
      </c>
      <c r="H97" s="92" t="b">
        <v>0</v>
      </c>
      <c r="I97" s="92" t="b">
        <v>0</v>
      </c>
      <c r="J97" s="92" t="b">
        <v>0</v>
      </c>
      <c r="K97" s="92" t="b">
        <v>0</v>
      </c>
      <c r="L97" s="92" t="b">
        <v>0</v>
      </c>
    </row>
    <row r="98" spans="1:12" ht="15">
      <c r="A98" s="93" t="s">
        <v>990</v>
      </c>
      <c r="B98" s="92" t="s">
        <v>991</v>
      </c>
      <c r="C98" s="92">
        <v>2</v>
      </c>
      <c r="D98" s="125">
        <v>0.0025759113820322853</v>
      </c>
      <c r="E98" s="125">
        <v>2.7501225267834</v>
      </c>
      <c r="F98" s="92" t="s">
        <v>1137</v>
      </c>
      <c r="G98" s="92" t="b">
        <v>0</v>
      </c>
      <c r="H98" s="92" t="b">
        <v>0</v>
      </c>
      <c r="I98" s="92" t="b">
        <v>0</v>
      </c>
      <c r="J98" s="92" t="b">
        <v>0</v>
      </c>
      <c r="K98" s="92" t="b">
        <v>0</v>
      </c>
      <c r="L98" s="92" t="b">
        <v>0</v>
      </c>
    </row>
    <row r="99" spans="1:12" ht="15">
      <c r="A99" s="93" t="s">
        <v>991</v>
      </c>
      <c r="B99" s="92" t="s">
        <v>992</v>
      </c>
      <c r="C99" s="92">
        <v>2</v>
      </c>
      <c r="D99" s="125">
        <v>0.0025759113820322853</v>
      </c>
      <c r="E99" s="125">
        <v>2.7501225267834</v>
      </c>
      <c r="F99" s="92" t="s">
        <v>1137</v>
      </c>
      <c r="G99" s="92" t="b">
        <v>0</v>
      </c>
      <c r="H99" s="92" t="b">
        <v>0</v>
      </c>
      <c r="I99" s="92" t="b">
        <v>0</v>
      </c>
      <c r="J99" s="92" t="b">
        <v>0</v>
      </c>
      <c r="K99" s="92" t="b">
        <v>0</v>
      </c>
      <c r="L99" s="92" t="b">
        <v>0</v>
      </c>
    </row>
    <row r="100" spans="1:12" ht="15">
      <c r="A100" s="93" t="s">
        <v>992</v>
      </c>
      <c r="B100" s="92" t="s">
        <v>993</v>
      </c>
      <c r="C100" s="92">
        <v>2</v>
      </c>
      <c r="D100" s="125">
        <v>0.0025759113820322853</v>
      </c>
      <c r="E100" s="125">
        <v>2.7501225267834</v>
      </c>
      <c r="F100" s="92" t="s">
        <v>1137</v>
      </c>
      <c r="G100" s="92" t="b">
        <v>0</v>
      </c>
      <c r="H100" s="92" t="b">
        <v>0</v>
      </c>
      <c r="I100" s="92" t="b">
        <v>0</v>
      </c>
      <c r="J100" s="92" t="b">
        <v>0</v>
      </c>
      <c r="K100" s="92" t="b">
        <v>1</v>
      </c>
      <c r="L100" s="92" t="b">
        <v>0</v>
      </c>
    </row>
    <row r="101" spans="1:12" ht="15">
      <c r="A101" s="93" t="s">
        <v>993</v>
      </c>
      <c r="B101" s="92" t="s">
        <v>903</v>
      </c>
      <c r="C101" s="92">
        <v>2</v>
      </c>
      <c r="D101" s="125">
        <v>0.0025759113820322853</v>
      </c>
      <c r="E101" s="125">
        <v>2.3521825181113627</v>
      </c>
      <c r="F101" s="92" t="s">
        <v>1137</v>
      </c>
      <c r="G101" s="92" t="b">
        <v>0</v>
      </c>
      <c r="H101" s="92" t="b">
        <v>1</v>
      </c>
      <c r="I101" s="92" t="b">
        <v>0</v>
      </c>
      <c r="J101" s="92" t="b">
        <v>0</v>
      </c>
      <c r="K101" s="92" t="b">
        <v>0</v>
      </c>
      <c r="L101" s="92" t="b">
        <v>0</v>
      </c>
    </row>
    <row r="102" spans="1:12" ht="15">
      <c r="A102" s="93" t="s">
        <v>903</v>
      </c>
      <c r="B102" s="92" t="s">
        <v>994</v>
      </c>
      <c r="C102" s="92">
        <v>2</v>
      </c>
      <c r="D102" s="125">
        <v>0.0025759113820322853</v>
      </c>
      <c r="E102" s="125">
        <v>2.3521825181113627</v>
      </c>
      <c r="F102" s="92" t="s">
        <v>1137</v>
      </c>
      <c r="G102" s="92" t="b">
        <v>0</v>
      </c>
      <c r="H102" s="92" t="b">
        <v>0</v>
      </c>
      <c r="I102" s="92" t="b">
        <v>0</v>
      </c>
      <c r="J102" s="92" t="b">
        <v>0</v>
      </c>
      <c r="K102" s="92" t="b">
        <v>0</v>
      </c>
      <c r="L102" s="92" t="b">
        <v>0</v>
      </c>
    </row>
    <row r="103" spans="1:12" ht="15">
      <c r="A103" s="93" t="s">
        <v>994</v>
      </c>
      <c r="B103" s="92" t="s">
        <v>724</v>
      </c>
      <c r="C103" s="92">
        <v>2</v>
      </c>
      <c r="D103" s="125">
        <v>0.0025759113820322853</v>
      </c>
      <c r="E103" s="125">
        <v>2.7501225267834</v>
      </c>
      <c r="F103" s="92" t="s">
        <v>1137</v>
      </c>
      <c r="G103" s="92" t="b">
        <v>0</v>
      </c>
      <c r="H103" s="92" t="b">
        <v>0</v>
      </c>
      <c r="I103" s="92" t="b">
        <v>0</v>
      </c>
      <c r="J103" s="92" t="b">
        <v>0</v>
      </c>
      <c r="K103" s="92" t="b">
        <v>0</v>
      </c>
      <c r="L103" s="92" t="b">
        <v>0</v>
      </c>
    </row>
    <row r="104" spans="1:12" ht="15">
      <c r="A104" s="93" t="s">
        <v>724</v>
      </c>
      <c r="B104" s="92" t="s">
        <v>995</v>
      </c>
      <c r="C104" s="92">
        <v>2</v>
      </c>
      <c r="D104" s="125">
        <v>0.0025759113820322853</v>
      </c>
      <c r="E104" s="125">
        <v>2.449092531119419</v>
      </c>
      <c r="F104" s="92" t="s">
        <v>1137</v>
      </c>
      <c r="G104" s="92" t="b">
        <v>0</v>
      </c>
      <c r="H104" s="92" t="b">
        <v>0</v>
      </c>
      <c r="I104" s="92" t="b">
        <v>0</v>
      </c>
      <c r="J104" s="92" t="b">
        <v>0</v>
      </c>
      <c r="K104" s="92" t="b">
        <v>0</v>
      </c>
      <c r="L104" s="92" t="b">
        <v>0</v>
      </c>
    </row>
    <row r="105" spans="1:12" ht="15">
      <c r="A105" s="93" t="s">
        <v>995</v>
      </c>
      <c r="B105" s="92" t="s">
        <v>887</v>
      </c>
      <c r="C105" s="92">
        <v>2</v>
      </c>
      <c r="D105" s="125">
        <v>0.0025759113820322853</v>
      </c>
      <c r="E105" s="125">
        <v>2.1480625354554377</v>
      </c>
      <c r="F105" s="92" t="s">
        <v>1137</v>
      </c>
      <c r="G105" s="92" t="b">
        <v>0</v>
      </c>
      <c r="H105" s="92" t="b">
        <v>0</v>
      </c>
      <c r="I105" s="92" t="b">
        <v>0</v>
      </c>
      <c r="J105" s="92" t="b">
        <v>1</v>
      </c>
      <c r="K105" s="92" t="b">
        <v>0</v>
      </c>
      <c r="L105" s="92" t="b">
        <v>0</v>
      </c>
    </row>
    <row r="106" spans="1:12" ht="15">
      <c r="A106" s="93" t="s">
        <v>887</v>
      </c>
      <c r="B106" s="92" t="s">
        <v>904</v>
      </c>
      <c r="C106" s="92">
        <v>2</v>
      </c>
      <c r="D106" s="125">
        <v>0.0025759113820322853</v>
      </c>
      <c r="E106" s="125">
        <v>1.9719712763997566</v>
      </c>
      <c r="F106" s="92" t="s">
        <v>1137</v>
      </c>
      <c r="G106" s="92" t="b">
        <v>1</v>
      </c>
      <c r="H106" s="92" t="b">
        <v>0</v>
      </c>
      <c r="I106" s="92" t="b">
        <v>0</v>
      </c>
      <c r="J106" s="92" t="b">
        <v>0</v>
      </c>
      <c r="K106" s="92" t="b">
        <v>0</v>
      </c>
      <c r="L106" s="92" t="b">
        <v>0</v>
      </c>
    </row>
    <row r="107" spans="1:12" ht="15">
      <c r="A107" s="93" t="s">
        <v>904</v>
      </c>
      <c r="B107" s="92" t="s">
        <v>893</v>
      </c>
      <c r="C107" s="92">
        <v>2</v>
      </c>
      <c r="D107" s="125">
        <v>0.0025759113820322853</v>
      </c>
      <c r="E107" s="125">
        <v>1.8750612633917</v>
      </c>
      <c r="F107" s="92" t="s">
        <v>1137</v>
      </c>
      <c r="G107" s="92" t="b">
        <v>0</v>
      </c>
      <c r="H107" s="92" t="b">
        <v>0</v>
      </c>
      <c r="I107" s="92" t="b">
        <v>0</v>
      </c>
      <c r="J107" s="92" t="b">
        <v>0</v>
      </c>
      <c r="K107" s="92" t="b">
        <v>1</v>
      </c>
      <c r="L107" s="92" t="b">
        <v>0</v>
      </c>
    </row>
    <row r="108" spans="1:12" ht="15">
      <c r="A108" s="93" t="s">
        <v>893</v>
      </c>
      <c r="B108" s="92" t="s">
        <v>996</v>
      </c>
      <c r="C108" s="92">
        <v>2</v>
      </c>
      <c r="D108" s="125">
        <v>0.0025759113820322853</v>
      </c>
      <c r="E108" s="125">
        <v>2.2730012720637376</v>
      </c>
      <c r="F108" s="92" t="s">
        <v>1137</v>
      </c>
      <c r="G108" s="92" t="b">
        <v>0</v>
      </c>
      <c r="H108" s="92" t="b">
        <v>1</v>
      </c>
      <c r="I108" s="92" t="b">
        <v>0</v>
      </c>
      <c r="J108" s="92" t="b">
        <v>1</v>
      </c>
      <c r="K108" s="92" t="b">
        <v>0</v>
      </c>
      <c r="L108" s="92" t="b">
        <v>0</v>
      </c>
    </row>
    <row r="109" spans="1:12" ht="15">
      <c r="A109" s="93" t="s">
        <v>996</v>
      </c>
      <c r="B109" s="92" t="s">
        <v>997</v>
      </c>
      <c r="C109" s="92">
        <v>2</v>
      </c>
      <c r="D109" s="125">
        <v>0.0025759113820322853</v>
      </c>
      <c r="E109" s="125">
        <v>2.7501225267834</v>
      </c>
      <c r="F109" s="92" t="s">
        <v>1137</v>
      </c>
      <c r="G109" s="92" t="b">
        <v>1</v>
      </c>
      <c r="H109" s="92" t="b">
        <v>0</v>
      </c>
      <c r="I109" s="92" t="b">
        <v>0</v>
      </c>
      <c r="J109" s="92" t="b">
        <v>0</v>
      </c>
      <c r="K109" s="92" t="b">
        <v>0</v>
      </c>
      <c r="L109" s="92" t="b">
        <v>0</v>
      </c>
    </row>
    <row r="110" spans="1:12" ht="15">
      <c r="A110" s="93" t="s">
        <v>997</v>
      </c>
      <c r="B110" s="92" t="s">
        <v>998</v>
      </c>
      <c r="C110" s="92">
        <v>2</v>
      </c>
      <c r="D110" s="125">
        <v>0.0025759113820322853</v>
      </c>
      <c r="E110" s="125">
        <v>2.7501225267834</v>
      </c>
      <c r="F110" s="92" t="s">
        <v>1137</v>
      </c>
      <c r="G110" s="92" t="b">
        <v>0</v>
      </c>
      <c r="H110" s="92" t="b">
        <v>0</v>
      </c>
      <c r="I110" s="92" t="b">
        <v>0</v>
      </c>
      <c r="J110" s="92" t="b">
        <v>0</v>
      </c>
      <c r="K110" s="92" t="b">
        <v>0</v>
      </c>
      <c r="L110" s="92" t="b">
        <v>0</v>
      </c>
    </row>
    <row r="111" spans="1:12" ht="15">
      <c r="A111" s="93" t="s">
        <v>998</v>
      </c>
      <c r="B111" s="92" t="s">
        <v>972</v>
      </c>
      <c r="C111" s="92">
        <v>2</v>
      </c>
      <c r="D111" s="125">
        <v>0.0025759113820322853</v>
      </c>
      <c r="E111" s="125">
        <v>2.574031267727719</v>
      </c>
      <c r="F111" s="92" t="s">
        <v>1137</v>
      </c>
      <c r="G111" s="92" t="b">
        <v>0</v>
      </c>
      <c r="H111" s="92" t="b">
        <v>0</v>
      </c>
      <c r="I111" s="92" t="b">
        <v>0</v>
      </c>
      <c r="J111" s="92" t="b">
        <v>1</v>
      </c>
      <c r="K111" s="92" t="b">
        <v>0</v>
      </c>
      <c r="L111" s="92" t="b">
        <v>0</v>
      </c>
    </row>
    <row r="112" spans="1:12" ht="15">
      <c r="A112" s="93" t="s">
        <v>972</v>
      </c>
      <c r="B112" s="92" t="s">
        <v>999</v>
      </c>
      <c r="C112" s="92">
        <v>2</v>
      </c>
      <c r="D112" s="125">
        <v>0.0025759113820322853</v>
      </c>
      <c r="E112" s="125">
        <v>2.574031267727719</v>
      </c>
      <c r="F112" s="92" t="s">
        <v>1137</v>
      </c>
      <c r="G112" s="92" t="b">
        <v>1</v>
      </c>
      <c r="H112" s="92" t="b">
        <v>0</v>
      </c>
      <c r="I112" s="92" t="b">
        <v>0</v>
      </c>
      <c r="J112" s="92" t="b">
        <v>1</v>
      </c>
      <c r="K112" s="92" t="b">
        <v>0</v>
      </c>
      <c r="L112" s="92" t="b">
        <v>0</v>
      </c>
    </row>
    <row r="113" spans="1:12" ht="15">
      <c r="A113" s="93" t="s">
        <v>999</v>
      </c>
      <c r="B113" s="92" t="s">
        <v>1000</v>
      </c>
      <c r="C113" s="92">
        <v>2</v>
      </c>
      <c r="D113" s="125">
        <v>0.0025759113820322853</v>
      </c>
      <c r="E113" s="125">
        <v>2.7501225267834</v>
      </c>
      <c r="F113" s="92" t="s">
        <v>1137</v>
      </c>
      <c r="G113" s="92" t="b">
        <v>1</v>
      </c>
      <c r="H113" s="92" t="b">
        <v>0</v>
      </c>
      <c r="I113" s="92" t="b">
        <v>0</v>
      </c>
      <c r="J113" s="92" t="b">
        <v>0</v>
      </c>
      <c r="K113" s="92" t="b">
        <v>1</v>
      </c>
      <c r="L113" s="92" t="b">
        <v>0</v>
      </c>
    </row>
    <row r="114" spans="1:12" ht="15">
      <c r="A114" s="93" t="s">
        <v>1000</v>
      </c>
      <c r="B114" s="92" t="s">
        <v>1001</v>
      </c>
      <c r="C114" s="92">
        <v>2</v>
      </c>
      <c r="D114" s="125">
        <v>0.0025759113820322853</v>
      </c>
      <c r="E114" s="125">
        <v>2.7501225267834</v>
      </c>
      <c r="F114" s="92" t="s">
        <v>1137</v>
      </c>
      <c r="G114" s="92" t="b">
        <v>0</v>
      </c>
      <c r="H114" s="92" t="b">
        <v>1</v>
      </c>
      <c r="I114" s="92" t="b">
        <v>0</v>
      </c>
      <c r="J114" s="92" t="b">
        <v>0</v>
      </c>
      <c r="K114" s="92" t="b">
        <v>0</v>
      </c>
      <c r="L114" s="92" t="b">
        <v>0</v>
      </c>
    </row>
    <row r="115" spans="1:12" ht="15">
      <c r="A115" s="93" t="s">
        <v>1001</v>
      </c>
      <c r="B115" s="92" t="s">
        <v>701</v>
      </c>
      <c r="C115" s="92">
        <v>2</v>
      </c>
      <c r="D115" s="125">
        <v>0.0025759113820322853</v>
      </c>
      <c r="E115" s="125">
        <v>1.212303431710126</v>
      </c>
      <c r="F115" s="92" t="s">
        <v>1137</v>
      </c>
      <c r="G115" s="92" t="b">
        <v>0</v>
      </c>
      <c r="H115" s="92" t="b">
        <v>0</v>
      </c>
      <c r="I115" s="92" t="b">
        <v>0</v>
      </c>
      <c r="J115" s="92" t="b">
        <v>0</v>
      </c>
      <c r="K115" s="92" t="b">
        <v>0</v>
      </c>
      <c r="L115" s="92" t="b">
        <v>0</v>
      </c>
    </row>
    <row r="116" spans="1:12" ht="15">
      <c r="A116" s="93" t="s">
        <v>701</v>
      </c>
      <c r="B116" s="92" t="s">
        <v>282</v>
      </c>
      <c r="C116" s="92">
        <v>2</v>
      </c>
      <c r="D116" s="125">
        <v>0.0025759113820322853</v>
      </c>
      <c r="E116" s="125">
        <v>2.009759837289156</v>
      </c>
      <c r="F116" s="92" t="s">
        <v>1137</v>
      </c>
      <c r="G116" s="92" t="b">
        <v>0</v>
      </c>
      <c r="H116" s="92" t="b">
        <v>0</v>
      </c>
      <c r="I116" s="92" t="b">
        <v>0</v>
      </c>
      <c r="J116" s="92" t="b">
        <v>0</v>
      </c>
      <c r="K116" s="92" t="b">
        <v>0</v>
      </c>
      <c r="L116" s="92" t="b">
        <v>0</v>
      </c>
    </row>
    <row r="117" spans="1:12" ht="15">
      <c r="A117" s="93" t="s">
        <v>926</v>
      </c>
      <c r="B117" s="92" t="s">
        <v>705</v>
      </c>
      <c r="C117" s="92">
        <v>2</v>
      </c>
      <c r="D117" s="125">
        <v>0.0025759113820322853</v>
      </c>
      <c r="E117" s="125">
        <v>1.6361791744765632</v>
      </c>
      <c r="F117" s="92" t="s">
        <v>1137</v>
      </c>
      <c r="G117" s="92" t="b">
        <v>0</v>
      </c>
      <c r="H117" s="92" t="b">
        <v>0</v>
      </c>
      <c r="I117" s="92" t="b">
        <v>0</v>
      </c>
      <c r="J117" s="92" t="b">
        <v>1</v>
      </c>
      <c r="K117" s="92" t="b">
        <v>0</v>
      </c>
      <c r="L117" s="92" t="b">
        <v>0</v>
      </c>
    </row>
    <row r="118" spans="1:12" ht="15">
      <c r="A118" s="93" t="s">
        <v>705</v>
      </c>
      <c r="B118" s="92" t="s">
        <v>1002</v>
      </c>
      <c r="C118" s="92">
        <v>2</v>
      </c>
      <c r="D118" s="125">
        <v>0.0025759113820322853</v>
      </c>
      <c r="E118" s="125">
        <v>1.9372091701405445</v>
      </c>
      <c r="F118" s="92" t="s">
        <v>1137</v>
      </c>
      <c r="G118" s="92" t="b">
        <v>1</v>
      </c>
      <c r="H118" s="92" t="b">
        <v>0</v>
      </c>
      <c r="I118" s="92" t="b">
        <v>0</v>
      </c>
      <c r="J118" s="92" t="b">
        <v>0</v>
      </c>
      <c r="K118" s="92" t="b">
        <v>0</v>
      </c>
      <c r="L118" s="92" t="b">
        <v>0</v>
      </c>
    </row>
    <row r="119" spans="1:12" ht="15">
      <c r="A119" s="93" t="s">
        <v>1002</v>
      </c>
      <c r="B119" s="92" t="s">
        <v>1003</v>
      </c>
      <c r="C119" s="92">
        <v>2</v>
      </c>
      <c r="D119" s="125">
        <v>0.0025759113820322853</v>
      </c>
      <c r="E119" s="125">
        <v>2.7501225267834</v>
      </c>
      <c r="F119" s="92" t="s">
        <v>1137</v>
      </c>
      <c r="G119" s="92" t="b">
        <v>0</v>
      </c>
      <c r="H119" s="92" t="b">
        <v>0</v>
      </c>
      <c r="I119" s="92" t="b">
        <v>0</v>
      </c>
      <c r="J119" s="92" t="b">
        <v>0</v>
      </c>
      <c r="K119" s="92" t="b">
        <v>0</v>
      </c>
      <c r="L119" s="92" t="b">
        <v>0</v>
      </c>
    </row>
    <row r="120" spans="1:12" ht="15">
      <c r="A120" s="93" t="s">
        <v>1003</v>
      </c>
      <c r="B120" s="92" t="s">
        <v>1004</v>
      </c>
      <c r="C120" s="92">
        <v>2</v>
      </c>
      <c r="D120" s="125">
        <v>0.0025759113820322853</v>
      </c>
      <c r="E120" s="125">
        <v>2.7501225267834</v>
      </c>
      <c r="F120" s="92" t="s">
        <v>1137</v>
      </c>
      <c r="G120" s="92" t="b">
        <v>0</v>
      </c>
      <c r="H120" s="92" t="b">
        <v>0</v>
      </c>
      <c r="I120" s="92" t="b">
        <v>0</v>
      </c>
      <c r="J120" s="92" t="b">
        <v>0</v>
      </c>
      <c r="K120" s="92" t="b">
        <v>0</v>
      </c>
      <c r="L120" s="92" t="b">
        <v>0</v>
      </c>
    </row>
    <row r="121" spans="1:12" ht="15">
      <c r="A121" s="93" t="s">
        <v>1004</v>
      </c>
      <c r="B121" s="92" t="s">
        <v>1005</v>
      </c>
      <c r="C121" s="92">
        <v>2</v>
      </c>
      <c r="D121" s="125">
        <v>0.0025759113820322853</v>
      </c>
      <c r="E121" s="125">
        <v>2.7501225267834</v>
      </c>
      <c r="F121" s="92" t="s">
        <v>1137</v>
      </c>
      <c r="G121" s="92" t="b">
        <v>0</v>
      </c>
      <c r="H121" s="92" t="b">
        <v>0</v>
      </c>
      <c r="I121" s="92" t="b">
        <v>0</v>
      </c>
      <c r="J121" s="92" t="b">
        <v>0</v>
      </c>
      <c r="K121" s="92" t="b">
        <v>0</v>
      </c>
      <c r="L121" s="92" t="b">
        <v>0</v>
      </c>
    </row>
    <row r="122" spans="1:12" ht="15">
      <c r="A122" s="93" t="s">
        <v>1005</v>
      </c>
      <c r="B122" s="92" t="s">
        <v>1006</v>
      </c>
      <c r="C122" s="92">
        <v>2</v>
      </c>
      <c r="D122" s="125">
        <v>0.0025759113820322853</v>
      </c>
      <c r="E122" s="125">
        <v>2.7501225267834</v>
      </c>
      <c r="F122" s="92" t="s">
        <v>1137</v>
      </c>
      <c r="G122" s="92" t="b">
        <v>0</v>
      </c>
      <c r="H122" s="92" t="b">
        <v>0</v>
      </c>
      <c r="I122" s="92" t="b">
        <v>0</v>
      </c>
      <c r="J122" s="92" t="b">
        <v>0</v>
      </c>
      <c r="K122" s="92" t="b">
        <v>0</v>
      </c>
      <c r="L122" s="92" t="b">
        <v>0</v>
      </c>
    </row>
    <row r="123" spans="1:12" ht="15">
      <c r="A123" s="93" t="s">
        <v>1006</v>
      </c>
      <c r="B123" s="92" t="s">
        <v>1007</v>
      </c>
      <c r="C123" s="92">
        <v>2</v>
      </c>
      <c r="D123" s="125">
        <v>0.0025759113820322853</v>
      </c>
      <c r="E123" s="125">
        <v>2.7501225267834</v>
      </c>
      <c r="F123" s="92" t="s">
        <v>1137</v>
      </c>
      <c r="G123" s="92" t="b">
        <v>0</v>
      </c>
      <c r="H123" s="92" t="b">
        <v>0</v>
      </c>
      <c r="I123" s="92" t="b">
        <v>0</v>
      </c>
      <c r="J123" s="92" t="b">
        <v>0</v>
      </c>
      <c r="K123" s="92" t="b">
        <v>0</v>
      </c>
      <c r="L123" s="92" t="b">
        <v>0</v>
      </c>
    </row>
    <row r="124" spans="1:12" ht="15">
      <c r="A124" s="93" t="s">
        <v>1007</v>
      </c>
      <c r="B124" s="92" t="s">
        <v>1008</v>
      </c>
      <c r="C124" s="92">
        <v>2</v>
      </c>
      <c r="D124" s="125">
        <v>0.0025759113820322853</v>
      </c>
      <c r="E124" s="125">
        <v>2.7501225267834</v>
      </c>
      <c r="F124" s="92" t="s">
        <v>1137</v>
      </c>
      <c r="G124" s="92" t="b">
        <v>0</v>
      </c>
      <c r="H124" s="92" t="b">
        <v>0</v>
      </c>
      <c r="I124" s="92" t="b">
        <v>0</v>
      </c>
      <c r="J124" s="92" t="b">
        <v>0</v>
      </c>
      <c r="K124" s="92" t="b">
        <v>0</v>
      </c>
      <c r="L124" s="92" t="b">
        <v>0</v>
      </c>
    </row>
    <row r="125" spans="1:12" ht="15">
      <c r="A125" s="93" t="s">
        <v>1008</v>
      </c>
      <c r="B125" s="92" t="s">
        <v>927</v>
      </c>
      <c r="C125" s="92">
        <v>2</v>
      </c>
      <c r="D125" s="125">
        <v>0.0025759113820322853</v>
      </c>
      <c r="E125" s="125">
        <v>2.449092531119419</v>
      </c>
      <c r="F125" s="92" t="s">
        <v>1137</v>
      </c>
      <c r="G125" s="92" t="b">
        <v>0</v>
      </c>
      <c r="H125" s="92" t="b">
        <v>0</v>
      </c>
      <c r="I125" s="92" t="b">
        <v>0</v>
      </c>
      <c r="J125" s="92" t="b">
        <v>0</v>
      </c>
      <c r="K125" s="92" t="b">
        <v>0</v>
      </c>
      <c r="L125" s="92" t="b">
        <v>0</v>
      </c>
    </row>
    <row r="126" spans="1:12" ht="15">
      <c r="A126" s="93" t="s">
        <v>927</v>
      </c>
      <c r="B126" s="92" t="s">
        <v>1009</v>
      </c>
      <c r="C126" s="92">
        <v>2</v>
      </c>
      <c r="D126" s="125">
        <v>0.0025759113820322853</v>
      </c>
      <c r="E126" s="125">
        <v>2.449092531119419</v>
      </c>
      <c r="F126" s="92" t="s">
        <v>1137</v>
      </c>
      <c r="G126" s="92" t="b">
        <v>0</v>
      </c>
      <c r="H126" s="92" t="b">
        <v>0</v>
      </c>
      <c r="I126" s="92" t="b">
        <v>0</v>
      </c>
      <c r="J126" s="92" t="b">
        <v>0</v>
      </c>
      <c r="K126" s="92" t="b">
        <v>1</v>
      </c>
      <c r="L126" s="92" t="b">
        <v>0</v>
      </c>
    </row>
    <row r="127" spans="1:12" ht="15">
      <c r="A127" s="93" t="s">
        <v>1009</v>
      </c>
      <c r="B127" s="92" t="s">
        <v>1010</v>
      </c>
      <c r="C127" s="92">
        <v>2</v>
      </c>
      <c r="D127" s="125">
        <v>0.0025759113820322853</v>
      </c>
      <c r="E127" s="125">
        <v>2.7501225267834</v>
      </c>
      <c r="F127" s="92" t="s">
        <v>1137</v>
      </c>
      <c r="G127" s="92" t="b">
        <v>0</v>
      </c>
      <c r="H127" s="92" t="b">
        <v>1</v>
      </c>
      <c r="I127" s="92" t="b">
        <v>0</v>
      </c>
      <c r="J127" s="92" t="b">
        <v>0</v>
      </c>
      <c r="K127" s="92" t="b">
        <v>0</v>
      </c>
      <c r="L127" s="92" t="b">
        <v>0</v>
      </c>
    </row>
    <row r="128" spans="1:12" ht="15">
      <c r="A128" s="93" t="s">
        <v>1010</v>
      </c>
      <c r="B128" s="92" t="s">
        <v>702</v>
      </c>
      <c r="C128" s="92">
        <v>2</v>
      </c>
      <c r="D128" s="125">
        <v>0.0025759113820322853</v>
      </c>
      <c r="E128" s="125">
        <v>1.728933227713462</v>
      </c>
      <c r="F128" s="92" t="s">
        <v>1137</v>
      </c>
      <c r="G128" s="92" t="b">
        <v>0</v>
      </c>
      <c r="H128" s="92" t="b">
        <v>0</v>
      </c>
      <c r="I128" s="92" t="b">
        <v>0</v>
      </c>
      <c r="J128" s="92" t="b">
        <v>0</v>
      </c>
      <c r="K128" s="92" t="b">
        <v>0</v>
      </c>
      <c r="L128" s="92" t="b">
        <v>0</v>
      </c>
    </row>
    <row r="129" spans="1:12" ht="15">
      <c r="A129" s="93" t="s">
        <v>905</v>
      </c>
      <c r="B129" s="92" t="s">
        <v>1011</v>
      </c>
      <c r="C129" s="92">
        <v>2</v>
      </c>
      <c r="D129" s="125">
        <v>0.0025759113820322853</v>
      </c>
      <c r="E129" s="125">
        <v>2.3521825181113627</v>
      </c>
      <c r="F129" s="92" t="s">
        <v>1137</v>
      </c>
      <c r="G129" s="92" t="b">
        <v>0</v>
      </c>
      <c r="H129" s="92" t="b">
        <v>0</v>
      </c>
      <c r="I129" s="92" t="b">
        <v>0</v>
      </c>
      <c r="J129" s="92" t="b">
        <v>0</v>
      </c>
      <c r="K129" s="92" t="b">
        <v>0</v>
      </c>
      <c r="L129" s="92" t="b">
        <v>0</v>
      </c>
    </row>
    <row r="130" spans="1:12" ht="15">
      <c r="A130" s="93" t="s">
        <v>1011</v>
      </c>
      <c r="B130" s="92" t="s">
        <v>1012</v>
      </c>
      <c r="C130" s="92">
        <v>2</v>
      </c>
      <c r="D130" s="125">
        <v>0.0025759113820322853</v>
      </c>
      <c r="E130" s="125">
        <v>2.7501225267834</v>
      </c>
      <c r="F130" s="92" t="s">
        <v>1137</v>
      </c>
      <c r="G130" s="92" t="b">
        <v>0</v>
      </c>
      <c r="H130" s="92" t="b">
        <v>0</v>
      </c>
      <c r="I130" s="92" t="b">
        <v>0</v>
      </c>
      <c r="J130" s="92" t="b">
        <v>0</v>
      </c>
      <c r="K130" s="92" t="b">
        <v>0</v>
      </c>
      <c r="L130" s="92" t="b">
        <v>0</v>
      </c>
    </row>
    <row r="131" spans="1:12" ht="15">
      <c r="A131" s="93" t="s">
        <v>1012</v>
      </c>
      <c r="B131" s="92" t="s">
        <v>928</v>
      </c>
      <c r="C131" s="92">
        <v>2</v>
      </c>
      <c r="D131" s="125">
        <v>0.0025759113820322853</v>
      </c>
      <c r="E131" s="125">
        <v>2.449092531119419</v>
      </c>
      <c r="F131" s="92" t="s">
        <v>1137</v>
      </c>
      <c r="G131" s="92" t="b">
        <v>0</v>
      </c>
      <c r="H131" s="92" t="b">
        <v>0</v>
      </c>
      <c r="I131" s="92" t="b">
        <v>0</v>
      </c>
      <c r="J131" s="92" t="b">
        <v>0</v>
      </c>
      <c r="K131" s="92" t="b">
        <v>0</v>
      </c>
      <c r="L131" s="92" t="b">
        <v>0</v>
      </c>
    </row>
    <row r="132" spans="1:12" ht="15">
      <c r="A132" s="93" t="s">
        <v>928</v>
      </c>
      <c r="B132" s="92" t="s">
        <v>1013</v>
      </c>
      <c r="C132" s="92">
        <v>2</v>
      </c>
      <c r="D132" s="125">
        <v>0.0025759113820322853</v>
      </c>
      <c r="E132" s="125">
        <v>2.449092531119419</v>
      </c>
      <c r="F132" s="92" t="s">
        <v>1137</v>
      </c>
      <c r="G132" s="92" t="b">
        <v>0</v>
      </c>
      <c r="H132" s="92" t="b">
        <v>0</v>
      </c>
      <c r="I132" s="92" t="b">
        <v>0</v>
      </c>
      <c r="J132" s="92" t="b">
        <v>0</v>
      </c>
      <c r="K132" s="92" t="b">
        <v>0</v>
      </c>
      <c r="L132" s="92" t="b">
        <v>0</v>
      </c>
    </row>
    <row r="133" spans="1:12" ht="15">
      <c r="A133" s="93" t="s">
        <v>1013</v>
      </c>
      <c r="B133" s="92" t="s">
        <v>1014</v>
      </c>
      <c r="C133" s="92">
        <v>2</v>
      </c>
      <c r="D133" s="125">
        <v>0.0025759113820322853</v>
      </c>
      <c r="E133" s="125">
        <v>2.7501225267834</v>
      </c>
      <c r="F133" s="92" t="s">
        <v>1137</v>
      </c>
      <c r="G133" s="92" t="b">
        <v>0</v>
      </c>
      <c r="H133" s="92" t="b">
        <v>0</v>
      </c>
      <c r="I133" s="92" t="b">
        <v>0</v>
      </c>
      <c r="J133" s="92" t="b">
        <v>0</v>
      </c>
      <c r="K133" s="92" t="b">
        <v>0</v>
      </c>
      <c r="L133" s="92" t="b">
        <v>0</v>
      </c>
    </row>
    <row r="134" spans="1:12" ht="15">
      <c r="A134" s="93" t="s">
        <v>1014</v>
      </c>
      <c r="B134" s="92" t="s">
        <v>929</v>
      </c>
      <c r="C134" s="92">
        <v>2</v>
      </c>
      <c r="D134" s="125">
        <v>0.0025759113820322853</v>
      </c>
      <c r="E134" s="125">
        <v>2.449092531119419</v>
      </c>
      <c r="F134" s="92" t="s">
        <v>1137</v>
      </c>
      <c r="G134" s="92" t="b">
        <v>0</v>
      </c>
      <c r="H134" s="92" t="b">
        <v>0</v>
      </c>
      <c r="I134" s="92" t="b">
        <v>0</v>
      </c>
      <c r="J134" s="92" t="b">
        <v>0</v>
      </c>
      <c r="K134" s="92" t="b">
        <v>0</v>
      </c>
      <c r="L134" s="92" t="b">
        <v>0</v>
      </c>
    </row>
    <row r="135" spans="1:12" ht="15">
      <c r="A135" s="93" t="s">
        <v>929</v>
      </c>
      <c r="B135" s="92" t="s">
        <v>1015</v>
      </c>
      <c r="C135" s="92">
        <v>2</v>
      </c>
      <c r="D135" s="125">
        <v>0.0025759113820322853</v>
      </c>
      <c r="E135" s="125">
        <v>2.449092531119419</v>
      </c>
      <c r="F135" s="92" t="s">
        <v>1137</v>
      </c>
      <c r="G135" s="92" t="b">
        <v>0</v>
      </c>
      <c r="H135" s="92" t="b">
        <v>0</v>
      </c>
      <c r="I135" s="92" t="b">
        <v>0</v>
      </c>
      <c r="J135" s="92" t="b">
        <v>0</v>
      </c>
      <c r="K135" s="92" t="b">
        <v>0</v>
      </c>
      <c r="L135" s="92" t="b">
        <v>0</v>
      </c>
    </row>
    <row r="136" spans="1:12" ht="15">
      <c r="A136" s="93" t="s">
        <v>1015</v>
      </c>
      <c r="B136" s="92" t="s">
        <v>701</v>
      </c>
      <c r="C136" s="92">
        <v>2</v>
      </c>
      <c r="D136" s="125">
        <v>0.0025759113820322853</v>
      </c>
      <c r="E136" s="125">
        <v>1.212303431710126</v>
      </c>
      <c r="F136" s="92" t="s">
        <v>1137</v>
      </c>
      <c r="G136" s="92" t="b">
        <v>0</v>
      </c>
      <c r="H136" s="92" t="b">
        <v>0</v>
      </c>
      <c r="I136" s="92" t="b">
        <v>0</v>
      </c>
      <c r="J136" s="92" t="b">
        <v>0</v>
      </c>
      <c r="K136" s="92" t="b">
        <v>0</v>
      </c>
      <c r="L136" s="92" t="b">
        <v>0</v>
      </c>
    </row>
    <row r="137" spans="1:12" ht="15">
      <c r="A137" s="93" t="s">
        <v>886</v>
      </c>
      <c r="B137" s="92" t="s">
        <v>281</v>
      </c>
      <c r="C137" s="92">
        <v>2</v>
      </c>
      <c r="D137" s="125">
        <v>0.0025759113820322853</v>
      </c>
      <c r="E137" s="125">
        <v>1.7958800173440752</v>
      </c>
      <c r="F137" s="92" t="s">
        <v>1137</v>
      </c>
      <c r="G137" s="92" t="b">
        <v>0</v>
      </c>
      <c r="H137" s="92" t="b">
        <v>0</v>
      </c>
      <c r="I137" s="92" t="b">
        <v>0</v>
      </c>
      <c r="J137" s="92" t="b">
        <v>0</v>
      </c>
      <c r="K137" s="92" t="b">
        <v>0</v>
      </c>
      <c r="L137" s="92" t="b">
        <v>0</v>
      </c>
    </row>
    <row r="138" spans="1:12" ht="15">
      <c r="A138" s="93" t="s">
        <v>281</v>
      </c>
      <c r="B138" s="92" t="s">
        <v>974</v>
      </c>
      <c r="C138" s="92">
        <v>2</v>
      </c>
      <c r="D138" s="125">
        <v>0.0025759113820322853</v>
      </c>
      <c r="E138" s="125">
        <v>2.2730012720637376</v>
      </c>
      <c r="F138" s="92" t="s">
        <v>1137</v>
      </c>
      <c r="G138" s="92" t="b">
        <v>0</v>
      </c>
      <c r="H138" s="92" t="b">
        <v>0</v>
      </c>
      <c r="I138" s="92" t="b">
        <v>0</v>
      </c>
      <c r="J138" s="92" t="b">
        <v>0</v>
      </c>
      <c r="K138" s="92" t="b">
        <v>0</v>
      </c>
      <c r="L138" s="92" t="b">
        <v>0</v>
      </c>
    </row>
    <row r="139" spans="1:12" ht="15">
      <c r="A139" s="93" t="s">
        <v>974</v>
      </c>
      <c r="B139" s="92" t="s">
        <v>725</v>
      </c>
      <c r="C139" s="92">
        <v>2</v>
      </c>
      <c r="D139" s="125">
        <v>0.0025759113820322853</v>
      </c>
      <c r="E139" s="125">
        <v>1.9719712763997566</v>
      </c>
      <c r="F139" s="92" t="s">
        <v>1137</v>
      </c>
      <c r="G139" s="92" t="b">
        <v>0</v>
      </c>
      <c r="H139" s="92" t="b">
        <v>0</v>
      </c>
      <c r="I139" s="92" t="b">
        <v>0</v>
      </c>
      <c r="J139" s="92" t="b">
        <v>0</v>
      </c>
      <c r="K139" s="92" t="b">
        <v>0</v>
      </c>
      <c r="L139" s="92" t="b">
        <v>0</v>
      </c>
    </row>
    <row r="140" spans="1:12" ht="15">
      <c r="A140" s="93" t="s">
        <v>725</v>
      </c>
      <c r="B140" s="92" t="s">
        <v>725</v>
      </c>
      <c r="C140" s="92">
        <v>2</v>
      </c>
      <c r="D140" s="125">
        <v>0.0025759113820322853</v>
      </c>
      <c r="E140" s="125">
        <v>1.5460025441274752</v>
      </c>
      <c r="F140" s="92" t="s">
        <v>1137</v>
      </c>
      <c r="G140" s="92" t="b">
        <v>0</v>
      </c>
      <c r="H140" s="92" t="b">
        <v>0</v>
      </c>
      <c r="I140" s="92" t="b">
        <v>0</v>
      </c>
      <c r="J140" s="92" t="b">
        <v>0</v>
      </c>
      <c r="K140" s="92" t="b">
        <v>0</v>
      </c>
      <c r="L140" s="92" t="b">
        <v>0</v>
      </c>
    </row>
    <row r="141" spans="1:12" ht="15">
      <c r="A141" s="93" t="s">
        <v>725</v>
      </c>
      <c r="B141" s="92" t="s">
        <v>1016</v>
      </c>
      <c r="C141" s="92">
        <v>2</v>
      </c>
      <c r="D141" s="125">
        <v>0.0025759113820322853</v>
      </c>
      <c r="E141" s="125">
        <v>2.1480625354554377</v>
      </c>
      <c r="F141" s="92" t="s">
        <v>1137</v>
      </c>
      <c r="G141" s="92" t="b">
        <v>0</v>
      </c>
      <c r="H141" s="92" t="b">
        <v>0</v>
      </c>
      <c r="I141" s="92" t="b">
        <v>0</v>
      </c>
      <c r="J141" s="92" t="b">
        <v>0</v>
      </c>
      <c r="K141" s="92" t="b">
        <v>0</v>
      </c>
      <c r="L141" s="92" t="b">
        <v>0</v>
      </c>
    </row>
    <row r="142" spans="1:12" ht="15">
      <c r="A142" s="93" t="s">
        <v>1016</v>
      </c>
      <c r="B142" s="92" t="s">
        <v>1017</v>
      </c>
      <c r="C142" s="92">
        <v>2</v>
      </c>
      <c r="D142" s="125">
        <v>0.0025759113820322853</v>
      </c>
      <c r="E142" s="125">
        <v>2.7501225267834</v>
      </c>
      <c r="F142" s="92" t="s">
        <v>1137</v>
      </c>
      <c r="G142" s="92" t="b">
        <v>0</v>
      </c>
      <c r="H142" s="92" t="b">
        <v>0</v>
      </c>
      <c r="I142" s="92" t="b">
        <v>0</v>
      </c>
      <c r="J142" s="92" t="b">
        <v>1</v>
      </c>
      <c r="K142" s="92" t="b">
        <v>0</v>
      </c>
      <c r="L142" s="92" t="b">
        <v>0</v>
      </c>
    </row>
    <row r="143" spans="1:12" ht="15">
      <c r="A143" s="93" t="s">
        <v>1017</v>
      </c>
      <c r="B143" s="92" t="s">
        <v>1018</v>
      </c>
      <c r="C143" s="92">
        <v>2</v>
      </c>
      <c r="D143" s="125">
        <v>0.0025759113820322853</v>
      </c>
      <c r="E143" s="125">
        <v>2.7501225267834</v>
      </c>
      <c r="F143" s="92" t="s">
        <v>1137</v>
      </c>
      <c r="G143" s="92" t="b">
        <v>1</v>
      </c>
      <c r="H143" s="92" t="b">
        <v>0</v>
      </c>
      <c r="I143" s="92" t="b">
        <v>0</v>
      </c>
      <c r="J143" s="92" t="b">
        <v>0</v>
      </c>
      <c r="K143" s="92" t="b">
        <v>0</v>
      </c>
      <c r="L143" s="92" t="b">
        <v>0</v>
      </c>
    </row>
    <row r="144" spans="1:12" ht="15">
      <c r="A144" s="93" t="s">
        <v>1018</v>
      </c>
      <c r="B144" s="92" t="s">
        <v>1019</v>
      </c>
      <c r="C144" s="92">
        <v>2</v>
      </c>
      <c r="D144" s="125">
        <v>0.0025759113820322853</v>
      </c>
      <c r="E144" s="125">
        <v>2.7501225267834</v>
      </c>
      <c r="F144" s="92" t="s">
        <v>1137</v>
      </c>
      <c r="G144" s="92" t="b">
        <v>0</v>
      </c>
      <c r="H144" s="92" t="b">
        <v>0</v>
      </c>
      <c r="I144" s="92" t="b">
        <v>0</v>
      </c>
      <c r="J144" s="92" t="b">
        <v>0</v>
      </c>
      <c r="K144" s="92" t="b">
        <v>1</v>
      </c>
      <c r="L144" s="92" t="b">
        <v>0</v>
      </c>
    </row>
    <row r="145" spans="1:12" ht="15">
      <c r="A145" s="93" t="s">
        <v>1019</v>
      </c>
      <c r="B145" s="92" t="s">
        <v>1020</v>
      </c>
      <c r="C145" s="92">
        <v>2</v>
      </c>
      <c r="D145" s="125">
        <v>0.0025759113820322853</v>
      </c>
      <c r="E145" s="125">
        <v>2.7501225267834</v>
      </c>
      <c r="F145" s="92" t="s">
        <v>1137</v>
      </c>
      <c r="G145" s="92" t="b">
        <v>0</v>
      </c>
      <c r="H145" s="92" t="b">
        <v>1</v>
      </c>
      <c r="I145" s="92" t="b">
        <v>0</v>
      </c>
      <c r="J145" s="92" t="b">
        <v>0</v>
      </c>
      <c r="K145" s="92" t="b">
        <v>0</v>
      </c>
      <c r="L145" s="92" t="b">
        <v>0</v>
      </c>
    </row>
    <row r="146" spans="1:12" ht="15">
      <c r="A146" s="93" t="s">
        <v>1020</v>
      </c>
      <c r="B146" s="92" t="s">
        <v>1021</v>
      </c>
      <c r="C146" s="92">
        <v>2</v>
      </c>
      <c r="D146" s="125">
        <v>0.0025759113820322853</v>
      </c>
      <c r="E146" s="125">
        <v>2.7501225267834</v>
      </c>
      <c r="F146" s="92" t="s">
        <v>1137</v>
      </c>
      <c r="G146" s="92" t="b">
        <v>0</v>
      </c>
      <c r="H146" s="92" t="b">
        <v>0</v>
      </c>
      <c r="I146" s="92" t="b">
        <v>0</v>
      </c>
      <c r="J146" s="92" t="b">
        <v>0</v>
      </c>
      <c r="K146" s="92" t="b">
        <v>0</v>
      </c>
      <c r="L146" s="92" t="b">
        <v>0</v>
      </c>
    </row>
    <row r="147" spans="1:12" ht="15">
      <c r="A147" s="93" t="s">
        <v>1021</v>
      </c>
      <c r="B147" s="92" t="s">
        <v>1022</v>
      </c>
      <c r="C147" s="92">
        <v>2</v>
      </c>
      <c r="D147" s="125">
        <v>0.0025759113820322853</v>
      </c>
      <c r="E147" s="125">
        <v>2.7501225267834</v>
      </c>
      <c r="F147" s="92" t="s">
        <v>1137</v>
      </c>
      <c r="G147" s="92" t="b">
        <v>0</v>
      </c>
      <c r="H147" s="92" t="b">
        <v>0</v>
      </c>
      <c r="I147" s="92" t="b">
        <v>0</v>
      </c>
      <c r="J147" s="92" t="b">
        <v>0</v>
      </c>
      <c r="K147" s="92" t="b">
        <v>0</v>
      </c>
      <c r="L147" s="92" t="b">
        <v>0</v>
      </c>
    </row>
    <row r="148" spans="1:12" ht="15">
      <c r="A148" s="93" t="s">
        <v>1022</v>
      </c>
      <c r="B148" s="92" t="s">
        <v>1023</v>
      </c>
      <c r="C148" s="92">
        <v>2</v>
      </c>
      <c r="D148" s="125">
        <v>0.0025759113820322853</v>
      </c>
      <c r="E148" s="125">
        <v>2.7501225267834</v>
      </c>
      <c r="F148" s="92" t="s">
        <v>1137</v>
      </c>
      <c r="G148" s="92" t="b">
        <v>0</v>
      </c>
      <c r="H148" s="92" t="b">
        <v>0</v>
      </c>
      <c r="I148" s="92" t="b">
        <v>0</v>
      </c>
      <c r="J148" s="92" t="b">
        <v>0</v>
      </c>
      <c r="K148" s="92" t="b">
        <v>0</v>
      </c>
      <c r="L148" s="92" t="b">
        <v>0</v>
      </c>
    </row>
    <row r="149" spans="1:12" ht="15">
      <c r="A149" s="93" t="s">
        <v>1023</v>
      </c>
      <c r="B149" s="92" t="s">
        <v>1024</v>
      </c>
      <c r="C149" s="92">
        <v>2</v>
      </c>
      <c r="D149" s="125">
        <v>0.0025759113820322853</v>
      </c>
      <c r="E149" s="125">
        <v>2.7501225267834</v>
      </c>
      <c r="F149" s="92" t="s">
        <v>1137</v>
      </c>
      <c r="G149" s="92" t="b">
        <v>0</v>
      </c>
      <c r="H149" s="92" t="b">
        <v>0</v>
      </c>
      <c r="I149" s="92" t="b">
        <v>0</v>
      </c>
      <c r="J149" s="92" t="b">
        <v>0</v>
      </c>
      <c r="K149" s="92" t="b">
        <v>0</v>
      </c>
      <c r="L149" s="92" t="b">
        <v>0</v>
      </c>
    </row>
    <row r="150" spans="1:12" ht="15">
      <c r="A150" s="93" t="s">
        <v>1024</v>
      </c>
      <c r="B150" s="92" t="s">
        <v>701</v>
      </c>
      <c r="C150" s="92">
        <v>2</v>
      </c>
      <c r="D150" s="125">
        <v>0.0025759113820322853</v>
      </c>
      <c r="E150" s="125">
        <v>1.212303431710126</v>
      </c>
      <c r="F150" s="92" t="s">
        <v>1137</v>
      </c>
      <c r="G150" s="92" t="b">
        <v>0</v>
      </c>
      <c r="H150" s="92" t="b">
        <v>0</v>
      </c>
      <c r="I150" s="92" t="b">
        <v>0</v>
      </c>
      <c r="J150" s="92" t="b">
        <v>0</v>
      </c>
      <c r="K150" s="92" t="b">
        <v>0</v>
      </c>
      <c r="L150" s="92" t="b">
        <v>0</v>
      </c>
    </row>
    <row r="151" spans="1:12" ht="15">
      <c r="A151" s="93" t="s">
        <v>1025</v>
      </c>
      <c r="B151" s="92" t="s">
        <v>1026</v>
      </c>
      <c r="C151" s="92">
        <v>2</v>
      </c>
      <c r="D151" s="125">
        <v>0.0025759113820322853</v>
      </c>
      <c r="E151" s="125">
        <v>2.7501225267834</v>
      </c>
      <c r="F151" s="92" t="s">
        <v>1137</v>
      </c>
      <c r="G151" s="92" t="b">
        <v>1</v>
      </c>
      <c r="H151" s="92" t="b">
        <v>0</v>
      </c>
      <c r="I151" s="92" t="b">
        <v>0</v>
      </c>
      <c r="J151" s="92" t="b">
        <v>0</v>
      </c>
      <c r="K151" s="92" t="b">
        <v>0</v>
      </c>
      <c r="L151" s="92" t="b">
        <v>0</v>
      </c>
    </row>
    <row r="152" spans="1:12" ht="15">
      <c r="A152" s="93" t="s">
        <v>1026</v>
      </c>
      <c r="B152" s="92" t="s">
        <v>930</v>
      </c>
      <c r="C152" s="92">
        <v>2</v>
      </c>
      <c r="D152" s="125">
        <v>0.0025759113820322853</v>
      </c>
      <c r="E152" s="125">
        <v>2.449092531119419</v>
      </c>
      <c r="F152" s="92" t="s">
        <v>1137</v>
      </c>
      <c r="G152" s="92" t="b">
        <v>0</v>
      </c>
      <c r="H152" s="92" t="b">
        <v>0</v>
      </c>
      <c r="I152" s="92" t="b">
        <v>0</v>
      </c>
      <c r="J152" s="92" t="b">
        <v>0</v>
      </c>
      <c r="K152" s="92" t="b">
        <v>0</v>
      </c>
      <c r="L152" s="92" t="b">
        <v>0</v>
      </c>
    </row>
    <row r="153" spans="1:12" ht="15">
      <c r="A153" s="93" t="s">
        <v>930</v>
      </c>
      <c r="B153" s="92" t="s">
        <v>722</v>
      </c>
      <c r="C153" s="92">
        <v>2</v>
      </c>
      <c r="D153" s="125">
        <v>0.0025759113820322853</v>
      </c>
      <c r="E153" s="125">
        <v>1.9719712763997566</v>
      </c>
      <c r="F153" s="92" t="s">
        <v>1137</v>
      </c>
      <c r="G153" s="92" t="b">
        <v>0</v>
      </c>
      <c r="H153" s="92" t="b">
        <v>0</v>
      </c>
      <c r="I153" s="92" t="b">
        <v>0</v>
      </c>
      <c r="J153" s="92" t="b">
        <v>0</v>
      </c>
      <c r="K153" s="92" t="b">
        <v>1</v>
      </c>
      <c r="L153" s="92" t="b">
        <v>0</v>
      </c>
    </row>
    <row r="154" spans="1:12" ht="15">
      <c r="A154" s="93" t="s">
        <v>723</v>
      </c>
      <c r="B154" s="92" t="s">
        <v>1027</v>
      </c>
      <c r="C154" s="92">
        <v>2</v>
      </c>
      <c r="D154" s="125">
        <v>0.0025759113820322853</v>
      </c>
      <c r="E154" s="125">
        <v>2.2730012720637376</v>
      </c>
      <c r="F154" s="92" t="s">
        <v>1137</v>
      </c>
      <c r="G154" s="92" t="b">
        <v>0</v>
      </c>
      <c r="H154" s="92" t="b">
        <v>0</v>
      </c>
      <c r="I154" s="92" t="b">
        <v>0</v>
      </c>
      <c r="J154" s="92" t="b">
        <v>0</v>
      </c>
      <c r="K154" s="92" t="b">
        <v>0</v>
      </c>
      <c r="L154" s="92" t="b">
        <v>0</v>
      </c>
    </row>
    <row r="155" spans="1:12" ht="15">
      <c r="A155" s="93" t="s">
        <v>1027</v>
      </c>
      <c r="B155" s="92" t="s">
        <v>1028</v>
      </c>
      <c r="C155" s="92">
        <v>2</v>
      </c>
      <c r="D155" s="125">
        <v>0.0025759113820322853</v>
      </c>
      <c r="E155" s="125">
        <v>2.7501225267834</v>
      </c>
      <c r="F155" s="92" t="s">
        <v>1137</v>
      </c>
      <c r="G155" s="92" t="b">
        <v>0</v>
      </c>
      <c r="H155" s="92" t="b">
        <v>0</v>
      </c>
      <c r="I155" s="92" t="b">
        <v>0</v>
      </c>
      <c r="J155" s="92" t="b">
        <v>0</v>
      </c>
      <c r="K155" s="92" t="b">
        <v>0</v>
      </c>
      <c r="L155" s="92" t="b">
        <v>0</v>
      </c>
    </row>
    <row r="156" spans="1:12" ht="15">
      <c r="A156" s="93" t="s">
        <v>1028</v>
      </c>
      <c r="B156" s="92" t="s">
        <v>702</v>
      </c>
      <c r="C156" s="92">
        <v>2</v>
      </c>
      <c r="D156" s="125">
        <v>0.0025759113820322853</v>
      </c>
      <c r="E156" s="125">
        <v>1.728933227713462</v>
      </c>
      <c r="F156" s="92" t="s">
        <v>1137</v>
      </c>
      <c r="G156" s="92" t="b">
        <v>0</v>
      </c>
      <c r="H156" s="92" t="b">
        <v>0</v>
      </c>
      <c r="I156" s="92" t="b">
        <v>0</v>
      </c>
      <c r="J156" s="92" t="b">
        <v>0</v>
      </c>
      <c r="K156" s="92" t="b">
        <v>0</v>
      </c>
      <c r="L156" s="92" t="b">
        <v>0</v>
      </c>
    </row>
    <row r="157" spans="1:12" ht="15">
      <c r="A157" s="93" t="s">
        <v>914</v>
      </c>
      <c r="B157" s="92" t="s">
        <v>701</v>
      </c>
      <c r="C157" s="92">
        <v>2</v>
      </c>
      <c r="D157" s="125">
        <v>0.0025759113820322853</v>
      </c>
      <c r="E157" s="125">
        <v>0.8143634230380885</v>
      </c>
      <c r="F157" s="92" t="s">
        <v>1137</v>
      </c>
      <c r="G157" s="92" t="b">
        <v>0</v>
      </c>
      <c r="H157" s="92" t="b">
        <v>0</v>
      </c>
      <c r="I157" s="92" t="b">
        <v>0</v>
      </c>
      <c r="J157" s="92" t="b">
        <v>0</v>
      </c>
      <c r="K157" s="92" t="b">
        <v>0</v>
      </c>
      <c r="L157" s="92" t="b">
        <v>0</v>
      </c>
    </row>
    <row r="158" spans="1:12" ht="15">
      <c r="A158" s="93" t="s">
        <v>1029</v>
      </c>
      <c r="B158" s="92" t="s">
        <v>1030</v>
      </c>
      <c r="C158" s="92">
        <v>2</v>
      </c>
      <c r="D158" s="125">
        <v>0.0025759113820322853</v>
      </c>
      <c r="E158" s="125">
        <v>2.7501225267834</v>
      </c>
      <c r="F158" s="92" t="s">
        <v>1137</v>
      </c>
      <c r="G158" s="92" t="b">
        <v>0</v>
      </c>
      <c r="H158" s="92" t="b">
        <v>0</v>
      </c>
      <c r="I158" s="92" t="b">
        <v>0</v>
      </c>
      <c r="J158" s="92" t="b">
        <v>0</v>
      </c>
      <c r="K158" s="92" t="b">
        <v>0</v>
      </c>
      <c r="L158" s="92" t="b">
        <v>0</v>
      </c>
    </row>
    <row r="159" spans="1:12" ht="15">
      <c r="A159" s="93" t="s">
        <v>1030</v>
      </c>
      <c r="B159" s="92" t="s">
        <v>1031</v>
      </c>
      <c r="C159" s="92">
        <v>2</v>
      </c>
      <c r="D159" s="125">
        <v>0.0025759113820322853</v>
      </c>
      <c r="E159" s="125">
        <v>2.7501225267834</v>
      </c>
      <c r="F159" s="92" t="s">
        <v>1137</v>
      </c>
      <c r="G159" s="92" t="b">
        <v>0</v>
      </c>
      <c r="H159" s="92" t="b">
        <v>0</v>
      </c>
      <c r="I159" s="92" t="b">
        <v>0</v>
      </c>
      <c r="J159" s="92" t="b">
        <v>0</v>
      </c>
      <c r="K159" s="92" t="b">
        <v>0</v>
      </c>
      <c r="L159" s="92" t="b">
        <v>0</v>
      </c>
    </row>
    <row r="160" spans="1:12" ht="15">
      <c r="A160" s="93" t="s">
        <v>1031</v>
      </c>
      <c r="B160" s="92" t="s">
        <v>722</v>
      </c>
      <c r="C160" s="92">
        <v>2</v>
      </c>
      <c r="D160" s="125">
        <v>0.0025759113820322853</v>
      </c>
      <c r="E160" s="125">
        <v>2.2730012720637376</v>
      </c>
      <c r="F160" s="92" t="s">
        <v>1137</v>
      </c>
      <c r="G160" s="92" t="b">
        <v>0</v>
      </c>
      <c r="H160" s="92" t="b">
        <v>0</v>
      </c>
      <c r="I160" s="92" t="b">
        <v>0</v>
      </c>
      <c r="J160" s="92" t="b">
        <v>0</v>
      </c>
      <c r="K160" s="92" t="b">
        <v>1</v>
      </c>
      <c r="L160" s="92" t="b">
        <v>0</v>
      </c>
    </row>
    <row r="161" spans="1:12" ht="15">
      <c r="A161" s="93" t="s">
        <v>723</v>
      </c>
      <c r="B161" s="92" t="s">
        <v>1032</v>
      </c>
      <c r="C161" s="92">
        <v>2</v>
      </c>
      <c r="D161" s="125">
        <v>0.0025759113820322853</v>
      </c>
      <c r="E161" s="125">
        <v>2.2730012720637376</v>
      </c>
      <c r="F161" s="92" t="s">
        <v>1137</v>
      </c>
      <c r="G161" s="92" t="b">
        <v>0</v>
      </c>
      <c r="H161" s="92" t="b">
        <v>0</v>
      </c>
      <c r="I161" s="92" t="b">
        <v>0</v>
      </c>
      <c r="J161" s="92" t="b">
        <v>1</v>
      </c>
      <c r="K161" s="92" t="b">
        <v>0</v>
      </c>
      <c r="L161" s="92" t="b">
        <v>0</v>
      </c>
    </row>
    <row r="162" spans="1:12" ht="15">
      <c r="A162" s="93" t="s">
        <v>1032</v>
      </c>
      <c r="B162" s="92" t="s">
        <v>1033</v>
      </c>
      <c r="C162" s="92">
        <v>2</v>
      </c>
      <c r="D162" s="125">
        <v>0.0025759113820322853</v>
      </c>
      <c r="E162" s="125">
        <v>2.7501225267834</v>
      </c>
      <c r="F162" s="92" t="s">
        <v>1137</v>
      </c>
      <c r="G162" s="92" t="b">
        <v>1</v>
      </c>
      <c r="H162" s="92" t="b">
        <v>0</v>
      </c>
      <c r="I162" s="92" t="b">
        <v>0</v>
      </c>
      <c r="J162" s="92" t="b">
        <v>0</v>
      </c>
      <c r="K162" s="92" t="b">
        <v>0</v>
      </c>
      <c r="L162" s="92" t="b">
        <v>0</v>
      </c>
    </row>
    <row r="163" spans="1:12" ht="15">
      <c r="A163" s="93" t="s">
        <v>1033</v>
      </c>
      <c r="B163" s="92" t="s">
        <v>1034</v>
      </c>
      <c r="C163" s="92">
        <v>2</v>
      </c>
      <c r="D163" s="125">
        <v>0.0025759113820322853</v>
      </c>
      <c r="E163" s="125">
        <v>2.7501225267834</v>
      </c>
      <c r="F163" s="92" t="s">
        <v>1137</v>
      </c>
      <c r="G163" s="92" t="b">
        <v>0</v>
      </c>
      <c r="H163" s="92" t="b">
        <v>0</v>
      </c>
      <c r="I163" s="92" t="b">
        <v>0</v>
      </c>
      <c r="J163" s="92" t="b">
        <v>0</v>
      </c>
      <c r="K163" s="92" t="b">
        <v>0</v>
      </c>
      <c r="L163" s="92" t="b">
        <v>0</v>
      </c>
    </row>
    <row r="164" spans="1:12" ht="15">
      <c r="A164" s="93" t="s">
        <v>1034</v>
      </c>
      <c r="B164" s="92" t="s">
        <v>1035</v>
      </c>
      <c r="C164" s="92">
        <v>2</v>
      </c>
      <c r="D164" s="125">
        <v>0.0025759113820322853</v>
      </c>
      <c r="E164" s="125">
        <v>2.7501225267834</v>
      </c>
      <c r="F164" s="92" t="s">
        <v>1137</v>
      </c>
      <c r="G164" s="92" t="b">
        <v>0</v>
      </c>
      <c r="H164" s="92" t="b">
        <v>0</v>
      </c>
      <c r="I164" s="92" t="b">
        <v>0</v>
      </c>
      <c r="J164" s="92" t="b">
        <v>0</v>
      </c>
      <c r="K164" s="92" t="b">
        <v>0</v>
      </c>
      <c r="L164" s="92" t="b">
        <v>0</v>
      </c>
    </row>
    <row r="165" spans="1:12" ht="15">
      <c r="A165" s="93" t="s">
        <v>1035</v>
      </c>
      <c r="B165" s="92" t="s">
        <v>1036</v>
      </c>
      <c r="C165" s="92">
        <v>2</v>
      </c>
      <c r="D165" s="125">
        <v>0.0025759113820322853</v>
      </c>
      <c r="E165" s="125">
        <v>2.7501225267834</v>
      </c>
      <c r="F165" s="92" t="s">
        <v>1137</v>
      </c>
      <c r="G165" s="92" t="b">
        <v>0</v>
      </c>
      <c r="H165" s="92" t="b">
        <v>0</v>
      </c>
      <c r="I165" s="92" t="b">
        <v>0</v>
      </c>
      <c r="J165" s="92" t="b">
        <v>0</v>
      </c>
      <c r="K165" s="92" t="b">
        <v>0</v>
      </c>
      <c r="L165" s="92" t="b">
        <v>0</v>
      </c>
    </row>
    <row r="166" spans="1:12" ht="15">
      <c r="A166" s="93" t="s">
        <v>1036</v>
      </c>
      <c r="B166" s="92" t="s">
        <v>1037</v>
      </c>
      <c r="C166" s="92">
        <v>2</v>
      </c>
      <c r="D166" s="125">
        <v>0.0025759113820322853</v>
      </c>
      <c r="E166" s="125">
        <v>2.7501225267834</v>
      </c>
      <c r="F166" s="92" t="s">
        <v>1137</v>
      </c>
      <c r="G166" s="92" t="b">
        <v>0</v>
      </c>
      <c r="H166" s="92" t="b">
        <v>0</v>
      </c>
      <c r="I166" s="92" t="b">
        <v>0</v>
      </c>
      <c r="J166" s="92" t="b">
        <v>0</v>
      </c>
      <c r="K166" s="92" t="b">
        <v>0</v>
      </c>
      <c r="L166" s="92" t="b">
        <v>0</v>
      </c>
    </row>
    <row r="167" spans="1:12" ht="15">
      <c r="A167" s="93" t="s">
        <v>1037</v>
      </c>
      <c r="B167" s="92" t="s">
        <v>1038</v>
      </c>
      <c r="C167" s="92">
        <v>2</v>
      </c>
      <c r="D167" s="125">
        <v>0.0025759113820322853</v>
      </c>
      <c r="E167" s="125">
        <v>2.7501225267834</v>
      </c>
      <c r="F167" s="92" t="s">
        <v>1137</v>
      </c>
      <c r="G167" s="92" t="b">
        <v>0</v>
      </c>
      <c r="H167" s="92" t="b">
        <v>0</v>
      </c>
      <c r="I167" s="92" t="b">
        <v>0</v>
      </c>
      <c r="J167" s="92" t="b">
        <v>0</v>
      </c>
      <c r="K167" s="92" t="b">
        <v>0</v>
      </c>
      <c r="L167" s="92" t="b">
        <v>0</v>
      </c>
    </row>
    <row r="168" spans="1:12" ht="15">
      <c r="A168" s="93" t="s">
        <v>1038</v>
      </c>
      <c r="B168" s="92" t="s">
        <v>705</v>
      </c>
      <c r="C168" s="92">
        <v>2</v>
      </c>
      <c r="D168" s="125">
        <v>0.0025759113820322853</v>
      </c>
      <c r="E168" s="125">
        <v>1.9372091701405445</v>
      </c>
      <c r="F168" s="92" t="s">
        <v>1137</v>
      </c>
      <c r="G168" s="92" t="b">
        <v>0</v>
      </c>
      <c r="H168" s="92" t="b">
        <v>0</v>
      </c>
      <c r="I168" s="92" t="b">
        <v>0</v>
      </c>
      <c r="J168" s="92" t="b">
        <v>1</v>
      </c>
      <c r="K168" s="92" t="b">
        <v>0</v>
      </c>
      <c r="L168" s="92" t="b">
        <v>0</v>
      </c>
    </row>
    <row r="169" spans="1:12" ht="15">
      <c r="A169" s="93" t="s">
        <v>705</v>
      </c>
      <c r="B169" s="92" t="s">
        <v>1039</v>
      </c>
      <c r="C169" s="92">
        <v>2</v>
      </c>
      <c r="D169" s="125">
        <v>0.0025759113820322853</v>
      </c>
      <c r="E169" s="125">
        <v>1.9372091701405445</v>
      </c>
      <c r="F169" s="92" t="s">
        <v>1137</v>
      </c>
      <c r="G169" s="92" t="b">
        <v>1</v>
      </c>
      <c r="H169" s="92" t="b">
        <v>0</v>
      </c>
      <c r="I169" s="92" t="b">
        <v>0</v>
      </c>
      <c r="J169" s="92" t="b">
        <v>0</v>
      </c>
      <c r="K169" s="92" t="b">
        <v>0</v>
      </c>
      <c r="L169" s="92" t="b">
        <v>0</v>
      </c>
    </row>
    <row r="170" spans="1:12" ht="15">
      <c r="A170" s="93" t="s">
        <v>1039</v>
      </c>
      <c r="B170" s="92" t="s">
        <v>931</v>
      </c>
      <c r="C170" s="92">
        <v>2</v>
      </c>
      <c r="D170" s="125">
        <v>0.0025759113820322853</v>
      </c>
      <c r="E170" s="125">
        <v>2.449092531119419</v>
      </c>
      <c r="F170" s="92" t="s">
        <v>1137</v>
      </c>
      <c r="G170" s="92" t="b">
        <v>0</v>
      </c>
      <c r="H170" s="92" t="b">
        <v>0</v>
      </c>
      <c r="I170" s="92" t="b">
        <v>0</v>
      </c>
      <c r="J170" s="92" t="b">
        <v>0</v>
      </c>
      <c r="K170" s="92" t="b">
        <v>0</v>
      </c>
      <c r="L170" s="92" t="b">
        <v>0</v>
      </c>
    </row>
    <row r="171" spans="1:12" ht="15">
      <c r="A171" s="93" t="s">
        <v>931</v>
      </c>
      <c r="B171" s="92" t="s">
        <v>1040</v>
      </c>
      <c r="C171" s="92">
        <v>2</v>
      </c>
      <c r="D171" s="125">
        <v>0.0025759113820322853</v>
      </c>
      <c r="E171" s="125">
        <v>2.449092531119419</v>
      </c>
      <c r="F171" s="92" t="s">
        <v>1137</v>
      </c>
      <c r="G171" s="92" t="b">
        <v>0</v>
      </c>
      <c r="H171" s="92" t="b">
        <v>0</v>
      </c>
      <c r="I171" s="92" t="b">
        <v>0</v>
      </c>
      <c r="J171" s="92" t="b">
        <v>0</v>
      </c>
      <c r="K171" s="92" t="b">
        <v>0</v>
      </c>
      <c r="L171" s="92" t="b">
        <v>0</v>
      </c>
    </row>
    <row r="172" spans="1:12" ht="15">
      <c r="A172" s="93" t="s">
        <v>1040</v>
      </c>
      <c r="B172" s="92" t="s">
        <v>722</v>
      </c>
      <c r="C172" s="92">
        <v>2</v>
      </c>
      <c r="D172" s="125">
        <v>0.0025759113820322853</v>
      </c>
      <c r="E172" s="125">
        <v>2.2730012720637376</v>
      </c>
      <c r="F172" s="92" t="s">
        <v>1137</v>
      </c>
      <c r="G172" s="92" t="b">
        <v>0</v>
      </c>
      <c r="H172" s="92" t="b">
        <v>0</v>
      </c>
      <c r="I172" s="92" t="b">
        <v>0</v>
      </c>
      <c r="J172" s="92" t="b">
        <v>0</v>
      </c>
      <c r="K172" s="92" t="b">
        <v>1</v>
      </c>
      <c r="L172" s="92" t="b">
        <v>0</v>
      </c>
    </row>
    <row r="173" spans="1:12" ht="15">
      <c r="A173" s="93" t="s">
        <v>723</v>
      </c>
      <c r="B173" s="92" t="s">
        <v>1041</v>
      </c>
      <c r="C173" s="92">
        <v>2</v>
      </c>
      <c r="D173" s="125">
        <v>0.0025759113820322853</v>
      </c>
      <c r="E173" s="125">
        <v>2.2730012720637376</v>
      </c>
      <c r="F173" s="92" t="s">
        <v>1137</v>
      </c>
      <c r="G173" s="92" t="b">
        <v>0</v>
      </c>
      <c r="H173" s="92" t="b">
        <v>0</v>
      </c>
      <c r="I173" s="92" t="b">
        <v>0</v>
      </c>
      <c r="J173" s="92" t="b">
        <v>0</v>
      </c>
      <c r="K173" s="92" t="b">
        <v>0</v>
      </c>
      <c r="L173" s="92" t="b">
        <v>0</v>
      </c>
    </row>
    <row r="174" spans="1:12" ht="15">
      <c r="A174" s="93" t="s">
        <v>1041</v>
      </c>
      <c r="B174" s="92" t="s">
        <v>701</v>
      </c>
      <c r="C174" s="92">
        <v>2</v>
      </c>
      <c r="D174" s="125">
        <v>0.0025759113820322853</v>
      </c>
      <c r="E174" s="125">
        <v>1.212303431710126</v>
      </c>
      <c r="F174" s="92" t="s">
        <v>1137</v>
      </c>
      <c r="G174" s="92" t="b">
        <v>0</v>
      </c>
      <c r="H174" s="92" t="b">
        <v>0</v>
      </c>
      <c r="I174" s="92" t="b">
        <v>0</v>
      </c>
      <c r="J174" s="92" t="b">
        <v>0</v>
      </c>
      <c r="K174" s="92" t="b">
        <v>0</v>
      </c>
      <c r="L174" s="92" t="b">
        <v>0</v>
      </c>
    </row>
    <row r="175" spans="1:12" ht="15">
      <c r="A175" s="93" t="s">
        <v>1042</v>
      </c>
      <c r="B175" s="92" t="s">
        <v>1043</v>
      </c>
      <c r="C175" s="92">
        <v>2</v>
      </c>
      <c r="D175" s="125">
        <v>0.0025759113820322853</v>
      </c>
      <c r="E175" s="125">
        <v>2.7501225267834</v>
      </c>
      <c r="F175" s="92" t="s">
        <v>1137</v>
      </c>
      <c r="G175" s="92" t="b">
        <v>0</v>
      </c>
      <c r="H175" s="92" t="b">
        <v>0</v>
      </c>
      <c r="I175" s="92" t="b">
        <v>0</v>
      </c>
      <c r="J175" s="92" t="b">
        <v>0</v>
      </c>
      <c r="K175" s="92" t="b">
        <v>0</v>
      </c>
      <c r="L175" s="92" t="b">
        <v>0</v>
      </c>
    </row>
    <row r="176" spans="1:12" ht="15">
      <c r="A176" s="93" t="s">
        <v>1043</v>
      </c>
      <c r="B176" s="92" t="s">
        <v>1044</v>
      </c>
      <c r="C176" s="92">
        <v>2</v>
      </c>
      <c r="D176" s="125">
        <v>0.0025759113820322853</v>
      </c>
      <c r="E176" s="125">
        <v>2.7501225267834</v>
      </c>
      <c r="F176" s="92" t="s">
        <v>1137</v>
      </c>
      <c r="G176" s="92" t="b">
        <v>0</v>
      </c>
      <c r="H176" s="92" t="b">
        <v>0</v>
      </c>
      <c r="I176" s="92" t="b">
        <v>0</v>
      </c>
      <c r="J176" s="92" t="b">
        <v>0</v>
      </c>
      <c r="K176" s="92" t="b">
        <v>0</v>
      </c>
      <c r="L176" s="92" t="b">
        <v>0</v>
      </c>
    </row>
    <row r="177" spans="1:12" ht="15">
      <c r="A177" s="93" t="s">
        <v>1044</v>
      </c>
      <c r="B177" s="92" t="s">
        <v>1045</v>
      </c>
      <c r="C177" s="92">
        <v>2</v>
      </c>
      <c r="D177" s="125">
        <v>0.0025759113820322853</v>
      </c>
      <c r="E177" s="125">
        <v>2.7501225267834</v>
      </c>
      <c r="F177" s="92" t="s">
        <v>1137</v>
      </c>
      <c r="G177" s="92" t="b">
        <v>0</v>
      </c>
      <c r="H177" s="92" t="b">
        <v>0</v>
      </c>
      <c r="I177" s="92" t="b">
        <v>0</v>
      </c>
      <c r="J177" s="92" t="b">
        <v>0</v>
      </c>
      <c r="K177" s="92" t="b">
        <v>0</v>
      </c>
      <c r="L177" s="92" t="b">
        <v>0</v>
      </c>
    </row>
    <row r="178" spans="1:12" ht="15">
      <c r="A178" s="93" t="s">
        <v>1045</v>
      </c>
      <c r="B178" s="92" t="s">
        <v>701</v>
      </c>
      <c r="C178" s="92">
        <v>2</v>
      </c>
      <c r="D178" s="125">
        <v>0.0025759113820322853</v>
      </c>
      <c r="E178" s="125">
        <v>1.212303431710126</v>
      </c>
      <c r="F178" s="92" t="s">
        <v>1137</v>
      </c>
      <c r="G178" s="92" t="b">
        <v>0</v>
      </c>
      <c r="H178" s="92" t="b">
        <v>0</v>
      </c>
      <c r="I178" s="92" t="b">
        <v>0</v>
      </c>
      <c r="J178" s="92" t="b">
        <v>0</v>
      </c>
      <c r="K178" s="92" t="b">
        <v>0</v>
      </c>
      <c r="L178" s="92" t="b">
        <v>0</v>
      </c>
    </row>
    <row r="179" spans="1:12" ht="15">
      <c r="A179" s="93" t="s">
        <v>701</v>
      </c>
      <c r="B179" s="92" t="s">
        <v>1046</v>
      </c>
      <c r="C179" s="92">
        <v>2</v>
      </c>
      <c r="D179" s="125">
        <v>0.0025759113820322853</v>
      </c>
      <c r="E179" s="125">
        <v>2.009759837289156</v>
      </c>
      <c r="F179" s="92" t="s">
        <v>1137</v>
      </c>
      <c r="G179" s="92" t="b">
        <v>0</v>
      </c>
      <c r="H179" s="92" t="b">
        <v>0</v>
      </c>
      <c r="I179" s="92" t="b">
        <v>0</v>
      </c>
      <c r="J179" s="92" t="b">
        <v>0</v>
      </c>
      <c r="K179" s="92" t="b">
        <v>0</v>
      </c>
      <c r="L179" s="92" t="b">
        <v>0</v>
      </c>
    </row>
    <row r="180" spans="1:12" ht="15">
      <c r="A180" s="93" t="s">
        <v>1046</v>
      </c>
      <c r="B180" s="92" t="s">
        <v>1047</v>
      </c>
      <c r="C180" s="92">
        <v>2</v>
      </c>
      <c r="D180" s="125">
        <v>0.0025759113820322853</v>
      </c>
      <c r="E180" s="125">
        <v>2.7501225267834</v>
      </c>
      <c r="F180" s="92" t="s">
        <v>1137</v>
      </c>
      <c r="G180" s="92" t="b">
        <v>0</v>
      </c>
      <c r="H180" s="92" t="b">
        <v>0</v>
      </c>
      <c r="I180" s="92" t="b">
        <v>0</v>
      </c>
      <c r="J180" s="92" t="b">
        <v>0</v>
      </c>
      <c r="K180" s="92" t="b">
        <v>0</v>
      </c>
      <c r="L180" s="92" t="b">
        <v>0</v>
      </c>
    </row>
    <row r="181" spans="1:12" ht="15">
      <c r="A181" s="93" t="s">
        <v>1047</v>
      </c>
      <c r="B181" s="92" t="s">
        <v>1048</v>
      </c>
      <c r="C181" s="92">
        <v>2</v>
      </c>
      <c r="D181" s="125">
        <v>0.0025759113820322853</v>
      </c>
      <c r="E181" s="125">
        <v>2.7501225267834</v>
      </c>
      <c r="F181" s="92" t="s">
        <v>1137</v>
      </c>
      <c r="G181" s="92" t="b">
        <v>0</v>
      </c>
      <c r="H181" s="92" t="b">
        <v>0</v>
      </c>
      <c r="I181" s="92" t="b">
        <v>0</v>
      </c>
      <c r="J181" s="92" t="b">
        <v>0</v>
      </c>
      <c r="K181" s="92" t="b">
        <v>0</v>
      </c>
      <c r="L181" s="92" t="b">
        <v>0</v>
      </c>
    </row>
    <row r="182" spans="1:12" ht="15">
      <c r="A182" s="93" t="s">
        <v>1048</v>
      </c>
      <c r="B182" s="92" t="s">
        <v>1049</v>
      </c>
      <c r="C182" s="92">
        <v>2</v>
      </c>
      <c r="D182" s="125">
        <v>0.0025759113820322853</v>
      </c>
      <c r="E182" s="125">
        <v>2.7501225267834</v>
      </c>
      <c r="F182" s="92" t="s">
        <v>1137</v>
      </c>
      <c r="G182" s="92" t="b">
        <v>0</v>
      </c>
      <c r="H182" s="92" t="b">
        <v>0</v>
      </c>
      <c r="I182" s="92" t="b">
        <v>0</v>
      </c>
      <c r="J182" s="92" t="b">
        <v>0</v>
      </c>
      <c r="K182" s="92" t="b">
        <v>0</v>
      </c>
      <c r="L182" s="92" t="b">
        <v>0</v>
      </c>
    </row>
    <row r="183" spans="1:12" ht="15">
      <c r="A183" s="93" t="s">
        <v>1049</v>
      </c>
      <c r="B183" s="92" t="s">
        <v>976</v>
      </c>
      <c r="C183" s="92">
        <v>2</v>
      </c>
      <c r="D183" s="125">
        <v>0.0025759113820322853</v>
      </c>
      <c r="E183" s="125">
        <v>2.574031267727719</v>
      </c>
      <c r="F183" s="92" t="s">
        <v>1137</v>
      </c>
      <c r="G183" s="92" t="b">
        <v>0</v>
      </c>
      <c r="H183" s="92" t="b">
        <v>0</v>
      </c>
      <c r="I183" s="92" t="b">
        <v>0</v>
      </c>
      <c r="J183" s="92" t="b">
        <v>0</v>
      </c>
      <c r="K183" s="92" t="b">
        <v>0</v>
      </c>
      <c r="L183" s="92" t="b">
        <v>0</v>
      </c>
    </row>
    <row r="184" spans="1:12" ht="15">
      <c r="A184" s="93" t="s">
        <v>976</v>
      </c>
      <c r="B184" s="92" t="s">
        <v>1050</v>
      </c>
      <c r="C184" s="92">
        <v>2</v>
      </c>
      <c r="D184" s="125">
        <v>0.0025759113820322853</v>
      </c>
      <c r="E184" s="125">
        <v>2.574031267727719</v>
      </c>
      <c r="F184" s="92" t="s">
        <v>1137</v>
      </c>
      <c r="G184" s="92" t="b">
        <v>0</v>
      </c>
      <c r="H184" s="92" t="b">
        <v>0</v>
      </c>
      <c r="I184" s="92" t="b">
        <v>0</v>
      </c>
      <c r="J184" s="92" t="b">
        <v>0</v>
      </c>
      <c r="K184" s="92" t="b">
        <v>1</v>
      </c>
      <c r="L184" s="92" t="b">
        <v>0</v>
      </c>
    </row>
    <row r="185" spans="1:12" ht="15">
      <c r="A185" s="93" t="s">
        <v>1050</v>
      </c>
      <c r="B185" s="92" t="s">
        <v>1051</v>
      </c>
      <c r="C185" s="92">
        <v>2</v>
      </c>
      <c r="D185" s="125">
        <v>0.0025759113820322853</v>
      </c>
      <c r="E185" s="125">
        <v>2.7501225267834</v>
      </c>
      <c r="F185" s="92" t="s">
        <v>1137</v>
      </c>
      <c r="G185" s="92" t="b">
        <v>0</v>
      </c>
      <c r="H185" s="92" t="b">
        <v>1</v>
      </c>
      <c r="I185" s="92" t="b">
        <v>0</v>
      </c>
      <c r="J185" s="92" t="b">
        <v>0</v>
      </c>
      <c r="K185" s="92" t="b">
        <v>0</v>
      </c>
      <c r="L185" s="92" t="b">
        <v>0</v>
      </c>
    </row>
    <row r="186" spans="1:12" ht="15">
      <c r="A186" s="93" t="s">
        <v>1052</v>
      </c>
      <c r="B186" s="92" t="s">
        <v>1053</v>
      </c>
      <c r="C186" s="92">
        <v>2</v>
      </c>
      <c r="D186" s="125">
        <v>0.0025759113820322853</v>
      </c>
      <c r="E186" s="125">
        <v>2.7501225267834</v>
      </c>
      <c r="F186" s="92" t="s">
        <v>1137</v>
      </c>
      <c r="G186" s="92" t="b">
        <v>0</v>
      </c>
      <c r="H186" s="92" t="b">
        <v>1</v>
      </c>
      <c r="I186" s="92" t="b">
        <v>0</v>
      </c>
      <c r="J186" s="92" t="b">
        <v>0</v>
      </c>
      <c r="K186" s="92" t="b">
        <v>0</v>
      </c>
      <c r="L186" s="92" t="b">
        <v>0</v>
      </c>
    </row>
    <row r="187" spans="1:12" ht="15">
      <c r="A187" s="93" t="s">
        <v>1053</v>
      </c>
      <c r="B187" s="92" t="s">
        <v>1054</v>
      </c>
      <c r="C187" s="92">
        <v>2</v>
      </c>
      <c r="D187" s="125">
        <v>0.0025759113820322853</v>
      </c>
      <c r="E187" s="125">
        <v>2.7501225267834</v>
      </c>
      <c r="F187" s="92" t="s">
        <v>1137</v>
      </c>
      <c r="G187" s="92" t="b">
        <v>0</v>
      </c>
      <c r="H187" s="92" t="b">
        <v>0</v>
      </c>
      <c r="I187" s="92" t="b">
        <v>0</v>
      </c>
      <c r="J187" s="92" t="b">
        <v>0</v>
      </c>
      <c r="K187" s="92" t="b">
        <v>0</v>
      </c>
      <c r="L187" s="92" t="b">
        <v>0</v>
      </c>
    </row>
    <row r="188" spans="1:12" ht="15">
      <c r="A188" s="93" t="s">
        <v>1054</v>
      </c>
      <c r="B188" s="92" t="s">
        <v>1055</v>
      </c>
      <c r="C188" s="92">
        <v>2</v>
      </c>
      <c r="D188" s="125">
        <v>0.0025759113820322853</v>
      </c>
      <c r="E188" s="125">
        <v>2.7501225267834</v>
      </c>
      <c r="F188" s="92" t="s">
        <v>1137</v>
      </c>
      <c r="G188" s="92" t="b">
        <v>0</v>
      </c>
      <c r="H188" s="92" t="b">
        <v>0</v>
      </c>
      <c r="I188" s="92" t="b">
        <v>0</v>
      </c>
      <c r="J188" s="92" t="b">
        <v>0</v>
      </c>
      <c r="K188" s="92" t="b">
        <v>0</v>
      </c>
      <c r="L188" s="92" t="b">
        <v>0</v>
      </c>
    </row>
    <row r="189" spans="1:12" ht="15">
      <c r="A189" s="93" t="s">
        <v>1055</v>
      </c>
      <c r="B189" s="92" t="s">
        <v>1056</v>
      </c>
      <c r="C189" s="92">
        <v>2</v>
      </c>
      <c r="D189" s="125">
        <v>0.0025759113820322853</v>
      </c>
      <c r="E189" s="125">
        <v>2.7501225267834</v>
      </c>
      <c r="F189" s="92" t="s">
        <v>1137</v>
      </c>
      <c r="G189" s="92" t="b">
        <v>0</v>
      </c>
      <c r="H189" s="92" t="b">
        <v>0</v>
      </c>
      <c r="I189" s="92" t="b">
        <v>0</v>
      </c>
      <c r="J189" s="92" t="b">
        <v>0</v>
      </c>
      <c r="K189" s="92" t="b">
        <v>0</v>
      </c>
      <c r="L189" s="92" t="b">
        <v>0</v>
      </c>
    </row>
    <row r="190" spans="1:12" ht="15">
      <c r="A190" s="93" t="s">
        <v>1056</v>
      </c>
      <c r="B190" s="92" t="s">
        <v>1057</v>
      </c>
      <c r="C190" s="92">
        <v>2</v>
      </c>
      <c r="D190" s="125">
        <v>0.0025759113820322853</v>
      </c>
      <c r="E190" s="125">
        <v>2.7501225267834</v>
      </c>
      <c r="F190" s="92" t="s">
        <v>1137</v>
      </c>
      <c r="G190" s="92" t="b">
        <v>0</v>
      </c>
      <c r="H190" s="92" t="b">
        <v>0</v>
      </c>
      <c r="I190" s="92" t="b">
        <v>0</v>
      </c>
      <c r="J190" s="92" t="b">
        <v>0</v>
      </c>
      <c r="K190" s="92" t="b">
        <v>0</v>
      </c>
      <c r="L190" s="92" t="b">
        <v>0</v>
      </c>
    </row>
    <row r="191" spans="1:12" ht="15">
      <c r="A191" s="93" t="s">
        <v>1057</v>
      </c>
      <c r="B191" s="92" t="s">
        <v>726</v>
      </c>
      <c r="C191" s="92">
        <v>2</v>
      </c>
      <c r="D191" s="125">
        <v>0.0025759113820322853</v>
      </c>
      <c r="E191" s="125">
        <v>2.449092531119419</v>
      </c>
      <c r="F191" s="92" t="s">
        <v>1137</v>
      </c>
      <c r="G191" s="92" t="b">
        <v>0</v>
      </c>
      <c r="H191" s="92" t="b">
        <v>0</v>
      </c>
      <c r="I191" s="92" t="b">
        <v>0</v>
      </c>
      <c r="J191" s="92" t="b">
        <v>0</v>
      </c>
      <c r="K191" s="92" t="b">
        <v>0</v>
      </c>
      <c r="L191" s="92" t="b">
        <v>0</v>
      </c>
    </row>
    <row r="192" spans="1:12" ht="15">
      <c r="A192" s="93" t="s">
        <v>726</v>
      </c>
      <c r="B192" s="92" t="s">
        <v>281</v>
      </c>
      <c r="C192" s="92">
        <v>2</v>
      </c>
      <c r="D192" s="125">
        <v>0.0025759113820322853</v>
      </c>
      <c r="E192" s="125">
        <v>2.1480625354554377</v>
      </c>
      <c r="F192" s="92" t="s">
        <v>1137</v>
      </c>
      <c r="G192" s="92" t="b">
        <v>0</v>
      </c>
      <c r="H192" s="92" t="b">
        <v>0</v>
      </c>
      <c r="I192" s="92" t="b">
        <v>0</v>
      </c>
      <c r="J192" s="92" t="b">
        <v>0</v>
      </c>
      <c r="K192" s="92" t="b">
        <v>0</v>
      </c>
      <c r="L192" s="92" t="b">
        <v>0</v>
      </c>
    </row>
    <row r="193" spans="1:12" ht="15">
      <c r="A193" s="93" t="s">
        <v>281</v>
      </c>
      <c r="B193" s="92" t="s">
        <v>977</v>
      </c>
      <c r="C193" s="92">
        <v>2</v>
      </c>
      <c r="D193" s="125">
        <v>0.0025759113820322853</v>
      </c>
      <c r="E193" s="125">
        <v>2.449092531119419</v>
      </c>
      <c r="F193" s="92" t="s">
        <v>1137</v>
      </c>
      <c r="G193" s="92" t="b">
        <v>0</v>
      </c>
      <c r="H193" s="92" t="b">
        <v>0</v>
      </c>
      <c r="I193" s="92" t="b">
        <v>0</v>
      </c>
      <c r="J193" s="92" t="b">
        <v>0</v>
      </c>
      <c r="K193" s="92" t="b">
        <v>0</v>
      </c>
      <c r="L193" s="92" t="b">
        <v>0</v>
      </c>
    </row>
    <row r="194" spans="1:12" ht="15">
      <c r="A194" s="93" t="s">
        <v>977</v>
      </c>
      <c r="B194" s="92" t="s">
        <v>726</v>
      </c>
      <c r="C194" s="92">
        <v>2</v>
      </c>
      <c r="D194" s="125">
        <v>0.0025759113820322853</v>
      </c>
      <c r="E194" s="125">
        <v>2.2730012720637376</v>
      </c>
      <c r="F194" s="92" t="s">
        <v>1137</v>
      </c>
      <c r="G194" s="92" t="b">
        <v>0</v>
      </c>
      <c r="H194" s="92" t="b">
        <v>0</v>
      </c>
      <c r="I194" s="92" t="b">
        <v>0</v>
      </c>
      <c r="J194" s="92" t="b">
        <v>0</v>
      </c>
      <c r="K194" s="92" t="b">
        <v>0</v>
      </c>
      <c r="L194" s="92" t="b">
        <v>0</v>
      </c>
    </row>
    <row r="195" spans="1:12" ht="15">
      <c r="A195" s="93" t="s">
        <v>726</v>
      </c>
      <c r="B195" s="92" t="s">
        <v>1058</v>
      </c>
      <c r="C195" s="92">
        <v>2</v>
      </c>
      <c r="D195" s="125">
        <v>0.0025759113820322853</v>
      </c>
      <c r="E195" s="125">
        <v>2.449092531119419</v>
      </c>
      <c r="F195" s="92" t="s">
        <v>1137</v>
      </c>
      <c r="G195" s="92" t="b">
        <v>0</v>
      </c>
      <c r="H195" s="92" t="b">
        <v>0</v>
      </c>
      <c r="I195" s="92" t="b">
        <v>0</v>
      </c>
      <c r="J195" s="92" t="b">
        <v>0</v>
      </c>
      <c r="K195" s="92" t="b">
        <v>0</v>
      </c>
      <c r="L195" s="92" t="b">
        <v>0</v>
      </c>
    </row>
    <row r="196" spans="1:12" ht="15">
      <c r="A196" s="93" t="s">
        <v>1058</v>
      </c>
      <c r="B196" s="92" t="s">
        <v>945</v>
      </c>
      <c r="C196" s="92">
        <v>2</v>
      </c>
      <c r="D196" s="125">
        <v>0.0025759113820322853</v>
      </c>
      <c r="E196" s="125">
        <v>2.449092531119419</v>
      </c>
      <c r="F196" s="92" t="s">
        <v>1137</v>
      </c>
      <c r="G196" s="92" t="b">
        <v>0</v>
      </c>
      <c r="H196" s="92" t="b">
        <v>0</v>
      </c>
      <c r="I196" s="92" t="b">
        <v>0</v>
      </c>
      <c r="J196" s="92" t="b">
        <v>0</v>
      </c>
      <c r="K196" s="92" t="b">
        <v>0</v>
      </c>
      <c r="L196" s="92" t="b">
        <v>0</v>
      </c>
    </row>
    <row r="197" spans="1:12" ht="15">
      <c r="A197" s="93" t="s">
        <v>945</v>
      </c>
      <c r="B197" s="92" t="s">
        <v>1059</v>
      </c>
      <c r="C197" s="92">
        <v>2</v>
      </c>
      <c r="D197" s="125">
        <v>0.0025759113820322853</v>
      </c>
      <c r="E197" s="125">
        <v>2.449092531119419</v>
      </c>
      <c r="F197" s="92" t="s">
        <v>1137</v>
      </c>
      <c r="G197" s="92" t="b">
        <v>0</v>
      </c>
      <c r="H197" s="92" t="b">
        <v>0</v>
      </c>
      <c r="I197" s="92" t="b">
        <v>0</v>
      </c>
      <c r="J197" s="92" t="b">
        <v>0</v>
      </c>
      <c r="K197" s="92" t="b">
        <v>0</v>
      </c>
      <c r="L197" s="92" t="b">
        <v>0</v>
      </c>
    </row>
    <row r="198" spans="1:12" ht="15">
      <c r="A198" s="93" t="s">
        <v>1059</v>
      </c>
      <c r="B198" s="92" t="s">
        <v>1060</v>
      </c>
      <c r="C198" s="92">
        <v>2</v>
      </c>
      <c r="D198" s="125">
        <v>0.0025759113820322853</v>
      </c>
      <c r="E198" s="125">
        <v>2.7501225267834</v>
      </c>
      <c r="F198" s="92" t="s">
        <v>1137</v>
      </c>
      <c r="G198" s="92" t="b">
        <v>0</v>
      </c>
      <c r="H198" s="92" t="b">
        <v>0</v>
      </c>
      <c r="I198" s="92" t="b">
        <v>0</v>
      </c>
      <c r="J198" s="92" t="b">
        <v>0</v>
      </c>
      <c r="K198" s="92" t="b">
        <v>0</v>
      </c>
      <c r="L198" s="92" t="b">
        <v>0</v>
      </c>
    </row>
    <row r="199" spans="1:12" ht="15">
      <c r="A199" s="93" t="s">
        <v>1060</v>
      </c>
      <c r="B199" s="92" t="s">
        <v>1061</v>
      </c>
      <c r="C199" s="92">
        <v>2</v>
      </c>
      <c r="D199" s="125">
        <v>0.0025759113820322853</v>
      </c>
      <c r="E199" s="125">
        <v>2.7501225267834</v>
      </c>
      <c r="F199" s="92" t="s">
        <v>1137</v>
      </c>
      <c r="G199" s="92" t="b">
        <v>0</v>
      </c>
      <c r="H199" s="92" t="b">
        <v>0</v>
      </c>
      <c r="I199" s="92" t="b">
        <v>0</v>
      </c>
      <c r="J199" s="92" t="b">
        <v>0</v>
      </c>
      <c r="K199" s="92" t="b">
        <v>0</v>
      </c>
      <c r="L199" s="92" t="b">
        <v>0</v>
      </c>
    </row>
    <row r="200" spans="1:12" ht="15">
      <c r="A200" s="93" t="s">
        <v>1061</v>
      </c>
      <c r="B200" s="92" t="s">
        <v>1062</v>
      </c>
      <c r="C200" s="92">
        <v>2</v>
      </c>
      <c r="D200" s="125">
        <v>0.0025759113820322853</v>
      </c>
      <c r="E200" s="125">
        <v>2.7501225267834</v>
      </c>
      <c r="F200" s="92" t="s">
        <v>1137</v>
      </c>
      <c r="G200" s="92" t="b">
        <v>0</v>
      </c>
      <c r="H200" s="92" t="b">
        <v>0</v>
      </c>
      <c r="I200" s="92" t="b">
        <v>0</v>
      </c>
      <c r="J200" s="92" t="b">
        <v>0</v>
      </c>
      <c r="K200" s="92" t="b">
        <v>0</v>
      </c>
      <c r="L200" s="92" t="b">
        <v>0</v>
      </c>
    </row>
    <row r="201" spans="1:12" ht="15">
      <c r="A201" s="93" t="s">
        <v>1062</v>
      </c>
      <c r="B201" s="92" t="s">
        <v>701</v>
      </c>
      <c r="C201" s="92">
        <v>2</v>
      </c>
      <c r="D201" s="125">
        <v>0.0025759113820322853</v>
      </c>
      <c r="E201" s="125">
        <v>1.212303431710126</v>
      </c>
      <c r="F201" s="92" t="s">
        <v>1137</v>
      </c>
      <c r="G201" s="92" t="b">
        <v>0</v>
      </c>
      <c r="H201" s="92" t="b">
        <v>0</v>
      </c>
      <c r="I201" s="92" t="b">
        <v>0</v>
      </c>
      <c r="J201" s="92" t="b">
        <v>0</v>
      </c>
      <c r="K201" s="92" t="b">
        <v>0</v>
      </c>
      <c r="L201" s="92" t="b">
        <v>0</v>
      </c>
    </row>
    <row r="202" spans="1:12" ht="15">
      <c r="A202" s="93" t="s">
        <v>718</v>
      </c>
      <c r="B202" s="92" t="s">
        <v>719</v>
      </c>
      <c r="C202" s="92">
        <v>2</v>
      </c>
      <c r="D202" s="125">
        <v>0.0025759113820322853</v>
      </c>
      <c r="E202" s="125">
        <v>2.7501225267834</v>
      </c>
      <c r="F202" s="92" t="s">
        <v>1137</v>
      </c>
      <c r="G202" s="92" t="b">
        <v>1</v>
      </c>
      <c r="H202" s="92" t="b">
        <v>0</v>
      </c>
      <c r="I202" s="92" t="b">
        <v>0</v>
      </c>
      <c r="J202" s="92" t="b">
        <v>0</v>
      </c>
      <c r="K202" s="92" t="b">
        <v>0</v>
      </c>
      <c r="L202" s="92" t="b">
        <v>0</v>
      </c>
    </row>
    <row r="203" spans="1:12" ht="15">
      <c r="A203" s="93" t="s">
        <v>719</v>
      </c>
      <c r="B203" s="92" t="s">
        <v>720</v>
      </c>
      <c r="C203" s="92">
        <v>2</v>
      </c>
      <c r="D203" s="125">
        <v>0.0025759113820322853</v>
      </c>
      <c r="E203" s="125">
        <v>2.7501225267834</v>
      </c>
      <c r="F203" s="92" t="s">
        <v>1137</v>
      </c>
      <c r="G203" s="92" t="b">
        <v>0</v>
      </c>
      <c r="H203" s="92" t="b">
        <v>0</v>
      </c>
      <c r="I203" s="92" t="b">
        <v>0</v>
      </c>
      <c r="J203" s="92" t="b">
        <v>0</v>
      </c>
      <c r="K203" s="92" t="b">
        <v>0</v>
      </c>
      <c r="L203" s="92" t="b">
        <v>0</v>
      </c>
    </row>
    <row r="204" spans="1:12" ht="15">
      <c r="A204" s="93" t="s">
        <v>720</v>
      </c>
      <c r="B204" s="92" t="s">
        <v>703</v>
      </c>
      <c r="C204" s="92">
        <v>2</v>
      </c>
      <c r="D204" s="125">
        <v>0.0025759113820322853</v>
      </c>
      <c r="E204" s="125">
        <v>1.7723989214945524</v>
      </c>
      <c r="F204" s="92" t="s">
        <v>1137</v>
      </c>
      <c r="G204" s="92" t="b">
        <v>0</v>
      </c>
      <c r="H204" s="92" t="b">
        <v>0</v>
      </c>
      <c r="I204" s="92" t="b">
        <v>0</v>
      </c>
      <c r="J204" s="92" t="b">
        <v>0</v>
      </c>
      <c r="K204" s="92" t="b">
        <v>0</v>
      </c>
      <c r="L204" s="92" t="b">
        <v>0</v>
      </c>
    </row>
    <row r="205" spans="1:12" ht="15">
      <c r="A205" s="93" t="s">
        <v>704</v>
      </c>
      <c r="B205" s="92" t="s">
        <v>978</v>
      </c>
      <c r="C205" s="92">
        <v>2</v>
      </c>
      <c r="D205" s="125">
        <v>0.0025759113820322853</v>
      </c>
      <c r="E205" s="125">
        <v>1.6989700043360187</v>
      </c>
      <c r="F205" s="92" t="s">
        <v>1137</v>
      </c>
      <c r="G205" s="92" t="b">
        <v>0</v>
      </c>
      <c r="H205" s="92" t="b">
        <v>0</v>
      </c>
      <c r="I205" s="92" t="b">
        <v>0</v>
      </c>
      <c r="J205" s="92" t="b">
        <v>0</v>
      </c>
      <c r="K205" s="92" t="b">
        <v>0</v>
      </c>
      <c r="L205" s="92" t="b">
        <v>0</v>
      </c>
    </row>
    <row r="206" spans="1:12" ht="15">
      <c r="A206" s="93" t="s">
        <v>978</v>
      </c>
      <c r="B206" s="92" t="s">
        <v>716</v>
      </c>
      <c r="C206" s="92">
        <v>2</v>
      </c>
      <c r="D206" s="125">
        <v>0.0025759113820322853</v>
      </c>
      <c r="E206" s="125">
        <v>2.029963223377443</v>
      </c>
      <c r="F206" s="92" t="s">
        <v>1137</v>
      </c>
      <c r="G206" s="92" t="b">
        <v>0</v>
      </c>
      <c r="H206" s="92" t="b">
        <v>0</v>
      </c>
      <c r="I206" s="92" t="b">
        <v>0</v>
      </c>
      <c r="J206" s="92" t="b">
        <v>0</v>
      </c>
      <c r="K206" s="92" t="b">
        <v>0</v>
      </c>
      <c r="L206" s="92" t="b">
        <v>0</v>
      </c>
    </row>
    <row r="207" spans="1:12" ht="15">
      <c r="A207" s="93" t="s">
        <v>716</v>
      </c>
      <c r="B207" s="92" t="s">
        <v>897</v>
      </c>
      <c r="C207" s="92">
        <v>2</v>
      </c>
      <c r="D207" s="125">
        <v>0.0025759113820322853</v>
      </c>
      <c r="E207" s="125">
        <v>1.7289332277134621</v>
      </c>
      <c r="F207" s="92" t="s">
        <v>1137</v>
      </c>
      <c r="G207" s="92" t="b">
        <v>0</v>
      </c>
      <c r="H207" s="92" t="b">
        <v>0</v>
      </c>
      <c r="I207" s="92" t="b">
        <v>0</v>
      </c>
      <c r="J207" s="92" t="b">
        <v>0</v>
      </c>
      <c r="K207" s="92" t="b">
        <v>0</v>
      </c>
      <c r="L207" s="92" t="b">
        <v>0</v>
      </c>
    </row>
    <row r="208" spans="1:12" ht="15">
      <c r="A208" s="93" t="s">
        <v>898</v>
      </c>
      <c r="B208" s="92" t="s">
        <v>946</v>
      </c>
      <c r="C208" s="92">
        <v>2</v>
      </c>
      <c r="D208" s="125">
        <v>0.0025759113820322853</v>
      </c>
      <c r="E208" s="125">
        <v>1.9719712763997566</v>
      </c>
      <c r="F208" s="92" t="s">
        <v>1137</v>
      </c>
      <c r="G208" s="92" t="b">
        <v>1</v>
      </c>
      <c r="H208" s="92" t="b">
        <v>0</v>
      </c>
      <c r="I208" s="92" t="b">
        <v>0</v>
      </c>
      <c r="J208" s="92" t="b">
        <v>1</v>
      </c>
      <c r="K208" s="92" t="b">
        <v>0</v>
      </c>
      <c r="L208" s="92" t="b">
        <v>0</v>
      </c>
    </row>
    <row r="209" spans="1:12" ht="15">
      <c r="A209" s="93" t="s">
        <v>946</v>
      </c>
      <c r="B209" s="92" t="s">
        <v>899</v>
      </c>
      <c r="C209" s="92">
        <v>2</v>
      </c>
      <c r="D209" s="125">
        <v>0.0025759113820322853</v>
      </c>
      <c r="E209" s="125">
        <v>1.9719712763997566</v>
      </c>
      <c r="F209" s="92" t="s">
        <v>1137</v>
      </c>
      <c r="G209" s="92" t="b">
        <v>1</v>
      </c>
      <c r="H209" s="92" t="b">
        <v>0</v>
      </c>
      <c r="I209" s="92" t="b">
        <v>0</v>
      </c>
      <c r="J209" s="92" t="b">
        <v>0</v>
      </c>
      <c r="K209" s="92" t="b">
        <v>0</v>
      </c>
      <c r="L209" s="92" t="b">
        <v>0</v>
      </c>
    </row>
    <row r="210" spans="1:12" ht="15">
      <c r="A210" s="93" t="s">
        <v>900</v>
      </c>
      <c r="B210" s="92" t="s">
        <v>1063</v>
      </c>
      <c r="C210" s="92">
        <v>2</v>
      </c>
      <c r="D210" s="125">
        <v>0.0025759113820322853</v>
      </c>
      <c r="E210" s="125">
        <v>2.2730012720637376</v>
      </c>
      <c r="F210" s="92" t="s">
        <v>1137</v>
      </c>
      <c r="G210" s="92" t="b">
        <v>0</v>
      </c>
      <c r="H210" s="92" t="b">
        <v>0</v>
      </c>
      <c r="I210" s="92" t="b">
        <v>0</v>
      </c>
      <c r="J210" s="92" t="b">
        <v>0</v>
      </c>
      <c r="K210" s="92" t="b">
        <v>0</v>
      </c>
      <c r="L210" s="92" t="b">
        <v>0</v>
      </c>
    </row>
    <row r="211" spans="1:12" ht="15">
      <c r="A211" s="93" t="s">
        <v>1063</v>
      </c>
      <c r="B211" s="92" t="s">
        <v>979</v>
      </c>
      <c r="C211" s="92">
        <v>2</v>
      </c>
      <c r="D211" s="125">
        <v>0.0025759113820322853</v>
      </c>
      <c r="E211" s="125">
        <v>2.574031267727719</v>
      </c>
      <c r="F211" s="92" t="s">
        <v>1137</v>
      </c>
      <c r="G211" s="92" t="b">
        <v>0</v>
      </c>
      <c r="H211" s="92" t="b">
        <v>0</v>
      </c>
      <c r="I211" s="92" t="b">
        <v>0</v>
      </c>
      <c r="J211" s="92" t="b">
        <v>0</v>
      </c>
      <c r="K211" s="92" t="b">
        <v>0</v>
      </c>
      <c r="L211" s="92" t="b">
        <v>0</v>
      </c>
    </row>
    <row r="212" spans="1:12" ht="15">
      <c r="A212" s="93" t="s">
        <v>980</v>
      </c>
      <c r="B212" s="92" t="s">
        <v>1064</v>
      </c>
      <c r="C212" s="92">
        <v>2</v>
      </c>
      <c r="D212" s="125">
        <v>0.0025759113820322853</v>
      </c>
      <c r="E212" s="125">
        <v>2.574031267727719</v>
      </c>
      <c r="F212" s="92" t="s">
        <v>1137</v>
      </c>
      <c r="G212" s="92" t="b">
        <v>0</v>
      </c>
      <c r="H212" s="92" t="b">
        <v>0</v>
      </c>
      <c r="I212" s="92" t="b">
        <v>0</v>
      </c>
      <c r="J212" s="92" t="b">
        <v>0</v>
      </c>
      <c r="K212" s="92" t="b">
        <v>0</v>
      </c>
      <c r="L212" s="92" t="b">
        <v>0</v>
      </c>
    </row>
    <row r="213" spans="1:12" ht="15">
      <c r="A213" s="93" t="s">
        <v>1064</v>
      </c>
      <c r="B213" s="92" t="s">
        <v>929</v>
      </c>
      <c r="C213" s="92">
        <v>2</v>
      </c>
      <c r="D213" s="125">
        <v>0.0025759113820322853</v>
      </c>
      <c r="E213" s="125">
        <v>2.449092531119419</v>
      </c>
      <c r="F213" s="92" t="s">
        <v>1137</v>
      </c>
      <c r="G213" s="92" t="b">
        <v>0</v>
      </c>
      <c r="H213" s="92" t="b">
        <v>0</v>
      </c>
      <c r="I213" s="92" t="b">
        <v>0</v>
      </c>
      <c r="J213" s="92" t="b">
        <v>0</v>
      </c>
      <c r="K213" s="92" t="b">
        <v>0</v>
      </c>
      <c r="L213" s="92" t="b">
        <v>0</v>
      </c>
    </row>
    <row r="214" spans="1:12" ht="15">
      <c r="A214" s="93" t="s">
        <v>929</v>
      </c>
      <c r="B214" s="92" t="s">
        <v>701</v>
      </c>
      <c r="C214" s="92">
        <v>2</v>
      </c>
      <c r="D214" s="125">
        <v>0.0025759113820322853</v>
      </c>
      <c r="E214" s="125">
        <v>0.9112734360461447</v>
      </c>
      <c r="F214" s="92" t="s">
        <v>1137</v>
      </c>
      <c r="G214" s="92" t="b">
        <v>0</v>
      </c>
      <c r="H214" s="92" t="b">
        <v>0</v>
      </c>
      <c r="I214" s="92" t="b">
        <v>0</v>
      </c>
      <c r="J214" s="92" t="b">
        <v>0</v>
      </c>
      <c r="K214" s="92" t="b">
        <v>0</v>
      </c>
      <c r="L214" s="92" t="b">
        <v>0</v>
      </c>
    </row>
    <row r="215" spans="1:12" ht="15">
      <c r="A215" s="93" t="s">
        <v>701</v>
      </c>
      <c r="B215" s="92" t="s">
        <v>947</v>
      </c>
      <c r="C215" s="92">
        <v>2</v>
      </c>
      <c r="D215" s="125">
        <v>0.0025759113820322853</v>
      </c>
      <c r="E215" s="125">
        <v>1.708729841625175</v>
      </c>
      <c r="F215" s="92" t="s">
        <v>1137</v>
      </c>
      <c r="G215" s="92" t="b">
        <v>0</v>
      </c>
      <c r="H215" s="92" t="b">
        <v>0</v>
      </c>
      <c r="I215" s="92" t="b">
        <v>0</v>
      </c>
      <c r="J215" s="92" t="b">
        <v>0</v>
      </c>
      <c r="K215" s="92" t="b">
        <v>0</v>
      </c>
      <c r="L215" s="92" t="b">
        <v>0</v>
      </c>
    </row>
    <row r="216" spans="1:12" ht="15">
      <c r="A216" s="93" t="s">
        <v>947</v>
      </c>
      <c r="B216" s="92" t="s">
        <v>1065</v>
      </c>
      <c r="C216" s="92">
        <v>2</v>
      </c>
      <c r="D216" s="125">
        <v>0.0025759113820322853</v>
      </c>
      <c r="E216" s="125">
        <v>2.449092531119419</v>
      </c>
      <c r="F216" s="92" t="s">
        <v>1137</v>
      </c>
      <c r="G216" s="92" t="b">
        <v>0</v>
      </c>
      <c r="H216" s="92" t="b">
        <v>0</v>
      </c>
      <c r="I216" s="92" t="b">
        <v>0</v>
      </c>
      <c r="J216" s="92" t="b">
        <v>0</v>
      </c>
      <c r="K216" s="92" t="b">
        <v>0</v>
      </c>
      <c r="L216" s="92" t="b">
        <v>0</v>
      </c>
    </row>
    <row r="217" spans="1:12" ht="15">
      <c r="A217" s="93" t="s">
        <v>1066</v>
      </c>
      <c r="B217" s="92" t="s">
        <v>1067</v>
      </c>
      <c r="C217" s="92">
        <v>2</v>
      </c>
      <c r="D217" s="125">
        <v>0.0025759113820322853</v>
      </c>
      <c r="E217" s="125">
        <v>2.7501225267834</v>
      </c>
      <c r="F217" s="92" t="s">
        <v>1137</v>
      </c>
      <c r="G217" s="92" t="b">
        <v>0</v>
      </c>
      <c r="H217" s="92" t="b">
        <v>0</v>
      </c>
      <c r="I217" s="92" t="b">
        <v>0</v>
      </c>
      <c r="J217" s="92" t="b">
        <v>0</v>
      </c>
      <c r="K217" s="92" t="b">
        <v>0</v>
      </c>
      <c r="L217" s="92" t="b">
        <v>0</v>
      </c>
    </row>
    <row r="218" spans="1:12" ht="15">
      <c r="A218" s="93" t="s">
        <v>1067</v>
      </c>
      <c r="B218" s="92" t="s">
        <v>705</v>
      </c>
      <c r="C218" s="92">
        <v>2</v>
      </c>
      <c r="D218" s="125">
        <v>0.0025759113820322853</v>
      </c>
      <c r="E218" s="125">
        <v>1.9372091701405445</v>
      </c>
      <c r="F218" s="92" t="s">
        <v>1137</v>
      </c>
      <c r="G218" s="92" t="b">
        <v>0</v>
      </c>
      <c r="H218" s="92" t="b">
        <v>0</v>
      </c>
      <c r="I218" s="92" t="b">
        <v>0</v>
      </c>
      <c r="J218" s="92" t="b">
        <v>1</v>
      </c>
      <c r="K218" s="92" t="b">
        <v>0</v>
      </c>
      <c r="L218" s="92" t="b">
        <v>0</v>
      </c>
    </row>
    <row r="219" spans="1:12" ht="15">
      <c r="A219" s="93" t="s">
        <v>705</v>
      </c>
      <c r="B219" s="92" t="s">
        <v>1068</v>
      </c>
      <c r="C219" s="92">
        <v>2</v>
      </c>
      <c r="D219" s="125">
        <v>0.0025759113820322853</v>
      </c>
      <c r="E219" s="125">
        <v>1.9372091701405445</v>
      </c>
      <c r="F219" s="92" t="s">
        <v>1137</v>
      </c>
      <c r="G219" s="92" t="b">
        <v>1</v>
      </c>
      <c r="H219" s="92" t="b">
        <v>0</v>
      </c>
      <c r="I219" s="92" t="b">
        <v>0</v>
      </c>
      <c r="J219" s="92" t="b">
        <v>0</v>
      </c>
      <c r="K219" s="92" t="b">
        <v>0</v>
      </c>
      <c r="L219" s="92" t="b">
        <v>0</v>
      </c>
    </row>
    <row r="220" spans="1:12" ht="15">
      <c r="A220" s="93" t="s">
        <v>1068</v>
      </c>
      <c r="B220" s="92" t="s">
        <v>1069</v>
      </c>
      <c r="C220" s="92">
        <v>2</v>
      </c>
      <c r="D220" s="125">
        <v>0.0025759113820322853</v>
      </c>
      <c r="E220" s="125">
        <v>2.7501225267834</v>
      </c>
      <c r="F220" s="92" t="s">
        <v>1137</v>
      </c>
      <c r="G220" s="92" t="b">
        <v>0</v>
      </c>
      <c r="H220" s="92" t="b">
        <v>0</v>
      </c>
      <c r="I220" s="92" t="b">
        <v>0</v>
      </c>
      <c r="J220" s="92" t="b">
        <v>0</v>
      </c>
      <c r="K220" s="92" t="b">
        <v>0</v>
      </c>
      <c r="L220" s="92" t="b">
        <v>0</v>
      </c>
    </row>
    <row r="221" spans="1:12" ht="15">
      <c r="A221" s="93" t="s">
        <v>1069</v>
      </c>
      <c r="B221" s="92" t="s">
        <v>1070</v>
      </c>
      <c r="C221" s="92">
        <v>2</v>
      </c>
      <c r="D221" s="125">
        <v>0.0025759113820322853</v>
      </c>
      <c r="E221" s="125">
        <v>2.7501225267834</v>
      </c>
      <c r="F221" s="92" t="s">
        <v>1137</v>
      </c>
      <c r="G221" s="92" t="b">
        <v>0</v>
      </c>
      <c r="H221" s="92" t="b">
        <v>0</v>
      </c>
      <c r="I221" s="92" t="b">
        <v>0</v>
      </c>
      <c r="J221" s="92" t="b">
        <v>0</v>
      </c>
      <c r="K221" s="92" t="b">
        <v>0</v>
      </c>
      <c r="L221" s="92" t="b">
        <v>0</v>
      </c>
    </row>
    <row r="222" spans="1:12" ht="15">
      <c r="A222" s="93" t="s">
        <v>1070</v>
      </c>
      <c r="B222" s="92" t="s">
        <v>702</v>
      </c>
      <c r="C222" s="92">
        <v>2</v>
      </c>
      <c r="D222" s="125">
        <v>0.0025759113820322853</v>
      </c>
      <c r="E222" s="125">
        <v>1.728933227713462</v>
      </c>
      <c r="F222" s="92" t="s">
        <v>1137</v>
      </c>
      <c r="G222" s="92" t="b">
        <v>0</v>
      </c>
      <c r="H222" s="92" t="b">
        <v>0</v>
      </c>
      <c r="I222" s="92" t="b">
        <v>0</v>
      </c>
      <c r="J222" s="92" t="b">
        <v>0</v>
      </c>
      <c r="K222" s="92" t="b">
        <v>0</v>
      </c>
      <c r="L222" s="92" t="b">
        <v>0</v>
      </c>
    </row>
    <row r="223" spans="1:12" ht="15">
      <c r="A223" s="93" t="s">
        <v>702</v>
      </c>
      <c r="B223" s="92" t="s">
        <v>914</v>
      </c>
      <c r="C223" s="92">
        <v>2</v>
      </c>
      <c r="D223" s="125">
        <v>0.0025759113820322853</v>
      </c>
      <c r="E223" s="125">
        <v>1.3309932190414244</v>
      </c>
      <c r="F223" s="92" t="s">
        <v>1137</v>
      </c>
      <c r="G223" s="92" t="b">
        <v>0</v>
      </c>
      <c r="H223" s="92" t="b">
        <v>0</v>
      </c>
      <c r="I223" s="92" t="b">
        <v>0</v>
      </c>
      <c r="J223" s="92" t="b">
        <v>0</v>
      </c>
      <c r="K223" s="92" t="b">
        <v>0</v>
      </c>
      <c r="L223" s="92" t="b">
        <v>0</v>
      </c>
    </row>
    <row r="224" spans="1:12" ht="15">
      <c r="A224" s="93" t="s">
        <v>914</v>
      </c>
      <c r="B224" s="92" t="s">
        <v>1071</v>
      </c>
      <c r="C224" s="92">
        <v>2</v>
      </c>
      <c r="D224" s="125">
        <v>0.0025759113820322853</v>
      </c>
      <c r="E224" s="125">
        <v>2.3521825181113627</v>
      </c>
      <c r="F224" s="92" t="s">
        <v>1137</v>
      </c>
      <c r="G224" s="92" t="b">
        <v>0</v>
      </c>
      <c r="H224" s="92" t="b">
        <v>0</v>
      </c>
      <c r="I224" s="92" t="b">
        <v>0</v>
      </c>
      <c r="J224" s="92" t="b">
        <v>0</v>
      </c>
      <c r="K224" s="92" t="b">
        <v>0</v>
      </c>
      <c r="L224" s="92" t="b">
        <v>0</v>
      </c>
    </row>
    <row r="225" spans="1:12" ht="15">
      <c r="A225" s="93" t="s">
        <v>1071</v>
      </c>
      <c r="B225" s="92" t="s">
        <v>1072</v>
      </c>
      <c r="C225" s="92">
        <v>2</v>
      </c>
      <c r="D225" s="125">
        <v>0.0025759113820322853</v>
      </c>
      <c r="E225" s="125">
        <v>2.7501225267834</v>
      </c>
      <c r="F225" s="92" t="s">
        <v>1137</v>
      </c>
      <c r="G225" s="92" t="b">
        <v>0</v>
      </c>
      <c r="H225" s="92" t="b">
        <v>0</v>
      </c>
      <c r="I225" s="92" t="b">
        <v>0</v>
      </c>
      <c r="J225" s="92" t="b">
        <v>0</v>
      </c>
      <c r="K225" s="92" t="b">
        <v>1</v>
      </c>
      <c r="L225" s="92" t="b">
        <v>0</v>
      </c>
    </row>
    <row r="226" spans="1:12" ht="15">
      <c r="A226" s="93" t="s">
        <v>1072</v>
      </c>
      <c r="B226" s="92" t="s">
        <v>1073</v>
      </c>
      <c r="C226" s="92">
        <v>2</v>
      </c>
      <c r="D226" s="125">
        <v>0.0025759113820322853</v>
      </c>
      <c r="E226" s="125">
        <v>2.7501225267834</v>
      </c>
      <c r="F226" s="92" t="s">
        <v>1137</v>
      </c>
      <c r="G226" s="92" t="b">
        <v>0</v>
      </c>
      <c r="H226" s="92" t="b">
        <v>1</v>
      </c>
      <c r="I226" s="92" t="b">
        <v>0</v>
      </c>
      <c r="J226" s="92" t="b">
        <v>0</v>
      </c>
      <c r="K226" s="92" t="b">
        <v>0</v>
      </c>
      <c r="L226" s="92" t="b">
        <v>0</v>
      </c>
    </row>
    <row r="227" spans="1:12" ht="15">
      <c r="A227" s="93" t="s">
        <v>1073</v>
      </c>
      <c r="B227" s="92" t="s">
        <v>1074</v>
      </c>
      <c r="C227" s="92">
        <v>2</v>
      </c>
      <c r="D227" s="125">
        <v>0.0025759113820322853</v>
      </c>
      <c r="E227" s="125">
        <v>2.7501225267834</v>
      </c>
      <c r="F227" s="92" t="s">
        <v>1137</v>
      </c>
      <c r="G227" s="92" t="b">
        <v>0</v>
      </c>
      <c r="H227" s="92" t="b">
        <v>0</v>
      </c>
      <c r="I227" s="92" t="b">
        <v>0</v>
      </c>
      <c r="J227" s="92" t="b">
        <v>0</v>
      </c>
      <c r="K227" s="92" t="b">
        <v>0</v>
      </c>
      <c r="L227" s="92" t="b">
        <v>0</v>
      </c>
    </row>
    <row r="228" spans="1:12" ht="15">
      <c r="A228" s="93" t="s">
        <v>1074</v>
      </c>
      <c r="B228" s="92" t="s">
        <v>1075</v>
      </c>
      <c r="C228" s="92">
        <v>2</v>
      </c>
      <c r="D228" s="125">
        <v>0.0025759113820322853</v>
      </c>
      <c r="E228" s="125">
        <v>2.7501225267834</v>
      </c>
      <c r="F228" s="92" t="s">
        <v>1137</v>
      </c>
      <c r="G228" s="92" t="b">
        <v>0</v>
      </c>
      <c r="H228" s="92" t="b">
        <v>0</v>
      </c>
      <c r="I228" s="92" t="b">
        <v>0</v>
      </c>
      <c r="J228" s="92" t="b">
        <v>0</v>
      </c>
      <c r="K228" s="92" t="b">
        <v>0</v>
      </c>
      <c r="L228" s="92" t="b">
        <v>0</v>
      </c>
    </row>
    <row r="229" spans="1:12" ht="15">
      <c r="A229" s="93" t="s">
        <v>1075</v>
      </c>
      <c r="B229" s="92" t="s">
        <v>1076</v>
      </c>
      <c r="C229" s="92">
        <v>2</v>
      </c>
      <c r="D229" s="125">
        <v>0.0025759113820322853</v>
      </c>
      <c r="E229" s="125">
        <v>2.7501225267834</v>
      </c>
      <c r="F229" s="92" t="s">
        <v>1137</v>
      </c>
      <c r="G229" s="92" t="b">
        <v>0</v>
      </c>
      <c r="H229" s="92" t="b">
        <v>0</v>
      </c>
      <c r="I229" s="92" t="b">
        <v>0</v>
      </c>
      <c r="J229" s="92" t="b">
        <v>0</v>
      </c>
      <c r="K229" s="92" t="b">
        <v>0</v>
      </c>
      <c r="L229" s="92" t="b">
        <v>0</v>
      </c>
    </row>
    <row r="230" spans="1:12" ht="15">
      <c r="A230" s="93" t="s">
        <v>1076</v>
      </c>
      <c r="B230" s="92" t="s">
        <v>1077</v>
      </c>
      <c r="C230" s="92">
        <v>2</v>
      </c>
      <c r="D230" s="125">
        <v>0.0025759113820322853</v>
      </c>
      <c r="E230" s="125">
        <v>2.7501225267834</v>
      </c>
      <c r="F230" s="92" t="s">
        <v>1137</v>
      </c>
      <c r="G230" s="92" t="b">
        <v>0</v>
      </c>
      <c r="H230" s="92" t="b">
        <v>0</v>
      </c>
      <c r="I230" s="92" t="b">
        <v>0</v>
      </c>
      <c r="J230" s="92" t="b">
        <v>0</v>
      </c>
      <c r="K230" s="92" t="b">
        <v>0</v>
      </c>
      <c r="L230" s="92" t="b">
        <v>0</v>
      </c>
    </row>
    <row r="231" spans="1:12" ht="15">
      <c r="A231" s="93" t="s">
        <v>1077</v>
      </c>
      <c r="B231" s="92" t="s">
        <v>701</v>
      </c>
      <c r="C231" s="92">
        <v>2</v>
      </c>
      <c r="D231" s="125">
        <v>0.0025759113820322853</v>
      </c>
      <c r="E231" s="125">
        <v>1.212303431710126</v>
      </c>
      <c r="F231" s="92" t="s">
        <v>1137</v>
      </c>
      <c r="G231" s="92" t="b">
        <v>0</v>
      </c>
      <c r="H231" s="92" t="b">
        <v>0</v>
      </c>
      <c r="I231" s="92" t="b">
        <v>0</v>
      </c>
      <c r="J231" s="92" t="b">
        <v>0</v>
      </c>
      <c r="K231" s="92" t="b">
        <v>0</v>
      </c>
      <c r="L231" s="92" t="b">
        <v>0</v>
      </c>
    </row>
    <row r="232" spans="1:12" ht="15">
      <c r="A232" s="93" t="s">
        <v>701</v>
      </c>
      <c r="B232" s="92" t="s">
        <v>948</v>
      </c>
      <c r="C232" s="92">
        <v>2</v>
      </c>
      <c r="D232" s="125">
        <v>0.0025759113820322853</v>
      </c>
      <c r="E232" s="125">
        <v>1.708729841625175</v>
      </c>
      <c r="F232" s="92" t="s">
        <v>1137</v>
      </c>
      <c r="G232" s="92" t="b">
        <v>0</v>
      </c>
      <c r="H232" s="92" t="b">
        <v>0</v>
      </c>
      <c r="I232" s="92" t="b">
        <v>0</v>
      </c>
      <c r="J232" s="92" t="b">
        <v>0</v>
      </c>
      <c r="K232" s="92" t="b">
        <v>0</v>
      </c>
      <c r="L232" s="92" t="b">
        <v>0</v>
      </c>
    </row>
    <row r="233" spans="1:12" ht="15">
      <c r="A233" s="93" t="s">
        <v>708</v>
      </c>
      <c r="B233" s="92" t="s">
        <v>701</v>
      </c>
      <c r="C233" s="92">
        <v>2</v>
      </c>
      <c r="D233" s="125">
        <v>0.0025759113820322853</v>
      </c>
      <c r="E233" s="125">
        <v>0.4719407422158822</v>
      </c>
      <c r="F233" s="92" t="s">
        <v>1137</v>
      </c>
      <c r="G233" s="92" t="b">
        <v>1</v>
      </c>
      <c r="H233" s="92" t="b">
        <v>0</v>
      </c>
      <c r="I233" s="92" t="b">
        <v>0</v>
      </c>
      <c r="J233" s="92" t="b">
        <v>0</v>
      </c>
      <c r="K233" s="92" t="b">
        <v>0</v>
      </c>
      <c r="L233" s="92" t="b">
        <v>0</v>
      </c>
    </row>
    <row r="234" spans="1:12" ht="15">
      <c r="A234" s="93" t="s">
        <v>701</v>
      </c>
      <c r="B234" s="92" t="s">
        <v>1078</v>
      </c>
      <c r="C234" s="92">
        <v>2</v>
      </c>
      <c r="D234" s="125">
        <v>0.0025759113820322853</v>
      </c>
      <c r="E234" s="125">
        <v>2.009759837289156</v>
      </c>
      <c r="F234" s="92" t="s">
        <v>1137</v>
      </c>
      <c r="G234" s="92" t="b">
        <v>0</v>
      </c>
      <c r="H234" s="92" t="b">
        <v>0</v>
      </c>
      <c r="I234" s="92" t="b">
        <v>0</v>
      </c>
      <c r="J234" s="92" t="b">
        <v>0</v>
      </c>
      <c r="K234" s="92" t="b">
        <v>0</v>
      </c>
      <c r="L234" s="92" t="b">
        <v>0</v>
      </c>
    </row>
    <row r="235" spans="1:12" ht="15">
      <c r="A235" s="93" t="s">
        <v>1078</v>
      </c>
      <c r="B235" s="92" t="s">
        <v>1079</v>
      </c>
      <c r="C235" s="92">
        <v>2</v>
      </c>
      <c r="D235" s="125">
        <v>0.0025759113820322853</v>
      </c>
      <c r="E235" s="125">
        <v>2.7501225267834</v>
      </c>
      <c r="F235" s="92" t="s">
        <v>1137</v>
      </c>
      <c r="G235" s="92" t="b">
        <v>0</v>
      </c>
      <c r="H235" s="92" t="b">
        <v>0</v>
      </c>
      <c r="I235" s="92" t="b">
        <v>0</v>
      </c>
      <c r="J235" s="92" t="b">
        <v>0</v>
      </c>
      <c r="K235" s="92" t="b">
        <v>0</v>
      </c>
      <c r="L235" s="92" t="b">
        <v>0</v>
      </c>
    </row>
    <row r="236" spans="1:12" ht="15">
      <c r="A236" s="93" t="s">
        <v>1079</v>
      </c>
      <c r="B236" s="92" t="s">
        <v>981</v>
      </c>
      <c r="C236" s="92">
        <v>2</v>
      </c>
      <c r="D236" s="125">
        <v>0.0025759113820322853</v>
      </c>
      <c r="E236" s="125">
        <v>2.574031267727719</v>
      </c>
      <c r="F236" s="92" t="s">
        <v>1137</v>
      </c>
      <c r="G236" s="92" t="b">
        <v>0</v>
      </c>
      <c r="H236" s="92" t="b">
        <v>0</v>
      </c>
      <c r="I236" s="92" t="b">
        <v>0</v>
      </c>
      <c r="J236" s="92" t="b">
        <v>0</v>
      </c>
      <c r="K236" s="92" t="b">
        <v>0</v>
      </c>
      <c r="L236" s="92" t="b">
        <v>0</v>
      </c>
    </row>
    <row r="237" spans="1:12" ht="15">
      <c r="A237" s="93" t="s">
        <v>981</v>
      </c>
      <c r="B237" s="92" t="s">
        <v>1080</v>
      </c>
      <c r="C237" s="92">
        <v>2</v>
      </c>
      <c r="D237" s="125">
        <v>0.0025759113820322853</v>
      </c>
      <c r="E237" s="125">
        <v>2.574031267727719</v>
      </c>
      <c r="F237" s="92" t="s">
        <v>1137</v>
      </c>
      <c r="G237" s="92" t="b">
        <v>0</v>
      </c>
      <c r="H237" s="92" t="b">
        <v>0</v>
      </c>
      <c r="I237" s="92" t="b">
        <v>0</v>
      </c>
      <c r="J237" s="92" t="b">
        <v>0</v>
      </c>
      <c r="K237" s="92" t="b">
        <v>0</v>
      </c>
      <c r="L237" s="92" t="b">
        <v>0</v>
      </c>
    </row>
    <row r="238" spans="1:12" ht="15">
      <c r="A238" s="93" t="s">
        <v>1080</v>
      </c>
      <c r="B238" s="92" t="s">
        <v>1081</v>
      </c>
      <c r="C238" s="92">
        <v>2</v>
      </c>
      <c r="D238" s="125">
        <v>0.0025759113820322853</v>
      </c>
      <c r="E238" s="125">
        <v>2.7501225267834</v>
      </c>
      <c r="F238" s="92" t="s">
        <v>1137</v>
      </c>
      <c r="G238" s="92" t="b">
        <v>0</v>
      </c>
      <c r="H238" s="92" t="b">
        <v>0</v>
      </c>
      <c r="I238" s="92" t="b">
        <v>0</v>
      </c>
      <c r="J238" s="92" t="b">
        <v>0</v>
      </c>
      <c r="K238" s="92" t="b">
        <v>0</v>
      </c>
      <c r="L238" s="92" t="b">
        <v>0</v>
      </c>
    </row>
    <row r="239" spans="1:12" ht="15">
      <c r="A239" s="93" t="s">
        <v>1081</v>
      </c>
      <c r="B239" s="92" t="s">
        <v>725</v>
      </c>
      <c r="C239" s="92">
        <v>2</v>
      </c>
      <c r="D239" s="125">
        <v>0.0025759113820322853</v>
      </c>
      <c r="E239" s="125">
        <v>2.1480625354554377</v>
      </c>
      <c r="F239" s="92" t="s">
        <v>1137</v>
      </c>
      <c r="G239" s="92" t="b">
        <v>0</v>
      </c>
      <c r="H239" s="92" t="b">
        <v>0</v>
      </c>
      <c r="I239" s="92" t="b">
        <v>0</v>
      </c>
      <c r="J239" s="92" t="b">
        <v>0</v>
      </c>
      <c r="K239" s="92" t="b">
        <v>0</v>
      </c>
      <c r="L239" s="92" t="b">
        <v>0</v>
      </c>
    </row>
    <row r="240" spans="1:12" ht="15">
      <c r="A240" s="93" t="s">
        <v>725</v>
      </c>
      <c r="B240" s="92" t="s">
        <v>1082</v>
      </c>
      <c r="C240" s="92">
        <v>2</v>
      </c>
      <c r="D240" s="125">
        <v>0.0025759113820322853</v>
      </c>
      <c r="E240" s="125">
        <v>2.1480625354554377</v>
      </c>
      <c r="F240" s="92" t="s">
        <v>1137</v>
      </c>
      <c r="G240" s="92" t="b">
        <v>0</v>
      </c>
      <c r="H240" s="92" t="b">
        <v>0</v>
      </c>
      <c r="I240" s="92" t="b">
        <v>0</v>
      </c>
      <c r="J240" s="92" t="b">
        <v>0</v>
      </c>
      <c r="K240" s="92" t="b">
        <v>0</v>
      </c>
      <c r="L240" s="92" t="b">
        <v>0</v>
      </c>
    </row>
    <row r="241" spans="1:12" ht="15">
      <c r="A241" s="93" t="s">
        <v>1082</v>
      </c>
      <c r="B241" s="92" t="s">
        <v>982</v>
      </c>
      <c r="C241" s="92">
        <v>2</v>
      </c>
      <c r="D241" s="125">
        <v>0.0025759113820322853</v>
      </c>
      <c r="E241" s="125">
        <v>2.574031267727719</v>
      </c>
      <c r="F241" s="92" t="s">
        <v>1137</v>
      </c>
      <c r="G241" s="92" t="b">
        <v>0</v>
      </c>
      <c r="H241" s="92" t="b">
        <v>0</v>
      </c>
      <c r="I241" s="92" t="b">
        <v>0</v>
      </c>
      <c r="J241" s="92" t="b">
        <v>0</v>
      </c>
      <c r="K241" s="92" t="b">
        <v>0</v>
      </c>
      <c r="L241" s="92" t="b">
        <v>0</v>
      </c>
    </row>
    <row r="242" spans="1:12" ht="15">
      <c r="A242" s="93" t="s">
        <v>983</v>
      </c>
      <c r="B242" s="92" t="s">
        <v>1083</v>
      </c>
      <c r="C242" s="92">
        <v>2</v>
      </c>
      <c r="D242" s="125">
        <v>0.0025759113820322853</v>
      </c>
      <c r="E242" s="125">
        <v>2.574031267727719</v>
      </c>
      <c r="F242" s="92" t="s">
        <v>1137</v>
      </c>
      <c r="G242" s="92" t="b">
        <v>0</v>
      </c>
      <c r="H242" s="92" t="b">
        <v>1</v>
      </c>
      <c r="I242" s="92" t="b">
        <v>0</v>
      </c>
      <c r="J242" s="92" t="b">
        <v>0</v>
      </c>
      <c r="K242" s="92" t="b">
        <v>0</v>
      </c>
      <c r="L242" s="92" t="b">
        <v>0</v>
      </c>
    </row>
    <row r="243" spans="1:12" ht="15">
      <c r="A243" s="93" t="s">
        <v>1083</v>
      </c>
      <c r="B243" s="92" t="s">
        <v>1084</v>
      </c>
      <c r="C243" s="92">
        <v>2</v>
      </c>
      <c r="D243" s="125">
        <v>0.0025759113820322853</v>
      </c>
      <c r="E243" s="125">
        <v>2.7501225267834</v>
      </c>
      <c r="F243" s="92" t="s">
        <v>1137</v>
      </c>
      <c r="G243" s="92" t="b">
        <v>0</v>
      </c>
      <c r="H243" s="92" t="b">
        <v>0</v>
      </c>
      <c r="I243" s="92" t="b">
        <v>0</v>
      </c>
      <c r="J243" s="92" t="b">
        <v>0</v>
      </c>
      <c r="K243" s="92" t="b">
        <v>1</v>
      </c>
      <c r="L243" s="92" t="b">
        <v>0</v>
      </c>
    </row>
    <row r="244" spans="1:12" ht="15">
      <c r="A244" s="93" t="s">
        <v>1084</v>
      </c>
      <c r="B244" s="92" t="s">
        <v>952</v>
      </c>
      <c r="C244" s="92">
        <v>2</v>
      </c>
      <c r="D244" s="125">
        <v>0.0025759113820322853</v>
      </c>
      <c r="E244" s="125">
        <v>2.449092531119419</v>
      </c>
      <c r="F244" s="92" t="s">
        <v>1137</v>
      </c>
      <c r="G244" s="92" t="b">
        <v>0</v>
      </c>
      <c r="H244" s="92" t="b">
        <v>1</v>
      </c>
      <c r="I244" s="92" t="b">
        <v>0</v>
      </c>
      <c r="J244" s="92" t="b">
        <v>0</v>
      </c>
      <c r="K244" s="92" t="b">
        <v>1</v>
      </c>
      <c r="L244" s="92" t="b">
        <v>0</v>
      </c>
    </row>
    <row r="245" spans="1:12" ht="15">
      <c r="A245" s="93" t="s">
        <v>952</v>
      </c>
      <c r="B245" s="92" t="s">
        <v>1085</v>
      </c>
      <c r="C245" s="92">
        <v>2</v>
      </c>
      <c r="D245" s="125">
        <v>0.0025759113820322853</v>
      </c>
      <c r="E245" s="125">
        <v>2.449092531119419</v>
      </c>
      <c r="F245" s="92" t="s">
        <v>1137</v>
      </c>
      <c r="G245" s="92" t="b">
        <v>0</v>
      </c>
      <c r="H245" s="92" t="b">
        <v>1</v>
      </c>
      <c r="I245" s="92" t="b">
        <v>0</v>
      </c>
      <c r="J245" s="92" t="b">
        <v>0</v>
      </c>
      <c r="K245" s="92" t="b">
        <v>0</v>
      </c>
      <c r="L245" s="92" t="b">
        <v>0</v>
      </c>
    </row>
    <row r="246" spans="1:12" ht="15">
      <c r="A246" s="93" t="s">
        <v>1085</v>
      </c>
      <c r="B246" s="92" t="s">
        <v>921</v>
      </c>
      <c r="C246" s="92">
        <v>2</v>
      </c>
      <c r="D246" s="125">
        <v>0.0025759113820322853</v>
      </c>
      <c r="E246" s="125">
        <v>2.3521825181113627</v>
      </c>
      <c r="F246" s="92" t="s">
        <v>1137</v>
      </c>
      <c r="G246" s="92" t="b">
        <v>0</v>
      </c>
      <c r="H246" s="92" t="b">
        <v>0</v>
      </c>
      <c r="I246" s="92" t="b">
        <v>0</v>
      </c>
      <c r="J246" s="92" t="b">
        <v>0</v>
      </c>
      <c r="K246" s="92" t="b">
        <v>0</v>
      </c>
      <c r="L246" s="92" t="b">
        <v>0</v>
      </c>
    </row>
    <row r="247" spans="1:12" ht="15">
      <c r="A247" s="93" t="s">
        <v>921</v>
      </c>
      <c r="B247" s="92" t="s">
        <v>947</v>
      </c>
      <c r="C247" s="92">
        <v>2</v>
      </c>
      <c r="D247" s="125">
        <v>0.0025759113820322853</v>
      </c>
      <c r="E247" s="125">
        <v>2.0511525224473814</v>
      </c>
      <c r="F247" s="92" t="s">
        <v>1137</v>
      </c>
      <c r="G247" s="92" t="b">
        <v>0</v>
      </c>
      <c r="H247" s="92" t="b">
        <v>0</v>
      </c>
      <c r="I247" s="92" t="b">
        <v>0</v>
      </c>
      <c r="J247" s="92" t="b">
        <v>0</v>
      </c>
      <c r="K247" s="92" t="b">
        <v>0</v>
      </c>
      <c r="L247" s="92" t="b">
        <v>0</v>
      </c>
    </row>
    <row r="248" spans="1:12" ht="15">
      <c r="A248" s="93" t="s">
        <v>947</v>
      </c>
      <c r="B248" s="92" t="s">
        <v>1086</v>
      </c>
      <c r="C248" s="92">
        <v>2</v>
      </c>
      <c r="D248" s="125">
        <v>0.0025759113820322853</v>
      </c>
      <c r="E248" s="125">
        <v>2.449092531119419</v>
      </c>
      <c r="F248" s="92" t="s">
        <v>1137</v>
      </c>
      <c r="G248" s="92" t="b">
        <v>0</v>
      </c>
      <c r="H248" s="92" t="b">
        <v>0</v>
      </c>
      <c r="I248" s="92" t="b">
        <v>0</v>
      </c>
      <c r="J248" s="92" t="b">
        <v>0</v>
      </c>
      <c r="K248" s="92" t="b">
        <v>0</v>
      </c>
      <c r="L248" s="92" t="b">
        <v>0</v>
      </c>
    </row>
    <row r="249" spans="1:12" ht="15">
      <c r="A249" s="93" t="s">
        <v>1086</v>
      </c>
      <c r="B249" s="92" t="s">
        <v>1087</v>
      </c>
      <c r="C249" s="92">
        <v>2</v>
      </c>
      <c r="D249" s="125">
        <v>0.0025759113820322853</v>
      </c>
      <c r="E249" s="125">
        <v>2.7501225267834</v>
      </c>
      <c r="F249" s="92" t="s">
        <v>1137</v>
      </c>
      <c r="G249" s="92" t="b">
        <v>0</v>
      </c>
      <c r="H249" s="92" t="b">
        <v>0</v>
      </c>
      <c r="I249" s="92" t="b">
        <v>0</v>
      </c>
      <c r="J249" s="92" t="b">
        <v>0</v>
      </c>
      <c r="K249" s="92" t="b">
        <v>0</v>
      </c>
      <c r="L249" s="92" t="b">
        <v>0</v>
      </c>
    </row>
    <row r="250" spans="1:12" ht="15">
      <c r="A250" s="93" t="s">
        <v>1087</v>
      </c>
      <c r="B250" s="92" t="s">
        <v>921</v>
      </c>
      <c r="C250" s="92">
        <v>2</v>
      </c>
      <c r="D250" s="125">
        <v>0.0025759113820322853</v>
      </c>
      <c r="E250" s="125">
        <v>2.3521825181113627</v>
      </c>
      <c r="F250" s="92" t="s">
        <v>1137</v>
      </c>
      <c r="G250" s="92" t="b">
        <v>0</v>
      </c>
      <c r="H250" s="92" t="b">
        <v>0</v>
      </c>
      <c r="I250" s="92" t="b">
        <v>0</v>
      </c>
      <c r="J250" s="92" t="b">
        <v>0</v>
      </c>
      <c r="K250" s="92" t="b">
        <v>0</v>
      </c>
      <c r="L250" s="92" t="b">
        <v>0</v>
      </c>
    </row>
    <row r="251" spans="1:12" ht="15">
      <c r="A251" s="93" t="s">
        <v>921</v>
      </c>
      <c r="B251" s="92" t="s">
        <v>1088</v>
      </c>
      <c r="C251" s="92">
        <v>2</v>
      </c>
      <c r="D251" s="125">
        <v>0.0025759113820322853</v>
      </c>
      <c r="E251" s="125">
        <v>2.3521825181113627</v>
      </c>
      <c r="F251" s="92" t="s">
        <v>1137</v>
      </c>
      <c r="G251" s="92" t="b">
        <v>0</v>
      </c>
      <c r="H251" s="92" t="b">
        <v>0</v>
      </c>
      <c r="I251" s="92" t="b">
        <v>0</v>
      </c>
      <c r="J251" s="92" t="b">
        <v>0</v>
      </c>
      <c r="K251" s="92" t="b">
        <v>0</v>
      </c>
      <c r="L251" s="92" t="b">
        <v>0</v>
      </c>
    </row>
    <row r="252" spans="1:12" ht="15">
      <c r="A252" s="93" t="s">
        <v>1088</v>
      </c>
      <c r="B252" s="92" t="s">
        <v>948</v>
      </c>
      <c r="C252" s="92">
        <v>2</v>
      </c>
      <c r="D252" s="125">
        <v>0.0025759113820322853</v>
      </c>
      <c r="E252" s="125">
        <v>2.449092531119419</v>
      </c>
      <c r="F252" s="92" t="s">
        <v>1137</v>
      </c>
      <c r="G252" s="92" t="b">
        <v>0</v>
      </c>
      <c r="H252" s="92" t="b">
        <v>0</v>
      </c>
      <c r="I252" s="92" t="b">
        <v>0</v>
      </c>
      <c r="J252" s="92" t="b">
        <v>0</v>
      </c>
      <c r="K252" s="92" t="b">
        <v>0</v>
      </c>
      <c r="L252" s="92" t="b">
        <v>0</v>
      </c>
    </row>
    <row r="253" spans="1:12" ht="15">
      <c r="A253" s="93" t="s">
        <v>708</v>
      </c>
      <c r="B253" s="92" t="s">
        <v>1089</v>
      </c>
      <c r="C253" s="92">
        <v>2</v>
      </c>
      <c r="D253" s="125">
        <v>0.0025759113820322853</v>
      </c>
      <c r="E253" s="125">
        <v>2.009759837289156</v>
      </c>
      <c r="F253" s="92" t="s">
        <v>1137</v>
      </c>
      <c r="G253" s="92" t="b">
        <v>1</v>
      </c>
      <c r="H253" s="92" t="b">
        <v>0</v>
      </c>
      <c r="I253" s="92" t="b">
        <v>0</v>
      </c>
      <c r="J253" s="92" t="b">
        <v>0</v>
      </c>
      <c r="K253" s="92" t="b">
        <v>0</v>
      </c>
      <c r="L253" s="92" t="b">
        <v>0</v>
      </c>
    </row>
    <row r="254" spans="1:12" ht="15">
      <c r="A254" s="93" t="s">
        <v>1089</v>
      </c>
      <c r="B254" s="92" t="s">
        <v>709</v>
      </c>
      <c r="C254" s="92">
        <v>2</v>
      </c>
      <c r="D254" s="125">
        <v>0.0025759113820322853</v>
      </c>
      <c r="E254" s="125">
        <v>2.009759837289156</v>
      </c>
      <c r="F254" s="92" t="s">
        <v>1137</v>
      </c>
      <c r="G254" s="92" t="b">
        <v>0</v>
      </c>
      <c r="H254" s="92" t="b">
        <v>0</v>
      </c>
      <c r="I254" s="92" t="b">
        <v>0</v>
      </c>
      <c r="J254" s="92" t="b">
        <v>0</v>
      </c>
      <c r="K254" s="92" t="b">
        <v>0</v>
      </c>
      <c r="L254" s="92" t="b">
        <v>0</v>
      </c>
    </row>
    <row r="255" spans="1:12" ht="15">
      <c r="A255" s="93" t="s">
        <v>922</v>
      </c>
      <c r="B255" s="92" t="s">
        <v>923</v>
      </c>
      <c r="C255" s="92">
        <v>2</v>
      </c>
      <c r="D255" s="125">
        <v>0.0025759113820322853</v>
      </c>
      <c r="E255" s="125">
        <v>1.954242509439325</v>
      </c>
      <c r="F255" s="92" t="s">
        <v>1137</v>
      </c>
      <c r="G255" s="92" t="b">
        <v>0</v>
      </c>
      <c r="H255" s="92" t="b">
        <v>0</v>
      </c>
      <c r="I255" s="92" t="b">
        <v>0</v>
      </c>
      <c r="J255" s="92" t="b">
        <v>0</v>
      </c>
      <c r="K255" s="92" t="b">
        <v>0</v>
      </c>
      <c r="L255" s="92" t="b">
        <v>0</v>
      </c>
    </row>
    <row r="256" spans="1:12" ht="15">
      <c r="A256" s="93" t="s">
        <v>923</v>
      </c>
      <c r="B256" s="92" t="s">
        <v>1090</v>
      </c>
      <c r="C256" s="92">
        <v>2</v>
      </c>
      <c r="D256" s="125">
        <v>0.0025759113820322853</v>
      </c>
      <c r="E256" s="125">
        <v>2.3521825181113627</v>
      </c>
      <c r="F256" s="92" t="s">
        <v>1137</v>
      </c>
      <c r="G256" s="92" t="b">
        <v>0</v>
      </c>
      <c r="H256" s="92" t="b">
        <v>0</v>
      </c>
      <c r="I256" s="92" t="b">
        <v>0</v>
      </c>
      <c r="J256" s="92" t="b">
        <v>0</v>
      </c>
      <c r="K256" s="92" t="b">
        <v>0</v>
      </c>
      <c r="L256" s="92" t="b">
        <v>0</v>
      </c>
    </row>
    <row r="257" spans="1:12" ht="15">
      <c r="A257" s="93" t="s">
        <v>1090</v>
      </c>
      <c r="B257" s="92" t="s">
        <v>1091</v>
      </c>
      <c r="C257" s="92">
        <v>2</v>
      </c>
      <c r="D257" s="125">
        <v>0.0025759113820322853</v>
      </c>
      <c r="E257" s="125">
        <v>2.7501225267834</v>
      </c>
      <c r="F257" s="92" t="s">
        <v>1137</v>
      </c>
      <c r="G257" s="92" t="b">
        <v>0</v>
      </c>
      <c r="H257" s="92" t="b">
        <v>0</v>
      </c>
      <c r="I257" s="92" t="b">
        <v>0</v>
      </c>
      <c r="J257" s="92" t="b">
        <v>0</v>
      </c>
      <c r="K257" s="92" t="b">
        <v>0</v>
      </c>
      <c r="L257" s="92" t="b">
        <v>0</v>
      </c>
    </row>
    <row r="258" spans="1:12" ht="15">
      <c r="A258" s="93" t="s">
        <v>1091</v>
      </c>
      <c r="B258" s="92" t="s">
        <v>1092</v>
      </c>
      <c r="C258" s="92">
        <v>2</v>
      </c>
      <c r="D258" s="125">
        <v>0.0025759113820322853</v>
      </c>
      <c r="E258" s="125">
        <v>2.7501225267834</v>
      </c>
      <c r="F258" s="92" t="s">
        <v>1137</v>
      </c>
      <c r="G258" s="92" t="b">
        <v>0</v>
      </c>
      <c r="H258" s="92" t="b">
        <v>0</v>
      </c>
      <c r="I258" s="92" t="b">
        <v>0</v>
      </c>
      <c r="J258" s="92" t="b">
        <v>0</v>
      </c>
      <c r="K258" s="92" t="b">
        <v>0</v>
      </c>
      <c r="L258" s="92" t="b">
        <v>0</v>
      </c>
    </row>
    <row r="259" spans="1:12" ht="15">
      <c r="A259" s="93" t="s">
        <v>1092</v>
      </c>
      <c r="B259" s="92" t="s">
        <v>1093</v>
      </c>
      <c r="C259" s="92">
        <v>2</v>
      </c>
      <c r="D259" s="125">
        <v>0.0025759113820322853</v>
      </c>
      <c r="E259" s="125">
        <v>2.7501225267834</v>
      </c>
      <c r="F259" s="92" t="s">
        <v>1137</v>
      </c>
      <c r="G259" s="92" t="b">
        <v>0</v>
      </c>
      <c r="H259" s="92" t="b">
        <v>0</v>
      </c>
      <c r="I259" s="92" t="b">
        <v>0</v>
      </c>
      <c r="J259" s="92" t="b">
        <v>0</v>
      </c>
      <c r="K259" s="92" t="b">
        <v>0</v>
      </c>
      <c r="L259" s="92" t="b">
        <v>0</v>
      </c>
    </row>
    <row r="260" spans="1:12" ht="15">
      <c r="A260" s="93" t="s">
        <v>1093</v>
      </c>
      <c r="B260" s="92" t="s">
        <v>923</v>
      </c>
      <c r="C260" s="92">
        <v>2</v>
      </c>
      <c r="D260" s="125">
        <v>0.0025759113820322853</v>
      </c>
      <c r="E260" s="125">
        <v>2.3521825181113627</v>
      </c>
      <c r="F260" s="92" t="s">
        <v>1137</v>
      </c>
      <c r="G260" s="92" t="b">
        <v>0</v>
      </c>
      <c r="H260" s="92" t="b">
        <v>0</v>
      </c>
      <c r="I260" s="92" t="b">
        <v>0</v>
      </c>
      <c r="J260" s="92" t="b">
        <v>0</v>
      </c>
      <c r="K260" s="92" t="b">
        <v>0</v>
      </c>
      <c r="L260" s="92" t="b">
        <v>0</v>
      </c>
    </row>
    <row r="261" spans="1:12" ht="15">
      <c r="A261" s="93" t="s">
        <v>923</v>
      </c>
      <c r="B261" s="92" t="s">
        <v>1094</v>
      </c>
      <c r="C261" s="92">
        <v>2</v>
      </c>
      <c r="D261" s="125">
        <v>0.0025759113820322853</v>
      </c>
      <c r="E261" s="125">
        <v>2.3521825181113627</v>
      </c>
      <c r="F261" s="92" t="s">
        <v>1137</v>
      </c>
      <c r="G261" s="92" t="b">
        <v>0</v>
      </c>
      <c r="H261" s="92" t="b">
        <v>0</v>
      </c>
      <c r="I261" s="92" t="b">
        <v>0</v>
      </c>
      <c r="J261" s="92" t="b">
        <v>1</v>
      </c>
      <c r="K261" s="92" t="b">
        <v>0</v>
      </c>
      <c r="L261" s="92" t="b">
        <v>0</v>
      </c>
    </row>
    <row r="262" spans="1:12" ht="15">
      <c r="A262" s="93" t="s">
        <v>1094</v>
      </c>
      <c r="B262" s="92" t="s">
        <v>902</v>
      </c>
      <c r="C262" s="92">
        <v>2</v>
      </c>
      <c r="D262" s="125">
        <v>0.0025759113820322853</v>
      </c>
      <c r="E262" s="125">
        <v>2.2730012720637376</v>
      </c>
      <c r="F262" s="92" t="s">
        <v>1137</v>
      </c>
      <c r="G262" s="92" t="b">
        <v>1</v>
      </c>
      <c r="H262" s="92" t="b">
        <v>0</v>
      </c>
      <c r="I262" s="92" t="b">
        <v>0</v>
      </c>
      <c r="J262" s="92" t="b">
        <v>0</v>
      </c>
      <c r="K262" s="92" t="b">
        <v>0</v>
      </c>
      <c r="L262" s="92" t="b">
        <v>0</v>
      </c>
    </row>
    <row r="263" spans="1:12" ht="15">
      <c r="A263" s="93" t="s">
        <v>902</v>
      </c>
      <c r="B263" s="92" t="s">
        <v>1095</v>
      </c>
      <c r="C263" s="92">
        <v>2</v>
      </c>
      <c r="D263" s="125">
        <v>0.0025759113820322853</v>
      </c>
      <c r="E263" s="125">
        <v>2.2730012720637376</v>
      </c>
      <c r="F263" s="92" t="s">
        <v>1137</v>
      </c>
      <c r="G263" s="92" t="b">
        <v>0</v>
      </c>
      <c r="H263" s="92" t="b">
        <v>0</v>
      </c>
      <c r="I263" s="92" t="b">
        <v>0</v>
      </c>
      <c r="J263" s="92" t="b">
        <v>0</v>
      </c>
      <c r="K263" s="92" t="b">
        <v>0</v>
      </c>
      <c r="L263" s="92" t="b">
        <v>0</v>
      </c>
    </row>
    <row r="264" spans="1:12" ht="15">
      <c r="A264" s="93" t="s">
        <v>1095</v>
      </c>
      <c r="B264" s="92" t="s">
        <v>705</v>
      </c>
      <c r="C264" s="92">
        <v>2</v>
      </c>
      <c r="D264" s="125">
        <v>0.0025759113820322853</v>
      </c>
      <c r="E264" s="125">
        <v>1.9372091701405445</v>
      </c>
      <c r="F264" s="92" t="s">
        <v>1137</v>
      </c>
      <c r="G264" s="92" t="b">
        <v>0</v>
      </c>
      <c r="H264" s="92" t="b">
        <v>0</v>
      </c>
      <c r="I264" s="92" t="b">
        <v>0</v>
      </c>
      <c r="J264" s="92" t="b">
        <v>1</v>
      </c>
      <c r="K264" s="92" t="b">
        <v>0</v>
      </c>
      <c r="L264" s="92" t="b">
        <v>0</v>
      </c>
    </row>
    <row r="265" spans="1:12" ht="15">
      <c r="A265" s="93" t="s">
        <v>705</v>
      </c>
      <c r="B265" s="92" t="s">
        <v>926</v>
      </c>
      <c r="C265" s="92">
        <v>2</v>
      </c>
      <c r="D265" s="125">
        <v>0.0025759113820322853</v>
      </c>
      <c r="E265" s="125">
        <v>1.9372091701405445</v>
      </c>
      <c r="F265" s="92" t="s">
        <v>1137</v>
      </c>
      <c r="G265" s="92" t="b">
        <v>1</v>
      </c>
      <c r="H265" s="92" t="b">
        <v>0</v>
      </c>
      <c r="I265" s="92" t="b">
        <v>0</v>
      </c>
      <c r="J265" s="92" t="b">
        <v>0</v>
      </c>
      <c r="K265" s="92" t="b">
        <v>0</v>
      </c>
      <c r="L265" s="92" t="b">
        <v>0</v>
      </c>
    </row>
    <row r="266" spans="1:12" ht="15">
      <c r="A266" s="93" t="s">
        <v>926</v>
      </c>
      <c r="B266" s="92" t="s">
        <v>701</v>
      </c>
      <c r="C266" s="92">
        <v>2</v>
      </c>
      <c r="D266" s="125">
        <v>0.0025759113820322853</v>
      </c>
      <c r="E266" s="125">
        <v>0.9112734360461447</v>
      </c>
      <c r="F266" s="92" t="s">
        <v>1137</v>
      </c>
      <c r="G266" s="92" t="b">
        <v>0</v>
      </c>
      <c r="H266" s="92" t="b">
        <v>0</v>
      </c>
      <c r="I266" s="92" t="b">
        <v>0</v>
      </c>
      <c r="J266" s="92" t="b">
        <v>0</v>
      </c>
      <c r="K266" s="92" t="b">
        <v>0</v>
      </c>
      <c r="L266" s="92" t="b">
        <v>0</v>
      </c>
    </row>
    <row r="267" spans="1:12" ht="15">
      <c r="A267" s="93" t="s">
        <v>1096</v>
      </c>
      <c r="B267" s="92" t="s">
        <v>1097</v>
      </c>
      <c r="C267" s="92">
        <v>2</v>
      </c>
      <c r="D267" s="125">
        <v>0.0025759113820322853</v>
      </c>
      <c r="E267" s="125">
        <v>2.7501225267834</v>
      </c>
      <c r="F267" s="92" t="s">
        <v>1137</v>
      </c>
      <c r="G267" s="92" t="b">
        <v>0</v>
      </c>
      <c r="H267" s="92" t="b">
        <v>0</v>
      </c>
      <c r="I267" s="92" t="b">
        <v>0</v>
      </c>
      <c r="J267" s="92" t="b">
        <v>0</v>
      </c>
      <c r="K267" s="92" t="b">
        <v>0</v>
      </c>
      <c r="L267" s="92" t="b">
        <v>0</v>
      </c>
    </row>
    <row r="268" spans="1:12" ht="15">
      <c r="A268" s="93" t="s">
        <v>1097</v>
      </c>
      <c r="B268" s="92" t="s">
        <v>922</v>
      </c>
      <c r="C268" s="92">
        <v>2</v>
      </c>
      <c r="D268" s="125">
        <v>0.0025759113820322853</v>
      </c>
      <c r="E268" s="125">
        <v>2.3521825181113627</v>
      </c>
      <c r="F268" s="92" t="s">
        <v>1137</v>
      </c>
      <c r="G268" s="92" t="b">
        <v>0</v>
      </c>
      <c r="H268" s="92" t="b">
        <v>0</v>
      </c>
      <c r="I268" s="92" t="b">
        <v>0</v>
      </c>
      <c r="J268" s="92" t="b">
        <v>0</v>
      </c>
      <c r="K268" s="92" t="b">
        <v>0</v>
      </c>
      <c r="L268" s="92" t="b">
        <v>0</v>
      </c>
    </row>
    <row r="269" spans="1:12" ht="15">
      <c r="A269" s="93" t="s">
        <v>922</v>
      </c>
      <c r="B269" s="92" t="s">
        <v>702</v>
      </c>
      <c r="C269" s="92">
        <v>2</v>
      </c>
      <c r="D269" s="125">
        <v>0.0025759113820322853</v>
      </c>
      <c r="E269" s="125">
        <v>1.3309932190414244</v>
      </c>
      <c r="F269" s="92" t="s">
        <v>1137</v>
      </c>
      <c r="G269" s="92" t="b">
        <v>0</v>
      </c>
      <c r="H269" s="92" t="b">
        <v>0</v>
      </c>
      <c r="I269" s="92" t="b">
        <v>0</v>
      </c>
      <c r="J269" s="92" t="b">
        <v>0</v>
      </c>
      <c r="K269" s="92" t="b">
        <v>0</v>
      </c>
      <c r="L269" s="92" t="b">
        <v>0</v>
      </c>
    </row>
    <row r="270" spans="1:12" ht="15">
      <c r="A270" s="93" t="s">
        <v>905</v>
      </c>
      <c r="B270" s="92" t="s">
        <v>1098</v>
      </c>
      <c r="C270" s="92">
        <v>2</v>
      </c>
      <c r="D270" s="125">
        <v>0.0025759113820322853</v>
      </c>
      <c r="E270" s="125">
        <v>2.3521825181113627</v>
      </c>
      <c r="F270" s="92" t="s">
        <v>1137</v>
      </c>
      <c r="G270" s="92" t="b">
        <v>0</v>
      </c>
      <c r="H270" s="92" t="b">
        <v>0</v>
      </c>
      <c r="I270" s="92" t="b">
        <v>0</v>
      </c>
      <c r="J270" s="92" t="b">
        <v>0</v>
      </c>
      <c r="K270" s="92" t="b">
        <v>0</v>
      </c>
      <c r="L270" s="92" t="b">
        <v>0</v>
      </c>
    </row>
    <row r="271" spans="1:12" ht="15">
      <c r="A271" s="93" t="s">
        <v>1098</v>
      </c>
      <c r="B271" s="92" t="s">
        <v>1099</v>
      </c>
      <c r="C271" s="92">
        <v>2</v>
      </c>
      <c r="D271" s="125">
        <v>0.0025759113820322853</v>
      </c>
      <c r="E271" s="125">
        <v>2.7501225267834</v>
      </c>
      <c r="F271" s="92" t="s">
        <v>1137</v>
      </c>
      <c r="G271" s="92" t="b">
        <v>0</v>
      </c>
      <c r="H271" s="92" t="b">
        <v>0</v>
      </c>
      <c r="I271" s="92" t="b">
        <v>0</v>
      </c>
      <c r="J271" s="92" t="b">
        <v>0</v>
      </c>
      <c r="K271" s="92" t="b">
        <v>0</v>
      </c>
      <c r="L271" s="92" t="b">
        <v>0</v>
      </c>
    </row>
    <row r="272" spans="1:12" ht="15">
      <c r="A272" s="93" t="s">
        <v>1099</v>
      </c>
      <c r="B272" s="92" t="s">
        <v>1100</v>
      </c>
      <c r="C272" s="92">
        <v>2</v>
      </c>
      <c r="D272" s="125">
        <v>0.0025759113820322853</v>
      </c>
      <c r="E272" s="125">
        <v>2.7501225267834</v>
      </c>
      <c r="F272" s="92" t="s">
        <v>1137</v>
      </c>
      <c r="G272" s="92" t="b">
        <v>0</v>
      </c>
      <c r="H272" s="92" t="b">
        <v>0</v>
      </c>
      <c r="I272" s="92" t="b">
        <v>0</v>
      </c>
      <c r="J272" s="92" t="b">
        <v>0</v>
      </c>
      <c r="K272" s="92" t="b">
        <v>0</v>
      </c>
      <c r="L272" s="92" t="b">
        <v>0</v>
      </c>
    </row>
    <row r="273" spans="1:12" ht="15">
      <c r="A273" s="93" t="s">
        <v>1100</v>
      </c>
      <c r="B273" s="92" t="s">
        <v>1101</v>
      </c>
      <c r="C273" s="92">
        <v>2</v>
      </c>
      <c r="D273" s="125">
        <v>0.0025759113820322853</v>
      </c>
      <c r="E273" s="125">
        <v>2.7501225267834</v>
      </c>
      <c r="F273" s="92" t="s">
        <v>1137</v>
      </c>
      <c r="G273" s="92" t="b">
        <v>0</v>
      </c>
      <c r="H273" s="92" t="b">
        <v>0</v>
      </c>
      <c r="I273" s="92" t="b">
        <v>0</v>
      </c>
      <c r="J273" s="92" t="b">
        <v>0</v>
      </c>
      <c r="K273" s="92" t="b">
        <v>0</v>
      </c>
      <c r="L273" s="92" t="b">
        <v>0</v>
      </c>
    </row>
    <row r="274" spans="1:12" ht="15">
      <c r="A274" s="93" t="s">
        <v>1101</v>
      </c>
      <c r="B274" s="92" t="s">
        <v>927</v>
      </c>
      <c r="C274" s="92">
        <v>2</v>
      </c>
      <c r="D274" s="125">
        <v>0.0025759113820322853</v>
      </c>
      <c r="E274" s="125">
        <v>2.449092531119419</v>
      </c>
      <c r="F274" s="92" t="s">
        <v>1137</v>
      </c>
      <c r="G274" s="92" t="b">
        <v>0</v>
      </c>
      <c r="H274" s="92" t="b">
        <v>0</v>
      </c>
      <c r="I274" s="92" t="b">
        <v>0</v>
      </c>
      <c r="J274" s="92" t="b">
        <v>0</v>
      </c>
      <c r="K274" s="92" t="b">
        <v>0</v>
      </c>
      <c r="L274" s="92" t="b">
        <v>0</v>
      </c>
    </row>
    <row r="275" spans="1:12" ht="15">
      <c r="A275" s="93" t="s">
        <v>927</v>
      </c>
      <c r="B275" s="92" t="s">
        <v>1102</v>
      </c>
      <c r="C275" s="92">
        <v>2</v>
      </c>
      <c r="D275" s="125">
        <v>0.0025759113820322853</v>
      </c>
      <c r="E275" s="125">
        <v>2.449092531119419</v>
      </c>
      <c r="F275" s="92" t="s">
        <v>1137</v>
      </c>
      <c r="G275" s="92" t="b">
        <v>0</v>
      </c>
      <c r="H275" s="92" t="b">
        <v>0</v>
      </c>
      <c r="I275" s="92" t="b">
        <v>0</v>
      </c>
      <c r="J275" s="92" t="b">
        <v>0</v>
      </c>
      <c r="K275" s="92" t="b">
        <v>0</v>
      </c>
      <c r="L275" s="92" t="b">
        <v>0</v>
      </c>
    </row>
    <row r="276" spans="1:12" ht="15">
      <c r="A276" s="93" t="s">
        <v>1102</v>
      </c>
      <c r="B276" s="92" t="s">
        <v>1103</v>
      </c>
      <c r="C276" s="92">
        <v>2</v>
      </c>
      <c r="D276" s="125">
        <v>0.0025759113820322853</v>
      </c>
      <c r="E276" s="125">
        <v>2.7501225267834</v>
      </c>
      <c r="F276" s="92" t="s">
        <v>1137</v>
      </c>
      <c r="G276" s="92" t="b">
        <v>0</v>
      </c>
      <c r="H276" s="92" t="b">
        <v>0</v>
      </c>
      <c r="I276" s="92" t="b">
        <v>0</v>
      </c>
      <c r="J276" s="92" t="b">
        <v>0</v>
      </c>
      <c r="K276" s="92" t="b">
        <v>0</v>
      </c>
      <c r="L276" s="92" t="b">
        <v>0</v>
      </c>
    </row>
    <row r="277" spans="1:12" ht="15">
      <c r="A277" s="93" t="s">
        <v>1103</v>
      </c>
      <c r="B277" s="92" t="s">
        <v>1104</v>
      </c>
      <c r="C277" s="92">
        <v>2</v>
      </c>
      <c r="D277" s="125">
        <v>0.0025759113820322853</v>
      </c>
      <c r="E277" s="125">
        <v>2.7501225267834</v>
      </c>
      <c r="F277" s="92" t="s">
        <v>1137</v>
      </c>
      <c r="G277" s="92" t="b">
        <v>0</v>
      </c>
      <c r="H277" s="92" t="b">
        <v>0</v>
      </c>
      <c r="I277" s="92" t="b">
        <v>0</v>
      </c>
      <c r="J277" s="92" t="b">
        <v>1</v>
      </c>
      <c r="K277" s="92" t="b">
        <v>0</v>
      </c>
      <c r="L277" s="92" t="b">
        <v>0</v>
      </c>
    </row>
    <row r="278" spans="1:12" ht="15">
      <c r="A278" s="93" t="s">
        <v>1104</v>
      </c>
      <c r="B278" s="92" t="s">
        <v>1105</v>
      </c>
      <c r="C278" s="92">
        <v>2</v>
      </c>
      <c r="D278" s="125">
        <v>0.0025759113820322853</v>
      </c>
      <c r="E278" s="125">
        <v>2.7501225267834</v>
      </c>
      <c r="F278" s="92" t="s">
        <v>1137</v>
      </c>
      <c r="G278" s="92" t="b">
        <v>1</v>
      </c>
      <c r="H278" s="92" t="b">
        <v>0</v>
      </c>
      <c r="I278" s="92" t="b">
        <v>0</v>
      </c>
      <c r="J278" s="92" t="b">
        <v>0</v>
      </c>
      <c r="K278" s="92" t="b">
        <v>0</v>
      </c>
      <c r="L278" s="92" t="b">
        <v>0</v>
      </c>
    </row>
    <row r="279" spans="1:12" ht="15">
      <c r="A279" s="93" t="s">
        <v>1105</v>
      </c>
      <c r="B279" s="92" t="s">
        <v>903</v>
      </c>
      <c r="C279" s="92">
        <v>2</v>
      </c>
      <c r="D279" s="125">
        <v>0.0025759113820322853</v>
      </c>
      <c r="E279" s="125">
        <v>2.3521825181113627</v>
      </c>
      <c r="F279" s="92" t="s">
        <v>1137</v>
      </c>
      <c r="G279" s="92" t="b">
        <v>0</v>
      </c>
      <c r="H279" s="92" t="b">
        <v>0</v>
      </c>
      <c r="I279" s="92" t="b">
        <v>0</v>
      </c>
      <c r="J279" s="92" t="b">
        <v>0</v>
      </c>
      <c r="K279" s="92" t="b">
        <v>0</v>
      </c>
      <c r="L279" s="92" t="b">
        <v>0</v>
      </c>
    </row>
    <row r="280" spans="1:12" ht="15">
      <c r="A280" s="93" t="s">
        <v>903</v>
      </c>
      <c r="B280" s="92" t="s">
        <v>1106</v>
      </c>
      <c r="C280" s="92">
        <v>2</v>
      </c>
      <c r="D280" s="125">
        <v>0.0025759113820322853</v>
      </c>
      <c r="E280" s="125">
        <v>2.3521825181113627</v>
      </c>
      <c r="F280" s="92" t="s">
        <v>1137</v>
      </c>
      <c r="G280" s="92" t="b">
        <v>0</v>
      </c>
      <c r="H280" s="92" t="b">
        <v>0</v>
      </c>
      <c r="I280" s="92" t="b">
        <v>0</v>
      </c>
      <c r="J280" s="92" t="b">
        <v>0</v>
      </c>
      <c r="K280" s="92" t="b">
        <v>0</v>
      </c>
      <c r="L280" s="92" t="b">
        <v>0</v>
      </c>
    </row>
    <row r="281" spans="1:12" ht="15">
      <c r="A281" s="93" t="s">
        <v>1106</v>
      </c>
      <c r="B281" s="92" t="s">
        <v>945</v>
      </c>
      <c r="C281" s="92">
        <v>2</v>
      </c>
      <c r="D281" s="125">
        <v>0.0025759113820322853</v>
      </c>
      <c r="E281" s="125">
        <v>2.449092531119419</v>
      </c>
      <c r="F281" s="92" t="s">
        <v>1137</v>
      </c>
      <c r="G281" s="92" t="b">
        <v>0</v>
      </c>
      <c r="H281" s="92" t="b">
        <v>0</v>
      </c>
      <c r="I281" s="92" t="b">
        <v>0</v>
      </c>
      <c r="J281" s="92" t="b">
        <v>0</v>
      </c>
      <c r="K281" s="92" t="b">
        <v>0</v>
      </c>
      <c r="L281" s="92" t="b">
        <v>0</v>
      </c>
    </row>
    <row r="282" spans="1:12" ht="15">
      <c r="A282" s="93" t="s">
        <v>945</v>
      </c>
      <c r="B282" s="92" t="s">
        <v>984</v>
      </c>
      <c r="C282" s="92">
        <v>2</v>
      </c>
      <c r="D282" s="125">
        <v>0.0025759113820322853</v>
      </c>
      <c r="E282" s="125">
        <v>2.2730012720637376</v>
      </c>
      <c r="F282" s="92" t="s">
        <v>1137</v>
      </c>
      <c r="G282" s="92" t="b">
        <v>0</v>
      </c>
      <c r="H282" s="92" t="b">
        <v>0</v>
      </c>
      <c r="I282" s="92" t="b">
        <v>0</v>
      </c>
      <c r="J282" s="92" t="b">
        <v>0</v>
      </c>
      <c r="K282" s="92" t="b">
        <v>0</v>
      </c>
      <c r="L282" s="92" t="b">
        <v>0</v>
      </c>
    </row>
    <row r="283" spans="1:12" ht="15">
      <c r="A283" s="93" t="s">
        <v>984</v>
      </c>
      <c r="B283" s="92" t="s">
        <v>928</v>
      </c>
      <c r="C283" s="92">
        <v>2</v>
      </c>
      <c r="D283" s="125">
        <v>0.0025759113820322853</v>
      </c>
      <c r="E283" s="125">
        <v>2.2730012720637376</v>
      </c>
      <c r="F283" s="92" t="s">
        <v>1137</v>
      </c>
      <c r="G283" s="92" t="b">
        <v>0</v>
      </c>
      <c r="H283" s="92" t="b">
        <v>0</v>
      </c>
      <c r="I283" s="92" t="b">
        <v>0</v>
      </c>
      <c r="J283" s="92" t="b">
        <v>0</v>
      </c>
      <c r="K283" s="92" t="b">
        <v>0</v>
      </c>
      <c r="L283" s="92" t="b">
        <v>0</v>
      </c>
    </row>
    <row r="284" spans="1:12" ht="15">
      <c r="A284" s="93" t="s">
        <v>928</v>
      </c>
      <c r="B284" s="92" t="s">
        <v>701</v>
      </c>
      <c r="C284" s="92">
        <v>2</v>
      </c>
      <c r="D284" s="125">
        <v>0.0025759113820322853</v>
      </c>
      <c r="E284" s="125">
        <v>0.9112734360461447</v>
      </c>
      <c r="F284" s="92" t="s">
        <v>1137</v>
      </c>
      <c r="G284" s="92" t="b">
        <v>0</v>
      </c>
      <c r="H284" s="92" t="b">
        <v>0</v>
      </c>
      <c r="I284" s="92" t="b">
        <v>0</v>
      </c>
      <c r="J284" s="92" t="b">
        <v>0</v>
      </c>
      <c r="K284" s="92" t="b">
        <v>0</v>
      </c>
      <c r="L284" s="92" t="b">
        <v>0</v>
      </c>
    </row>
    <row r="285" spans="1:12" ht="15">
      <c r="A285" s="93" t="s">
        <v>904</v>
      </c>
      <c r="B285" s="92" t="s">
        <v>1107</v>
      </c>
      <c r="C285" s="92">
        <v>2</v>
      </c>
      <c r="D285" s="125">
        <v>0.0025759113820322853</v>
      </c>
      <c r="E285" s="125">
        <v>2.3521825181113627</v>
      </c>
      <c r="F285" s="92" t="s">
        <v>1137</v>
      </c>
      <c r="G285" s="92" t="b">
        <v>0</v>
      </c>
      <c r="H285" s="92" t="b">
        <v>0</v>
      </c>
      <c r="I285" s="92" t="b">
        <v>0</v>
      </c>
      <c r="J285" s="92" t="b">
        <v>1</v>
      </c>
      <c r="K285" s="92" t="b">
        <v>0</v>
      </c>
      <c r="L285" s="92" t="b">
        <v>0</v>
      </c>
    </row>
    <row r="286" spans="1:12" ht="15">
      <c r="A286" s="93" t="s">
        <v>1107</v>
      </c>
      <c r="B286" s="92" t="s">
        <v>953</v>
      </c>
      <c r="C286" s="92">
        <v>2</v>
      </c>
      <c r="D286" s="125">
        <v>0.0025759113820322853</v>
      </c>
      <c r="E286" s="125">
        <v>2.449092531119419</v>
      </c>
      <c r="F286" s="92" t="s">
        <v>1137</v>
      </c>
      <c r="G286" s="92" t="b">
        <v>1</v>
      </c>
      <c r="H286" s="92" t="b">
        <v>0</v>
      </c>
      <c r="I286" s="92" t="b">
        <v>0</v>
      </c>
      <c r="J286" s="92" t="b">
        <v>0</v>
      </c>
      <c r="K286" s="92" t="b">
        <v>0</v>
      </c>
      <c r="L286" s="92" t="b">
        <v>0</v>
      </c>
    </row>
    <row r="287" spans="1:12" ht="15">
      <c r="A287" s="93" t="s">
        <v>953</v>
      </c>
      <c r="B287" s="92" t="s">
        <v>888</v>
      </c>
      <c r="C287" s="92">
        <v>2</v>
      </c>
      <c r="D287" s="125">
        <v>0.0025759113820322853</v>
      </c>
      <c r="E287" s="125">
        <v>1.8470325397914564</v>
      </c>
      <c r="F287" s="92" t="s">
        <v>1137</v>
      </c>
      <c r="G287" s="92" t="b">
        <v>0</v>
      </c>
      <c r="H287" s="92" t="b">
        <v>0</v>
      </c>
      <c r="I287" s="92" t="b">
        <v>0</v>
      </c>
      <c r="J287" s="92" t="b">
        <v>0</v>
      </c>
      <c r="K287" s="92" t="b">
        <v>0</v>
      </c>
      <c r="L287" s="92" t="b">
        <v>0</v>
      </c>
    </row>
    <row r="288" spans="1:12" ht="15">
      <c r="A288" s="93" t="s">
        <v>888</v>
      </c>
      <c r="B288" s="92" t="s">
        <v>954</v>
      </c>
      <c r="C288" s="92">
        <v>2</v>
      </c>
      <c r="D288" s="125">
        <v>0.0025759113820322853</v>
      </c>
      <c r="E288" s="125">
        <v>1.8470325397914564</v>
      </c>
      <c r="F288" s="92" t="s">
        <v>1137</v>
      </c>
      <c r="G288" s="92" t="b">
        <v>0</v>
      </c>
      <c r="H288" s="92" t="b">
        <v>0</v>
      </c>
      <c r="I288" s="92" t="b">
        <v>0</v>
      </c>
      <c r="J288" s="92" t="b">
        <v>0</v>
      </c>
      <c r="K288" s="92" t="b">
        <v>0</v>
      </c>
      <c r="L288" s="92" t="b">
        <v>0</v>
      </c>
    </row>
    <row r="289" spans="1:12" ht="15">
      <c r="A289" s="93" t="s">
        <v>954</v>
      </c>
      <c r="B289" s="92" t="s">
        <v>701</v>
      </c>
      <c r="C289" s="92">
        <v>2</v>
      </c>
      <c r="D289" s="125">
        <v>0.0025759113820322853</v>
      </c>
      <c r="E289" s="125">
        <v>0.9112734360461447</v>
      </c>
      <c r="F289" s="92" t="s">
        <v>1137</v>
      </c>
      <c r="G289" s="92" t="b">
        <v>0</v>
      </c>
      <c r="H289" s="92" t="b">
        <v>0</v>
      </c>
      <c r="I289" s="92" t="b">
        <v>0</v>
      </c>
      <c r="J289" s="92" t="b">
        <v>0</v>
      </c>
      <c r="K289" s="92" t="b">
        <v>0</v>
      </c>
      <c r="L289" s="92" t="b">
        <v>0</v>
      </c>
    </row>
    <row r="290" spans="1:12" ht="15">
      <c r="A290" s="93" t="s">
        <v>1108</v>
      </c>
      <c r="B290" s="92" t="s">
        <v>946</v>
      </c>
      <c r="C290" s="92">
        <v>2</v>
      </c>
      <c r="D290" s="125">
        <v>0.0025759113820322853</v>
      </c>
      <c r="E290" s="125">
        <v>2.449092531119419</v>
      </c>
      <c r="F290" s="92" t="s">
        <v>1137</v>
      </c>
      <c r="G290" s="92" t="b">
        <v>0</v>
      </c>
      <c r="H290" s="92" t="b">
        <v>0</v>
      </c>
      <c r="I290" s="92" t="b">
        <v>0</v>
      </c>
      <c r="J290" s="92" t="b">
        <v>1</v>
      </c>
      <c r="K290" s="92" t="b">
        <v>0</v>
      </c>
      <c r="L290" s="92" t="b">
        <v>0</v>
      </c>
    </row>
    <row r="291" spans="1:12" ht="15">
      <c r="A291" s="93" t="s">
        <v>946</v>
      </c>
      <c r="B291" s="92" t="s">
        <v>955</v>
      </c>
      <c r="C291" s="92">
        <v>2</v>
      </c>
      <c r="D291" s="125">
        <v>0.0025759113820322853</v>
      </c>
      <c r="E291" s="125">
        <v>2.1480625354554377</v>
      </c>
      <c r="F291" s="92" t="s">
        <v>1137</v>
      </c>
      <c r="G291" s="92" t="b">
        <v>1</v>
      </c>
      <c r="H291" s="92" t="b">
        <v>0</v>
      </c>
      <c r="I291" s="92" t="b">
        <v>0</v>
      </c>
      <c r="J291" s="92" t="b">
        <v>0</v>
      </c>
      <c r="K291" s="92" t="b">
        <v>0</v>
      </c>
      <c r="L291" s="92" t="b">
        <v>0</v>
      </c>
    </row>
    <row r="292" spans="1:12" ht="15">
      <c r="A292" s="93" t="s">
        <v>955</v>
      </c>
      <c r="B292" s="92" t="s">
        <v>1109</v>
      </c>
      <c r="C292" s="92">
        <v>2</v>
      </c>
      <c r="D292" s="125">
        <v>0.0025759113820322853</v>
      </c>
      <c r="E292" s="125">
        <v>2.449092531119419</v>
      </c>
      <c r="F292" s="92" t="s">
        <v>1137</v>
      </c>
      <c r="G292" s="92" t="b">
        <v>0</v>
      </c>
      <c r="H292" s="92" t="b">
        <v>0</v>
      </c>
      <c r="I292" s="92" t="b">
        <v>0</v>
      </c>
      <c r="J292" s="92" t="b">
        <v>0</v>
      </c>
      <c r="K292" s="92" t="b">
        <v>0</v>
      </c>
      <c r="L292" s="92" t="b">
        <v>0</v>
      </c>
    </row>
    <row r="293" spans="1:12" ht="15">
      <c r="A293" s="93" t="s">
        <v>1109</v>
      </c>
      <c r="B293" s="92" t="s">
        <v>954</v>
      </c>
      <c r="C293" s="92">
        <v>2</v>
      </c>
      <c r="D293" s="125">
        <v>0.0025759113820322853</v>
      </c>
      <c r="E293" s="125">
        <v>2.449092531119419</v>
      </c>
      <c r="F293" s="92" t="s">
        <v>1137</v>
      </c>
      <c r="G293" s="92" t="b">
        <v>0</v>
      </c>
      <c r="H293" s="92" t="b">
        <v>0</v>
      </c>
      <c r="I293" s="92" t="b">
        <v>0</v>
      </c>
      <c r="J293" s="92" t="b">
        <v>0</v>
      </c>
      <c r="K293" s="92" t="b">
        <v>0</v>
      </c>
      <c r="L293" s="92" t="b">
        <v>0</v>
      </c>
    </row>
    <row r="294" spans="1:12" ht="15">
      <c r="A294" s="93" t="s">
        <v>954</v>
      </c>
      <c r="B294" s="92" t="s">
        <v>890</v>
      </c>
      <c r="C294" s="92">
        <v>2</v>
      </c>
      <c r="D294" s="125">
        <v>0.0025759113820322853</v>
      </c>
      <c r="E294" s="125">
        <v>1.8470325397914564</v>
      </c>
      <c r="F294" s="92" t="s">
        <v>1137</v>
      </c>
      <c r="G294" s="92" t="b">
        <v>0</v>
      </c>
      <c r="H294" s="92" t="b">
        <v>0</v>
      </c>
      <c r="I294" s="92" t="b">
        <v>0</v>
      </c>
      <c r="J294" s="92" t="b">
        <v>0</v>
      </c>
      <c r="K294" s="92" t="b">
        <v>0</v>
      </c>
      <c r="L294" s="92" t="b">
        <v>0</v>
      </c>
    </row>
    <row r="295" spans="1:12" ht="15">
      <c r="A295" s="93" t="s">
        <v>956</v>
      </c>
      <c r="B295" s="92" t="s">
        <v>957</v>
      </c>
      <c r="C295" s="92">
        <v>2</v>
      </c>
      <c r="D295" s="125">
        <v>0.0025759113820322853</v>
      </c>
      <c r="E295" s="125">
        <v>2.1480625354554377</v>
      </c>
      <c r="F295" s="92" t="s">
        <v>1137</v>
      </c>
      <c r="G295" s="92" t="b">
        <v>0</v>
      </c>
      <c r="H295" s="92" t="b">
        <v>0</v>
      </c>
      <c r="I295" s="92" t="b">
        <v>0</v>
      </c>
      <c r="J295" s="92" t="b">
        <v>1</v>
      </c>
      <c r="K295" s="92" t="b">
        <v>0</v>
      </c>
      <c r="L295" s="92" t="b">
        <v>0</v>
      </c>
    </row>
    <row r="296" spans="1:12" ht="15">
      <c r="A296" s="93" t="s">
        <v>957</v>
      </c>
      <c r="B296" s="92" t="s">
        <v>1110</v>
      </c>
      <c r="C296" s="92">
        <v>2</v>
      </c>
      <c r="D296" s="125">
        <v>0.0025759113820322853</v>
      </c>
      <c r="E296" s="125">
        <v>2.449092531119419</v>
      </c>
      <c r="F296" s="92" t="s">
        <v>1137</v>
      </c>
      <c r="G296" s="92" t="b">
        <v>1</v>
      </c>
      <c r="H296" s="92" t="b">
        <v>0</v>
      </c>
      <c r="I296" s="92" t="b">
        <v>0</v>
      </c>
      <c r="J296" s="92" t="b">
        <v>0</v>
      </c>
      <c r="K296" s="92" t="b">
        <v>0</v>
      </c>
      <c r="L296" s="92" t="b">
        <v>0</v>
      </c>
    </row>
    <row r="297" spans="1:12" ht="15">
      <c r="A297" s="93" t="s">
        <v>1110</v>
      </c>
      <c r="B297" s="92" t="s">
        <v>1111</v>
      </c>
      <c r="C297" s="92">
        <v>2</v>
      </c>
      <c r="D297" s="125">
        <v>0.0025759113820322853</v>
      </c>
      <c r="E297" s="125">
        <v>2.7501225267834</v>
      </c>
      <c r="F297" s="92" t="s">
        <v>1137</v>
      </c>
      <c r="G297" s="92" t="b">
        <v>0</v>
      </c>
      <c r="H297" s="92" t="b">
        <v>0</v>
      </c>
      <c r="I297" s="92" t="b">
        <v>0</v>
      </c>
      <c r="J297" s="92" t="b">
        <v>0</v>
      </c>
      <c r="K297" s="92" t="b">
        <v>0</v>
      </c>
      <c r="L297" s="92" t="b">
        <v>0</v>
      </c>
    </row>
    <row r="298" spans="1:12" ht="15">
      <c r="A298" s="93" t="s">
        <v>1111</v>
      </c>
      <c r="B298" s="92" t="s">
        <v>1112</v>
      </c>
      <c r="C298" s="92">
        <v>2</v>
      </c>
      <c r="D298" s="125">
        <v>0.0025759113820322853</v>
      </c>
      <c r="E298" s="125">
        <v>2.7501225267834</v>
      </c>
      <c r="F298" s="92" t="s">
        <v>1137</v>
      </c>
      <c r="G298" s="92" t="b">
        <v>0</v>
      </c>
      <c r="H298" s="92" t="b">
        <v>0</v>
      </c>
      <c r="I298" s="92" t="b">
        <v>0</v>
      </c>
      <c r="J298" s="92" t="b">
        <v>0</v>
      </c>
      <c r="K298" s="92" t="b">
        <v>0</v>
      </c>
      <c r="L298" s="92" t="b">
        <v>0</v>
      </c>
    </row>
    <row r="299" spans="1:12" ht="15">
      <c r="A299" s="93" t="s">
        <v>1112</v>
      </c>
      <c r="B299" s="92" t="s">
        <v>985</v>
      </c>
      <c r="C299" s="92">
        <v>2</v>
      </c>
      <c r="D299" s="125">
        <v>0.0025759113820322853</v>
      </c>
      <c r="E299" s="125">
        <v>2.7501225267834</v>
      </c>
      <c r="F299" s="92" t="s">
        <v>1137</v>
      </c>
      <c r="G299" s="92" t="b">
        <v>0</v>
      </c>
      <c r="H299" s="92" t="b">
        <v>0</v>
      </c>
      <c r="I299" s="92" t="b">
        <v>0</v>
      </c>
      <c r="J299" s="92" t="b">
        <v>1</v>
      </c>
      <c r="K299" s="92" t="b">
        <v>0</v>
      </c>
      <c r="L299" s="92" t="b">
        <v>0</v>
      </c>
    </row>
    <row r="300" spans="1:12" ht="15">
      <c r="A300" s="93" t="s">
        <v>985</v>
      </c>
      <c r="B300" s="92" t="s">
        <v>955</v>
      </c>
      <c r="C300" s="92">
        <v>2</v>
      </c>
      <c r="D300" s="125">
        <v>0.0025759113820322853</v>
      </c>
      <c r="E300" s="125">
        <v>2.2730012720637376</v>
      </c>
      <c r="F300" s="92" t="s">
        <v>1137</v>
      </c>
      <c r="G300" s="92" t="b">
        <v>1</v>
      </c>
      <c r="H300" s="92" t="b">
        <v>0</v>
      </c>
      <c r="I300" s="92" t="b">
        <v>0</v>
      </c>
      <c r="J300" s="92" t="b">
        <v>0</v>
      </c>
      <c r="K300" s="92" t="b">
        <v>0</v>
      </c>
      <c r="L300" s="92" t="b">
        <v>0</v>
      </c>
    </row>
    <row r="301" spans="1:12" ht="15">
      <c r="A301" s="93" t="s">
        <v>955</v>
      </c>
      <c r="B301" s="92" t="s">
        <v>887</v>
      </c>
      <c r="C301" s="92">
        <v>2</v>
      </c>
      <c r="D301" s="125">
        <v>0.0025759113820322853</v>
      </c>
      <c r="E301" s="125">
        <v>1.8470325397914564</v>
      </c>
      <c r="F301" s="92" t="s">
        <v>1137</v>
      </c>
      <c r="G301" s="92" t="b">
        <v>0</v>
      </c>
      <c r="H301" s="92" t="b">
        <v>0</v>
      </c>
      <c r="I301" s="92" t="b">
        <v>0</v>
      </c>
      <c r="J301" s="92" t="b">
        <v>1</v>
      </c>
      <c r="K301" s="92" t="b">
        <v>0</v>
      </c>
      <c r="L301" s="92" t="b">
        <v>0</v>
      </c>
    </row>
    <row r="302" spans="1:12" ht="15">
      <c r="A302" s="93" t="s">
        <v>887</v>
      </c>
      <c r="B302" s="92" t="s">
        <v>1113</v>
      </c>
      <c r="C302" s="92">
        <v>2</v>
      </c>
      <c r="D302" s="125">
        <v>0.0025759113820322853</v>
      </c>
      <c r="E302" s="125">
        <v>2.1480625354554377</v>
      </c>
      <c r="F302" s="92" t="s">
        <v>1137</v>
      </c>
      <c r="G302" s="92" t="b">
        <v>1</v>
      </c>
      <c r="H302" s="92" t="b">
        <v>0</v>
      </c>
      <c r="I302" s="92" t="b">
        <v>0</v>
      </c>
      <c r="J302" s="92" t="b">
        <v>0</v>
      </c>
      <c r="K302" s="92" t="b">
        <v>0</v>
      </c>
      <c r="L302" s="92" t="b">
        <v>0</v>
      </c>
    </row>
    <row r="303" spans="1:12" ht="15">
      <c r="A303" s="93" t="s">
        <v>1113</v>
      </c>
      <c r="B303" s="92" t="s">
        <v>1114</v>
      </c>
      <c r="C303" s="92">
        <v>2</v>
      </c>
      <c r="D303" s="125">
        <v>0.0025759113820322853</v>
      </c>
      <c r="E303" s="125">
        <v>2.7501225267834</v>
      </c>
      <c r="F303" s="92" t="s">
        <v>1137</v>
      </c>
      <c r="G303" s="92" t="b">
        <v>0</v>
      </c>
      <c r="H303" s="92" t="b">
        <v>0</v>
      </c>
      <c r="I303" s="92" t="b">
        <v>0</v>
      </c>
      <c r="J303" s="92" t="b">
        <v>0</v>
      </c>
      <c r="K303" s="92" t="b">
        <v>0</v>
      </c>
      <c r="L303" s="92" t="b">
        <v>0</v>
      </c>
    </row>
    <row r="304" spans="1:12" ht="15">
      <c r="A304" s="93" t="s">
        <v>1114</v>
      </c>
      <c r="B304" s="92" t="s">
        <v>1115</v>
      </c>
      <c r="C304" s="92">
        <v>2</v>
      </c>
      <c r="D304" s="125">
        <v>0.0025759113820322853</v>
      </c>
      <c r="E304" s="125">
        <v>2.7501225267834</v>
      </c>
      <c r="F304" s="92" t="s">
        <v>1137</v>
      </c>
      <c r="G304" s="92" t="b">
        <v>0</v>
      </c>
      <c r="H304" s="92" t="b">
        <v>0</v>
      </c>
      <c r="I304" s="92" t="b">
        <v>0</v>
      </c>
      <c r="J304" s="92" t="b">
        <v>0</v>
      </c>
      <c r="K304" s="92" t="b">
        <v>0</v>
      </c>
      <c r="L304" s="92" t="b">
        <v>0</v>
      </c>
    </row>
    <row r="305" spans="1:12" ht="15">
      <c r="A305" s="93" t="s">
        <v>1115</v>
      </c>
      <c r="B305" s="92" t="s">
        <v>1116</v>
      </c>
      <c r="C305" s="92">
        <v>2</v>
      </c>
      <c r="D305" s="125">
        <v>0.0025759113820322853</v>
      </c>
      <c r="E305" s="125">
        <v>2.7501225267834</v>
      </c>
      <c r="F305" s="92" t="s">
        <v>1137</v>
      </c>
      <c r="G305" s="92" t="b">
        <v>0</v>
      </c>
      <c r="H305" s="92" t="b">
        <v>0</v>
      </c>
      <c r="I305" s="92" t="b">
        <v>0</v>
      </c>
      <c r="J305" s="92" t="b">
        <v>0</v>
      </c>
      <c r="K305" s="92" t="b">
        <v>0</v>
      </c>
      <c r="L305" s="92" t="b">
        <v>0</v>
      </c>
    </row>
    <row r="306" spans="1:12" ht="15">
      <c r="A306" s="93" t="s">
        <v>1116</v>
      </c>
      <c r="B306" s="92" t="s">
        <v>703</v>
      </c>
      <c r="C306" s="92">
        <v>2</v>
      </c>
      <c r="D306" s="125">
        <v>0.0025759113820322853</v>
      </c>
      <c r="E306" s="125">
        <v>1.7723989214945524</v>
      </c>
      <c r="F306" s="92" t="s">
        <v>1137</v>
      </c>
      <c r="G306" s="92" t="b">
        <v>0</v>
      </c>
      <c r="H306" s="92" t="b">
        <v>0</v>
      </c>
      <c r="I306" s="92" t="b">
        <v>0</v>
      </c>
      <c r="J306" s="92" t="b">
        <v>0</v>
      </c>
      <c r="K306" s="92" t="b">
        <v>0</v>
      </c>
      <c r="L306" s="92" t="b">
        <v>0</v>
      </c>
    </row>
    <row r="307" spans="1:12" ht="15">
      <c r="A307" s="93" t="s">
        <v>703</v>
      </c>
      <c r="B307" s="92" t="s">
        <v>901</v>
      </c>
      <c r="C307" s="92">
        <v>2</v>
      </c>
      <c r="D307" s="125">
        <v>0.0025759113820322853</v>
      </c>
      <c r="E307" s="125">
        <v>1.29527766677489</v>
      </c>
      <c r="F307" s="92" t="s">
        <v>1137</v>
      </c>
      <c r="G307" s="92" t="b">
        <v>0</v>
      </c>
      <c r="H307" s="92" t="b">
        <v>0</v>
      </c>
      <c r="I307" s="92" t="b">
        <v>0</v>
      </c>
      <c r="J307" s="92" t="b">
        <v>0</v>
      </c>
      <c r="K307" s="92" t="b">
        <v>0</v>
      </c>
      <c r="L307" s="92" t="b">
        <v>0</v>
      </c>
    </row>
    <row r="308" spans="1:12" ht="15">
      <c r="A308" s="93" t="s">
        <v>901</v>
      </c>
      <c r="B308" s="92" t="s">
        <v>1117</v>
      </c>
      <c r="C308" s="92">
        <v>2</v>
      </c>
      <c r="D308" s="125">
        <v>0.0025759113820322853</v>
      </c>
      <c r="E308" s="125">
        <v>2.2730012720637376</v>
      </c>
      <c r="F308" s="92" t="s">
        <v>1137</v>
      </c>
      <c r="G308" s="92" t="b">
        <v>0</v>
      </c>
      <c r="H308" s="92" t="b">
        <v>0</v>
      </c>
      <c r="I308" s="92" t="b">
        <v>0</v>
      </c>
      <c r="J308" s="92" t="b">
        <v>1</v>
      </c>
      <c r="K308" s="92" t="b">
        <v>0</v>
      </c>
      <c r="L308" s="92" t="b">
        <v>0</v>
      </c>
    </row>
    <row r="309" spans="1:12" ht="15">
      <c r="A309" s="93" t="s">
        <v>1117</v>
      </c>
      <c r="B309" s="92" t="s">
        <v>701</v>
      </c>
      <c r="C309" s="92">
        <v>2</v>
      </c>
      <c r="D309" s="125">
        <v>0.0025759113820322853</v>
      </c>
      <c r="E309" s="125">
        <v>1.212303431710126</v>
      </c>
      <c r="F309" s="92" t="s">
        <v>1137</v>
      </c>
      <c r="G309" s="92" t="b">
        <v>1</v>
      </c>
      <c r="H309" s="92" t="b">
        <v>0</v>
      </c>
      <c r="I309" s="92" t="b">
        <v>0</v>
      </c>
      <c r="J309" s="92" t="b">
        <v>0</v>
      </c>
      <c r="K309" s="92" t="b">
        <v>0</v>
      </c>
      <c r="L309" s="92" t="b">
        <v>0</v>
      </c>
    </row>
    <row r="310" spans="1:12" ht="15">
      <c r="A310" s="93" t="s">
        <v>1119</v>
      </c>
      <c r="B310" s="92" t="s">
        <v>709</v>
      </c>
      <c r="C310" s="92">
        <v>2</v>
      </c>
      <c r="D310" s="125">
        <v>0.0025759113820322853</v>
      </c>
      <c r="E310" s="125">
        <v>2.009759837289156</v>
      </c>
      <c r="F310" s="92" t="s">
        <v>1137</v>
      </c>
      <c r="G310" s="92" t="b">
        <v>1</v>
      </c>
      <c r="H310" s="92" t="b">
        <v>0</v>
      </c>
      <c r="I310" s="92" t="b">
        <v>0</v>
      </c>
      <c r="J310" s="92" t="b">
        <v>0</v>
      </c>
      <c r="K310" s="92" t="b">
        <v>0</v>
      </c>
      <c r="L310" s="92" t="b">
        <v>0</v>
      </c>
    </row>
    <row r="311" spans="1:12" ht="15">
      <c r="A311" s="93" t="s">
        <v>717</v>
      </c>
      <c r="B311" s="92" t="s">
        <v>931</v>
      </c>
      <c r="C311" s="92">
        <v>2</v>
      </c>
      <c r="D311" s="125">
        <v>0.0025759113820322853</v>
      </c>
      <c r="E311" s="125">
        <v>2.1480625354554377</v>
      </c>
      <c r="F311" s="92" t="s">
        <v>1137</v>
      </c>
      <c r="G311" s="92" t="b">
        <v>0</v>
      </c>
      <c r="H311" s="92" t="b">
        <v>0</v>
      </c>
      <c r="I311" s="92" t="b">
        <v>0</v>
      </c>
      <c r="J311" s="92" t="b">
        <v>0</v>
      </c>
      <c r="K311" s="92" t="b">
        <v>0</v>
      </c>
      <c r="L311" s="92" t="b">
        <v>0</v>
      </c>
    </row>
    <row r="312" spans="1:12" ht="15">
      <c r="A312" s="93" t="s">
        <v>931</v>
      </c>
      <c r="B312" s="92" t="s">
        <v>930</v>
      </c>
      <c r="C312" s="92">
        <v>2</v>
      </c>
      <c r="D312" s="125">
        <v>0.0025759113820322853</v>
      </c>
      <c r="E312" s="125">
        <v>2.1480625354554377</v>
      </c>
      <c r="F312" s="92" t="s">
        <v>1137</v>
      </c>
      <c r="G312" s="92" t="b">
        <v>0</v>
      </c>
      <c r="H312" s="92" t="b">
        <v>0</v>
      </c>
      <c r="I312" s="92" t="b">
        <v>0</v>
      </c>
      <c r="J312" s="92" t="b">
        <v>0</v>
      </c>
      <c r="K312" s="92" t="b">
        <v>0</v>
      </c>
      <c r="L312" s="92" t="b">
        <v>0</v>
      </c>
    </row>
    <row r="313" spans="1:12" ht="15">
      <c r="A313" s="93" t="s">
        <v>731</v>
      </c>
      <c r="B313" s="92" t="s">
        <v>701</v>
      </c>
      <c r="C313" s="92">
        <v>2</v>
      </c>
      <c r="D313" s="125">
        <v>0.0025759113820322853</v>
      </c>
      <c r="E313" s="125">
        <v>1.212303431710126</v>
      </c>
      <c r="F313" s="92" t="s">
        <v>1137</v>
      </c>
      <c r="G313" s="92" t="b">
        <v>1</v>
      </c>
      <c r="H313" s="92" t="b">
        <v>0</v>
      </c>
      <c r="I313" s="92" t="b">
        <v>0</v>
      </c>
      <c r="J313" s="92" t="b">
        <v>0</v>
      </c>
      <c r="K313" s="92" t="b">
        <v>0</v>
      </c>
      <c r="L313" s="92" t="b">
        <v>0</v>
      </c>
    </row>
    <row r="314" spans="1:12" ht="15">
      <c r="A314" s="93" t="s">
        <v>732</v>
      </c>
      <c r="B314" s="92" t="s">
        <v>728</v>
      </c>
      <c r="C314" s="92">
        <v>2</v>
      </c>
      <c r="D314" s="125">
        <v>0.0025759113820322853</v>
      </c>
      <c r="E314" s="125">
        <v>1.9050244867691433</v>
      </c>
      <c r="F314" s="92" t="s">
        <v>1137</v>
      </c>
      <c r="G314" s="92" t="b">
        <v>0</v>
      </c>
      <c r="H314" s="92" t="b">
        <v>0</v>
      </c>
      <c r="I314" s="92" t="b">
        <v>0</v>
      </c>
      <c r="J314" s="92" t="b">
        <v>0</v>
      </c>
      <c r="K314" s="92" t="b">
        <v>0</v>
      </c>
      <c r="L314" s="92" t="b">
        <v>0</v>
      </c>
    </row>
    <row r="315" spans="1:12" ht="15">
      <c r="A315" s="93" t="s">
        <v>729</v>
      </c>
      <c r="B315" s="92" t="s">
        <v>733</v>
      </c>
      <c r="C315" s="92">
        <v>2</v>
      </c>
      <c r="D315" s="125">
        <v>0.0025759113820322853</v>
      </c>
      <c r="E315" s="125">
        <v>2.449092531119419</v>
      </c>
      <c r="F315" s="92" t="s">
        <v>1137</v>
      </c>
      <c r="G315" s="92" t="b">
        <v>0</v>
      </c>
      <c r="H315" s="92" t="b">
        <v>0</v>
      </c>
      <c r="I315" s="92" t="b">
        <v>0</v>
      </c>
      <c r="J315" s="92" t="b">
        <v>0</v>
      </c>
      <c r="K315" s="92" t="b">
        <v>0</v>
      </c>
      <c r="L315" s="92" t="b">
        <v>0</v>
      </c>
    </row>
    <row r="316" spans="1:12" ht="15">
      <c r="A316" s="93" t="s">
        <v>733</v>
      </c>
      <c r="B316" s="92" t="s">
        <v>734</v>
      </c>
      <c r="C316" s="92">
        <v>2</v>
      </c>
      <c r="D316" s="125">
        <v>0.0025759113820322853</v>
      </c>
      <c r="E316" s="125">
        <v>2.574031267727719</v>
      </c>
      <c r="F316" s="92" t="s">
        <v>1137</v>
      </c>
      <c r="G316" s="92" t="b">
        <v>0</v>
      </c>
      <c r="H316" s="92" t="b">
        <v>0</v>
      </c>
      <c r="I316" s="92" t="b">
        <v>0</v>
      </c>
      <c r="J316" s="92" t="b">
        <v>0</v>
      </c>
      <c r="K316" s="92" t="b">
        <v>0</v>
      </c>
      <c r="L316" s="92" t="b">
        <v>0</v>
      </c>
    </row>
    <row r="317" spans="1:12" ht="15">
      <c r="A317" s="93" t="s">
        <v>734</v>
      </c>
      <c r="B317" s="92" t="s">
        <v>704</v>
      </c>
      <c r="C317" s="92">
        <v>2</v>
      </c>
      <c r="D317" s="125">
        <v>0.0025759113820322853</v>
      </c>
      <c r="E317" s="125">
        <v>1.6989700043360187</v>
      </c>
      <c r="F317" s="92" t="s">
        <v>1137</v>
      </c>
      <c r="G317" s="92" t="b">
        <v>0</v>
      </c>
      <c r="H317" s="92" t="b">
        <v>0</v>
      </c>
      <c r="I317" s="92" t="b">
        <v>0</v>
      </c>
      <c r="J317" s="92" t="b">
        <v>0</v>
      </c>
      <c r="K317" s="92" t="b">
        <v>0</v>
      </c>
      <c r="L317" s="92" t="b">
        <v>0</v>
      </c>
    </row>
    <row r="318" spans="1:12" ht="15">
      <c r="A318" s="93" t="s">
        <v>704</v>
      </c>
      <c r="B318" s="92" t="s">
        <v>1121</v>
      </c>
      <c r="C318" s="92">
        <v>2</v>
      </c>
      <c r="D318" s="125">
        <v>0.0025759113820322853</v>
      </c>
      <c r="E318" s="125">
        <v>1.8750612633917</v>
      </c>
      <c r="F318" s="92" t="s">
        <v>1137</v>
      </c>
      <c r="G318" s="92" t="b">
        <v>0</v>
      </c>
      <c r="H318" s="92" t="b">
        <v>0</v>
      </c>
      <c r="I318" s="92" t="b">
        <v>0</v>
      </c>
      <c r="J318" s="92" t="b">
        <v>0</v>
      </c>
      <c r="K318" s="92" t="b">
        <v>0</v>
      </c>
      <c r="L318" s="92" t="b">
        <v>0</v>
      </c>
    </row>
    <row r="319" spans="1:12" ht="15">
      <c r="A319" s="93" t="s">
        <v>1121</v>
      </c>
      <c r="B319" s="92" t="s">
        <v>1122</v>
      </c>
      <c r="C319" s="92">
        <v>2</v>
      </c>
      <c r="D319" s="125">
        <v>0.0025759113820322853</v>
      </c>
      <c r="E319" s="125">
        <v>2.7501225267834</v>
      </c>
      <c r="F319" s="92" t="s">
        <v>1137</v>
      </c>
      <c r="G319" s="92" t="b">
        <v>0</v>
      </c>
      <c r="H319" s="92" t="b">
        <v>0</v>
      </c>
      <c r="I319" s="92" t="b">
        <v>0</v>
      </c>
      <c r="J319" s="92" t="b">
        <v>0</v>
      </c>
      <c r="K319" s="92" t="b">
        <v>0</v>
      </c>
      <c r="L319" s="92" t="b">
        <v>0</v>
      </c>
    </row>
    <row r="320" spans="1:12" ht="15">
      <c r="A320" s="93" t="s">
        <v>1122</v>
      </c>
      <c r="B320" s="92" t="s">
        <v>986</v>
      </c>
      <c r="C320" s="92">
        <v>2</v>
      </c>
      <c r="D320" s="125">
        <v>0.0025759113820322853</v>
      </c>
      <c r="E320" s="125">
        <v>2.574031267727719</v>
      </c>
      <c r="F320" s="92" t="s">
        <v>1137</v>
      </c>
      <c r="G320" s="92" t="b">
        <v>0</v>
      </c>
      <c r="H320" s="92" t="b">
        <v>0</v>
      </c>
      <c r="I320" s="92" t="b">
        <v>0</v>
      </c>
      <c r="J320" s="92" t="b">
        <v>0</v>
      </c>
      <c r="K320" s="92" t="b">
        <v>0</v>
      </c>
      <c r="L320" s="92" t="b">
        <v>0</v>
      </c>
    </row>
    <row r="321" spans="1:12" ht="15">
      <c r="A321" s="93" t="s">
        <v>986</v>
      </c>
      <c r="B321" s="92" t="s">
        <v>987</v>
      </c>
      <c r="C321" s="92">
        <v>2</v>
      </c>
      <c r="D321" s="125">
        <v>0.0025759113820322853</v>
      </c>
      <c r="E321" s="125">
        <v>2.3979400086720375</v>
      </c>
      <c r="F321" s="92" t="s">
        <v>1137</v>
      </c>
      <c r="G321" s="92" t="b">
        <v>0</v>
      </c>
      <c r="H321" s="92" t="b">
        <v>0</v>
      </c>
      <c r="I321" s="92" t="b">
        <v>0</v>
      </c>
      <c r="J321" s="92" t="b">
        <v>1</v>
      </c>
      <c r="K321" s="92" t="b">
        <v>0</v>
      </c>
      <c r="L321" s="92" t="b">
        <v>0</v>
      </c>
    </row>
    <row r="322" spans="1:12" ht="15">
      <c r="A322" s="93" t="s">
        <v>987</v>
      </c>
      <c r="B322" s="92" t="s">
        <v>890</v>
      </c>
      <c r="C322" s="92">
        <v>2</v>
      </c>
      <c r="D322" s="125">
        <v>0.0025759113820322853</v>
      </c>
      <c r="E322" s="125">
        <v>1.9719712763997566</v>
      </c>
      <c r="F322" s="92" t="s">
        <v>1137</v>
      </c>
      <c r="G322" s="92" t="b">
        <v>1</v>
      </c>
      <c r="H322" s="92" t="b">
        <v>0</v>
      </c>
      <c r="I322" s="92" t="b">
        <v>0</v>
      </c>
      <c r="J322" s="92" t="b">
        <v>0</v>
      </c>
      <c r="K322" s="92" t="b">
        <v>0</v>
      </c>
      <c r="L322" s="92" t="b">
        <v>0</v>
      </c>
    </row>
    <row r="323" spans="1:12" ht="15">
      <c r="A323" s="93" t="s">
        <v>956</v>
      </c>
      <c r="B323" s="92" t="s">
        <v>1123</v>
      </c>
      <c r="C323" s="92">
        <v>2</v>
      </c>
      <c r="D323" s="125">
        <v>0.0025759113820322853</v>
      </c>
      <c r="E323" s="125">
        <v>2.449092531119419</v>
      </c>
      <c r="F323" s="92" t="s">
        <v>1137</v>
      </c>
      <c r="G323" s="92" t="b">
        <v>0</v>
      </c>
      <c r="H323" s="92" t="b">
        <v>0</v>
      </c>
      <c r="I323" s="92" t="b">
        <v>0</v>
      </c>
      <c r="J323" s="92" t="b">
        <v>0</v>
      </c>
      <c r="K323" s="92" t="b">
        <v>0</v>
      </c>
      <c r="L323" s="92" t="b">
        <v>0</v>
      </c>
    </row>
    <row r="324" spans="1:12" ht="15">
      <c r="A324" s="93" t="s">
        <v>1123</v>
      </c>
      <c r="B324" s="92" t="s">
        <v>891</v>
      </c>
      <c r="C324" s="92">
        <v>2</v>
      </c>
      <c r="D324" s="125">
        <v>0.0025759113820322853</v>
      </c>
      <c r="E324" s="125">
        <v>2.2060544824331245</v>
      </c>
      <c r="F324" s="92" t="s">
        <v>1137</v>
      </c>
      <c r="G324" s="92" t="b">
        <v>0</v>
      </c>
      <c r="H324" s="92" t="b">
        <v>0</v>
      </c>
      <c r="I324" s="92" t="b">
        <v>0</v>
      </c>
      <c r="J324" s="92" t="b">
        <v>0</v>
      </c>
      <c r="K324" s="92" t="b">
        <v>0</v>
      </c>
      <c r="L324" s="92" t="b">
        <v>0</v>
      </c>
    </row>
    <row r="325" spans="1:12" ht="15">
      <c r="A325" s="93" t="s">
        <v>891</v>
      </c>
      <c r="B325" s="92" t="s">
        <v>1124</v>
      </c>
      <c r="C325" s="92">
        <v>2</v>
      </c>
      <c r="D325" s="125">
        <v>0.0025759113820322853</v>
      </c>
      <c r="E325" s="125">
        <v>2.2060544824331245</v>
      </c>
      <c r="F325" s="92" t="s">
        <v>1137</v>
      </c>
      <c r="G325" s="92" t="b">
        <v>0</v>
      </c>
      <c r="H325" s="92" t="b">
        <v>0</v>
      </c>
      <c r="I325" s="92" t="b">
        <v>0</v>
      </c>
      <c r="J325" s="92" t="b">
        <v>0</v>
      </c>
      <c r="K325" s="92" t="b">
        <v>0</v>
      </c>
      <c r="L325" s="92" t="b">
        <v>0</v>
      </c>
    </row>
    <row r="326" spans="1:12" ht="15">
      <c r="A326" s="93" t="s">
        <v>1124</v>
      </c>
      <c r="B326" s="92" t="s">
        <v>1125</v>
      </c>
      <c r="C326" s="92">
        <v>2</v>
      </c>
      <c r="D326" s="125">
        <v>0.0025759113820322853</v>
      </c>
      <c r="E326" s="125">
        <v>2.7501225267834</v>
      </c>
      <c r="F326" s="92" t="s">
        <v>1137</v>
      </c>
      <c r="G326" s="92" t="b">
        <v>0</v>
      </c>
      <c r="H326" s="92" t="b">
        <v>0</v>
      </c>
      <c r="I326" s="92" t="b">
        <v>0</v>
      </c>
      <c r="J326" s="92" t="b">
        <v>0</v>
      </c>
      <c r="K326" s="92" t="b">
        <v>0</v>
      </c>
      <c r="L326" s="92" t="b">
        <v>0</v>
      </c>
    </row>
    <row r="327" spans="1:12" ht="15">
      <c r="A327" s="93" t="s">
        <v>1125</v>
      </c>
      <c r="B327" s="92" t="s">
        <v>701</v>
      </c>
      <c r="C327" s="92">
        <v>2</v>
      </c>
      <c r="D327" s="125">
        <v>0.0025759113820322853</v>
      </c>
      <c r="E327" s="125">
        <v>1.212303431710126</v>
      </c>
      <c r="F327" s="92" t="s">
        <v>1137</v>
      </c>
      <c r="G327" s="92" t="b">
        <v>0</v>
      </c>
      <c r="H327" s="92" t="b">
        <v>0</v>
      </c>
      <c r="I327" s="92" t="b">
        <v>0</v>
      </c>
      <c r="J327" s="92" t="b">
        <v>0</v>
      </c>
      <c r="K327" s="92" t="b">
        <v>0</v>
      </c>
      <c r="L327" s="92" t="b">
        <v>0</v>
      </c>
    </row>
    <row r="328" spans="1:12" ht="15">
      <c r="A328" s="93" t="s">
        <v>1126</v>
      </c>
      <c r="B328" s="92" t="s">
        <v>701</v>
      </c>
      <c r="C328" s="92">
        <v>2</v>
      </c>
      <c r="D328" s="125">
        <v>0.0025759113820322853</v>
      </c>
      <c r="E328" s="125">
        <v>1.212303431710126</v>
      </c>
      <c r="F328" s="92" t="s">
        <v>1137</v>
      </c>
      <c r="G328" s="92" t="b">
        <v>0</v>
      </c>
      <c r="H328" s="92" t="b">
        <v>0</v>
      </c>
      <c r="I328" s="92" t="b">
        <v>0</v>
      </c>
      <c r="J328" s="92" t="b">
        <v>0</v>
      </c>
      <c r="K328" s="92" t="b">
        <v>0</v>
      </c>
      <c r="L328" s="92" t="b">
        <v>0</v>
      </c>
    </row>
    <row r="329" spans="1:12" ht="15">
      <c r="A329" s="93" t="s">
        <v>1130</v>
      </c>
      <c r="B329" s="92" t="s">
        <v>1131</v>
      </c>
      <c r="C329" s="92">
        <v>2</v>
      </c>
      <c r="D329" s="125">
        <v>0.0030801492307156704</v>
      </c>
      <c r="E329" s="125">
        <v>2.7501225267834</v>
      </c>
      <c r="F329" s="92" t="s">
        <v>1137</v>
      </c>
      <c r="G329" s="92" t="b">
        <v>0</v>
      </c>
      <c r="H329" s="92" t="b">
        <v>0</v>
      </c>
      <c r="I329" s="92" t="b">
        <v>0</v>
      </c>
      <c r="J329" s="92" t="b">
        <v>0</v>
      </c>
      <c r="K329" s="92" t="b">
        <v>0</v>
      </c>
      <c r="L329" s="92" t="b">
        <v>0</v>
      </c>
    </row>
    <row r="330" spans="1:12" ht="15">
      <c r="A330" s="93" t="s">
        <v>703</v>
      </c>
      <c r="B330" s="92" t="s">
        <v>704</v>
      </c>
      <c r="C330" s="92">
        <v>9</v>
      </c>
      <c r="D330" s="125">
        <v>0.008138045461973085</v>
      </c>
      <c r="E330" s="125">
        <v>1.7024305364455252</v>
      </c>
      <c r="F330" s="92" t="s">
        <v>649</v>
      </c>
      <c r="G330" s="92" t="b">
        <v>0</v>
      </c>
      <c r="H330" s="92" t="b">
        <v>0</v>
      </c>
      <c r="I330" s="92" t="b">
        <v>0</v>
      </c>
      <c r="J330" s="92" t="b">
        <v>0</v>
      </c>
      <c r="K330" s="92" t="b">
        <v>0</v>
      </c>
      <c r="L330" s="92" t="b">
        <v>0</v>
      </c>
    </row>
    <row r="331" spans="1:12" ht="15">
      <c r="A331" s="93" t="s">
        <v>712</v>
      </c>
      <c r="B331" s="92" t="s">
        <v>713</v>
      </c>
      <c r="C331" s="92">
        <v>8</v>
      </c>
      <c r="D331" s="125">
        <v>0.010738121851220148</v>
      </c>
      <c r="E331" s="125">
        <v>1.975431808509263</v>
      </c>
      <c r="F331" s="92" t="s">
        <v>649</v>
      </c>
      <c r="G331" s="92" t="b">
        <v>0</v>
      </c>
      <c r="H331" s="92" t="b">
        <v>0</v>
      </c>
      <c r="I331" s="92" t="b">
        <v>0</v>
      </c>
      <c r="J331" s="92" t="b">
        <v>0</v>
      </c>
      <c r="K331" s="92" t="b">
        <v>0</v>
      </c>
      <c r="L331" s="92" t="b">
        <v>0</v>
      </c>
    </row>
    <row r="332" spans="1:12" ht="15">
      <c r="A332" s="93" t="s">
        <v>706</v>
      </c>
      <c r="B332" s="92" t="s">
        <v>959</v>
      </c>
      <c r="C332" s="92">
        <v>4</v>
      </c>
      <c r="D332" s="125">
        <v>0.005369060925610074</v>
      </c>
      <c r="E332" s="125">
        <v>1.7993405494535817</v>
      </c>
      <c r="F332" s="92" t="s">
        <v>649</v>
      </c>
      <c r="G332" s="92" t="b">
        <v>0</v>
      </c>
      <c r="H332" s="92" t="b">
        <v>0</v>
      </c>
      <c r="I332" s="92" t="b">
        <v>0</v>
      </c>
      <c r="J332" s="92" t="b">
        <v>0</v>
      </c>
      <c r="K332" s="92" t="b">
        <v>0</v>
      </c>
      <c r="L332" s="92" t="b">
        <v>0</v>
      </c>
    </row>
    <row r="333" spans="1:12" ht="15">
      <c r="A333" s="93" t="s">
        <v>959</v>
      </c>
      <c r="B333" s="92" t="s">
        <v>960</v>
      </c>
      <c r="C333" s="92">
        <v>4</v>
      </c>
      <c r="D333" s="125">
        <v>0.005369060925610074</v>
      </c>
      <c r="E333" s="125">
        <v>2.2764618041732443</v>
      </c>
      <c r="F333" s="92" t="s">
        <v>649</v>
      </c>
      <c r="G333" s="92" t="b">
        <v>0</v>
      </c>
      <c r="H333" s="92" t="b">
        <v>0</v>
      </c>
      <c r="I333" s="92" t="b">
        <v>0</v>
      </c>
      <c r="J333" s="92" t="b">
        <v>0</v>
      </c>
      <c r="K333" s="92" t="b">
        <v>0</v>
      </c>
      <c r="L333" s="92" t="b">
        <v>0</v>
      </c>
    </row>
    <row r="334" spans="1:12" ht="15">
      <c r="A334" s="93" t="s">
        <v>960</v>
      </c>
      <c r="B334" s="92" t="s">
        <v>961</v>
      </c>
      <c r="C334" s="92">
        <v>4</v>
      </c>
      <c r="D334" s="125">
        <v>0.005369060925610074</v>
      </c>
      <c r="E334" s="125">
        <v>2.2764618041732443</v>
      </c>
      <c r="F334" s="92" t="s">
        <v>649</v>
      </c>
      <c r="G334" s="92" t="b">
        <v>0</v>
      </c>
      <c r="H334" s="92" t="b">
        <v>0</v>
      </c>
      <c r="I334" s="92" t="b">
        <v>0</v>
      </c>
      <c r="J334" s="92" t="b">
        <v>0</v>
      </c>
      <c r="K334" s="92" t="b">
        <v>0</v>
      </c>
      <c r="L334" s="92" t="b">
        <v>0</v>
      </c>
    </row>
    <row r="335" spans="1:12" ht="15">
      <c r="A335" s="93" t="s">
        <v>961</v>
      </c>
      <c r="B335" s="92" t="s">
        <v>962</v>
      </c>
      <c r="C335" s="92">
        <v>4</v>
      </c>
      <c r="D335" s="125">
        <v>0.005369060925610074</v>
      </c>
      <c r="E335" s="125">
        <v>2.2764618041732443</v>
      </c>
      <c r="F335" s="92" t="s">
        <v>649</v>
      </c>
      <c r="G335" s="92" t="b">
        <v>0</v>
      </c>
      <c r="H335" s="92" t="b">
        <v>0</v>
      </c>
      <c r="I335" s="92" t="b">
        <v>0</v>
      </c>
      <c r="J335" s="92" t="b">
        <v>1</v>
      </c>
      <c r="K335" s="92" t="b">
        <v>0</v>
      </c>
      <c r="L335" s="92" t="b">
        <v>0</v>
      </c>
    </row>
    <row r="336" spans="1:12" ht="15">
      <c r="A336" s="93" t="s">
        <v>962</v>
      </c>
      <c r="B336" s="92" t="s">
        <v>703</v>
      </c>
      <c r="C336" s="92">
        <v>4</v>
      </c>
      <c r="D336" s="125">
        <v>0.005369060925610074</v>
      </c>
      <c r="E336" s="125">
        <v>1.7024305364455254</v>
      </c>
      <c r="F336" s="92" t="s">
        <v>649</v>
      </c>
      <c r="G336" s="92" t="b">
        <v>1</v>
      </c>
      <c r="H336" s="92" t="b">
        <v>0</v>
      </c>
      <c r="I336" s="92" t="b">
        <v>0</v>
      </c>
      <c r="J336" s="92" t="b">
        <v>0</v>
      </c>
      <c r="K336" s="92" t="b">
        <v>0</v>
      </c>
      <c r="L336" s="92" t="b">
        <v>0</v>
      </c>
    </row>
    <row r="337" spans="1:12" ht="15">
      <c r="A337" s="93" t="s">
        <v>704</v>
      </c>
      <c r="B337" s="92" t="s">
        <v>890</v>
      </c>
      <c r="C337" s="92">
        <v>4</v>
      </c>
      <c r="D337" s="125">
        <v>0.005369060925610074</v>
      </c>
      <c r="E337" s="125">
        <v>1.7481880270062005</v>
      </c>
      <c r="F337" s="92" t="s">
        <v>649</v>
      </c>
      <c r="G337" s="92" t="b">
        <v>0</v>
      </c>
      <c r="H337" s="92" t="b">
        <v>0</v>
      </c>
      <c r="I337" s="92" t="b">
        <v>0</v>
      </c>
      <c r="J337" s="92" t="b">
        <v>0</v>
      </c>
      <c r="K337" s="92" t="b">
        <v>0</v>
      </c>
      <c r="L337" s="92" t="b">
        <v>0</v>
      </c>
    </row>
    <row r="338" spans="1:12" ht="15">
      <c r="A338" s="93" t="s">
        <v>890</v>
      </c>
      <c r="B338" s="92" t="s">
        <v>963</v>
      </c>
      <c r="C338" s="92">
        <v>4</v>
      </c>
      <c r="D338" s="125">
        <v>0.005369060925610074</v>
      </c>
      <c r="E338" s="125">
        <v>2.100370545117563</v>
      </c>
      <c r="F338" s="92" t="s">
        <v>649</v>
      </c>
      <c r="G338" s="92" t="b">
        <v>0</v>
      </c>
      <c r="H338" s="92" t="b">
        <v>0</v>
      </c>
      <c r="I338" s="92" t="b">
        <v>0</v>
      </c>
      <c r="J338" s="92" t="b">
        <v>0</v>
      </c>
      <c r="K338" s="92" t="b">
        <v>0</v>
      </c>
      <c r="L338" s="92" t="b">
        <v>0</v>
      </c>
    </row>
    <row r="339" spans="1:12" ht="15">
      <c r="A339" s="93" t="s">
        <v>963</v>
      </c>
      <c r="B339" s="92" t="s">
        <v>964</v>
      </c>
      <c r="C339" s="92">
        <v>4</v>
      </c>
      <c r="D339" s="125">
        <v>0.005369060925610074</v>
      </c>
      <c r="E339" s="125">
        <v>2.2764618041732443</v>
      </c>
      <c r="F339" s="92" t="s">
        <v>649</v>
      </c>
      <c r="G339" s="92" t="b">
        <v>0</v>
      </c>
      <c r="H339" s="92" t="b">
        <v>0</v>
      </c>
      <c r="I339" s="92" t="b">
        <v>0</v>
      </c>
      <c r="J339" s="92" t="b">
        <v>0</v>
      </c>
      <c r="K339" s="92" t="b">
        <v>0</v>
      </c>
      <c r="L339" s="92" t="b">
        <v>0</v>
      </c>
    </row>
    <row r="340" spans="1:12" ht="15">
      <c r="A340" s="93" t="s">
        <v>964</v>
      </c>
      <c r="B340" s="92" t="s">
        <v>965</v>
      </c>
      <c r="C340" s="92">
        <v>4</v>
      </c>
      <c r="D340" s="125">
        <v>0.005369060925610074</v>
      </c>
      <c r="E340" s="125">
        <v>2.2764618041732443</v>
      </c>
      <c r="F340" s="92" t="s">
        <v>649</v>
      </c>
      <c r="G340" s="92" t="b">
        <v>0</v>
      </c>
      <c r="H340" s="92" t="b">
        <v>0</v>
      </c>
      <c r="I340" s="92" t="b">
        <v>0</v>
      </c>
      <c r="J340" s="92" t="b">
        <v>0</v>
      </c>
      <c r="K340" s="92" t="b">
        <v>0</v>
      </c>
      <c r="L340" s="92" t="b">
        <v>0</v>
      </c>
    </row>
    <row r="341" spans="1:12" ht="15">
      <c r="A341" s="93" t="s">
        <v>965</v>
      </c>
      <c r="B341" s="92" t="s">
        <v>966</v>
      </c>
      <c r="C341" s="92">
        <v>4</v>
      </c>
      <c r="D341" s="125">
        <v>0.005369060925610074</v>
      </c>
      <c r="E341" s="125">
        <v>2.2764618041732443</v>
      </c>
      <c r="F341" s="92" t="s">
        <v>649</v>
      </c>
      <c r="G341" s="92" t="b">
        <v>0</v>
      </c>
      <c r="H341" s="92" t="b">
        <v>0</v>
      </c>
      <c r="I341" s="92" t="b">
        <v>0</v>
      </c>
      <c r="J341" s="92" t="b">
        <v>0</v>
      </c>
      <c r="K341" s="92" t="b">
        <v>0</v>
      </c>
      <c r="L341" s="92" t="b">
        <v>0</v>
      </c>
    </row>
    <row r="342" spans="1:12" ht="15">
      <c r="A342" s="93" t="s">
        <v>966</v>
      </c>
      <c r="B342" s="92" t="s">
        <v>924</v>
      </c>
      <c r="C342" s="92">
        <v>4</v>
      </c>
      <c r="D342" s="125">
        <v>0.005369060925610074</v>
      </c>
      <c r="E342" s="125">
        <v>2.2764618041732443</v>
      </c>
      <c r="F342" s="92" t="s">
        <v>649</v>
      </c>
      <c r="G342" s="92" t="b">
        <v>0</v>
      </c>
      <c r="H342" s="92" t="b">
        <v>0</v>
      </c>
      <c r="I342" s="92" t="b">
        <v>0</v>
      </c>
      <c r="J342" s="92" t="b">
        <v>0</v>
      </c>
      <c r="K342" s="92" t="b">
        <v>0</v>
      </c>
      <c r="L342" s="92" t="b">
        <v>0</v>
      </c>
    </row>
    <row r="343" spans="1:12" ht="15">
      <c r="A343" s="93" t="s">
        <v>924</v>
      </c>
      <c r="B343" s="92" t="s">
        <v>967</v>
      </c>
      <c r="C343" s="92">
        <v>4</v>
      </c>
      <c r="D343" s="125">
        <v>0.005369060925610074</v>
      </c>
      <c r="E343" s="125">
        <v>2.2764618041732443</v>
      </c>
      <c r="F343" s="92" t="s">
        <v>649</v>
      </c>
      <c r="G343" s="92" t="b">
        <v>0</v>
      </c>
      <c r="H343" s="92" t="b">
        <v>0</v>
      </c>
      <c r="I343" s="92" t="b">
        <v>0</v>
      </c>
      <c r="J343" s="92" t="b">
        <v>1</v>
      </c>
      <c r="K343" s="92" t="b">
        <v>0</v>
      </c>
      <c r="L343" s="92" t="b">
        <v>0</v>
      </c>
    </row>
    <row r="344" spans="1:12" ht="15">
      <c r="A344" s="93" t="s">
        <v>967</v>
      </c>
      <c r="B344" s="92" t="s">
        <v>899</v>
      </c>
      <c r="C344" s="92">
        <v>4</v>
      </c>
      <c r="D344" s="125">
        <v>0.005369060925610074</v>
      </c>
      <c r="E344" s="125">
        <v>2.2764618041732443</v>
      </c>
      <c r="F344" s="92" t="s">
        <v>649</v>
      </c>
      <c r="G344" s="92" t="b">
        <v>1</v>
      </c>
      <c r="H344" s="92" t="b">
        <v>0</v>
      </c>
      <c r="I344" s="92" t="b">
        <v>0</v>
      </c>
      <c r="J344" s="92" t="b">
        <v>0</v>
      </c>
      <c r="K344" s="92" t="b">
        <v>0</v>
      </c>
      <c r="L344" s="92" t="b">
        <v>0</v>
      </c>
    </row>
    <row r="345" spans="1:12" ht="15">
      <c r="A345" s="93" t="s">
        <v>899</v>
      </c>
      <c r="B345" s="92" t="s">
        <v>886</v>
      </c>
      <c r="C345" s="92">
        <v>4</v>
      </c>
      <c r="D345" s="125">
        <v>0.005369060925610074</v>
      </c>
      <c r="E345" s="125">
        <v>2.100370545117563</v>
      </c>
      <c r="F345" s="92" t="s">
        <v>649</v>
      </c>
      <c r="G345" s="92" t="b">
        <v>0</v>
      </c>
      <c r="H345" s="92" t="b">
        <v>0</v>
      </c>
      <c r="I345" s="92" t="b">
        <v>0</v>
      </c>
      <c r="J345" s="92" t="b">
        <v>0</v>
      </c>
      <c r="K345" s="92" t="b">
        <v>0</v>
      </c>
      <c r="L345" s="92" t="b">
        <v>0</v>
      </c>
    </row>
    <row r="346" spans="1:12" ht="15">
      <c r="A346" s="93" t="s">
        <v>886</v>
      </c>
      <c r="B346" s="92" t="s">
        <v>900</v>
      </c>
      <c r="C346" s="92">
        <v>4</v>
      </c>
      <c r="D346" s="125">
        <v>0.005369060925610074</v>
      </c>
      <c r="E346" s="125">
        <v>2.100370545117563</v>
      </c>
      <c r="F346" s="92" t="s">
        <v>649</v>
      </c>
      <c r="G346" s="92" t="b">
        <v>0</v>
      </c>
      <c r="H346" s="92" t="b">
        <v>0</v>
      </c>
      <c r="I346" s="92" t="b">
        <v>0</v>
      </c>
      <c r="J346" s="92" t="b">
        <v>0</v>
      </c>
      <c r="K346" s="92" t="b">
        <v>0</v>
      </c>
      <c r="L346" s="92" t="b">
        <v>0</v>
      </c>
    </row>
    <row r="347" spans="1:12" ht="15">
      <c r="A347" s="93" t="s">
        <v>900</v>
      </c>
      <c r="B347" s="92" t="s">
        <v>968</v>
      </c>
      <c r="C347" s="92">
        <v>4</v>
      </c>
      <c r="D347" s="125">
        <v>0.005369060925610074</v>
      </c>
      <c r="E347" s="125">
        <v>2.2764618041732443</v>
      </c>
      <c r="F347" s="92" t="s">
        <v>649</v>
      </c>
      <c r="G347" s="92" t="b">
        <v>0</v>
      </c>
      <c r="H347" s="92" t="b">
        <v>0</v>
      </c>
      <c r="I347" s="92" t="b">
        <v>0</v>
      </c>
      <c r="J347" s="92" t="b">
        <v>0</v>
      </c>
      <c r="K347" s="92" t="b">
        <v>0</v>
      </c>
      <c r="L347" s="92" t="b">
        <v>0</v>
      </c>
    </row>
    <row r="348" spans="1:12" ht="15">
      <c r="A348" s="93" t="s">
        <v>968</v>
      </c>
      <c r="B348" s="92" t="s">
        <v>969</v>
      </c>
      <c r="C348" s="92">
        <v>4</v>
      </c>
      <c r="D348" s="125">
        <v>0.005369060925610074</v>
      </c>
      <c r="E348" s="125">
        <v>2.2764618041732443</v>
      </c>
      <c r="F348" s="92" t="s">
        <v>649</v>
      </c>
      <c r="G348" s="92" t="b">
        <v>0</v>
      </c>
      <c r="H348" s="92" t="b">
        <v>0</v>
      </c>
      <c r="I348" s="92" t="b">
        <v>0</v>
      </c>
      <c r="J348" s="92" t="b">
        <v>0</v>
      </c>
      <c r="K348" s="92" t="b">
        <v>0</v>
      </c>
      <c r="L348" s="92" t="b">
        <v>0</v>
      </c>
    </row>
    <row r="349" spans="1:12" ht="15">
      <c r="A349" s="93" t="s">
        <v>969</v>
      </c>
      <c r="B349" s="92" t="s">
        <v>970</v>
      </c>
      <c r="C349" s="92">
        <v>4</v>
      </c>
      <c r="D349" s="125">
        <v>0.005369060925610074</v>
      </c>
      <c r="E349" s="125">
        <v>2.2764618041732443</v>
      </c>
      <c r="F349" s="92" t="s">
        <v>649</v>
      </c>
      <c r="G349" s="92" t="b">
        <v>0</v>
      </c>
      <c r="H349" s="92" t="b">
        <v>0</v>
      </c>
      <c r="I349" s="92" t="b">
        <v>0</v>
      </c>
      <c r="J349" s="92" t="b">
        <v>0</v>
      </c>
      <c r="K349" s="92" t="b">
        <v>0</v>
      </c>
      <c r="L349" s="92" t="b">
        <v>0</v>
      </c>
    </row>
    <row r="350" spans="1:12" ht="15">
      <c r="A350" s="93" t="s">
        <v>970</v>
      </c>
      <c r="B350" s="92" t="s">
        <v>925</v>
      </c>
      <c r="C350" s="92">
        <v>4</v>
      </c>
      <c r="D350" s="125">
        <v>0.005369060925610074</v>
      </c>
      <c r="E350" s="125">
        <v>2.1795517911651876</v>
      </c>
      <c r="F350" s="92" t="s">
        <v>649</v>
      </c>
      <c r="G350" s="92" t="b">
        <v>0</v>
      </c>
      <c r="H350" s="92" t="b">
        <v>0</v>
      </c>
      <c r="I350" s="92" t="b">
        <v>0</v>
      </c>
      <c r="J350" s="92" t="b">
        <v>0</v>
      </c>
      <c r="K350" s="92" t="b">
        <v>0</v>
      </c>
      <c r="L350" s="92" t="b">
        <v>0</v>
      </c>
    </row>
    <row r="351" spans="1:12" ht="15">
      <c r="A351" s="93" t="s">
        <v>925</v>
      </c>
      <c r="B351" s="92" t="s">
        <v>703</v>
      </c>
      <c r="C351" s="92">
        <v>4</v>
      </c>
      <c r="D351" s="125">
        <v>0.005369060925610074</v>
      </c>
      <c r="E351" s="125">
        <v>1.605520523437469</v>
      </c>
      <c r="F351" s="92" t="s">
        <v>649</v>
      </c>
      <c r="G351" s="92" t="b">
        <v>0</v>
      </c>
      <c r="H351" s="92" t="b">
        <v>0</v>
      </c>
      <c r="I351" s="92" t="b">
        <v>0</v>
      </c>
      <c r="J351" s="92" t="b">
        <v>0</v>
      </c>
      <c r="K351" s="92" t="b">
        <v>0</v>
      </c>
      <c r="L351" s="92" t="b">
        <v>0</v>
      </c>
    </row>
    <row r="352" spans="1:12" ht="15">
      <c r="A352" s="93" t="s">
        <v>703</v>
      </c>
      <c r="B352" s="92" t="s">
        <v>971</v>
      </c>
      <c r="C352" s="92">
        <v>4</v>
      </c>
      <c r="D352" s="125">
        <v>0.005369060925610074</v>
      </c>
      <c r="E352" s="125">
        <v>1.7024305364455254</v>
      </c>
      <c r="F352" s="92" t="s">
        <v>649</v>
      </c>
      <c r="G352" s="92" t="b">
        <v>0</v>
      </c>
      <c r="H352" s="92" t="b">
        <v>0</v>
      </c>
      <c r="I352" s="92" t="b">
        <v>0</v>
      </c>
      <c r="J352" s="92" t="b">
        <v>0</v>
      </c>
      <c r="K352" s="92" t="b">
        <v>0</v>
      </c>
      <c r="L352" s="92" t="b">
        <v>0</v>
      </c>
    </row>
    <row r="353" spans="1:12" ht="15">
      <c r="A353" s="93" t="s">
        <v>971</v>
      </c>
      <c r="B353" s="92" t="s">
        <v>701</v>
      </c>
      <c r="C353" s="92">
        <v>4</v>
      </c>
      <c r="D353" s="125">
        <v>0.005369060925610074</v>
      </c>
      <c r="E353" s="125">
        <v>1.1972805581256194</v>
      </c>
      <c r="F353" s="92" t="s">
        <v>649</v>
      </c>
      <c r="G353" s="92" t="b">
        <v>0</v>
      </c>
      <c r="H353" s="92" t="b">
        <v>0</v>
      </c>
      <c r="I353" s="92" t="b">
        <v>0</v>
      </c>
      <c r="J353" s="92" t="b">
        <v>0</v>
      </c>
      <c r="K353" s="92" t="b">
        <v>0</v>
      </c>
      <c r="L353" s="92" t="b">
        <v>0</v>
      </c>
    </row>
    <row r="354" spans="1:12" ht="15">
      <c r="A354" s="93" t="s">
        <v>920</v>
      </c>
      <c r="B354" s="92" t="s">
        <v>949</v>
      </c>
      <c r="C354" s="92">
        <v>4</v>
      </c>
      <c r="D354" s="125">
        <v>0.005369060925610074</v>
      </c>
      <c r="E354" s="125">
        <v>2.2764618041732443</v>
      </c>
      <c r="F354" s="92" t="s">
        <v>649</v>
      </c>
      <c r="G354" s="92" t="b">
        <v>1</v>
      </c>
      <c r="H354" s="92" t="b">
        <v>0</v>
      </c>
      <c r="I354" s="92" t="b">
        <v>0</v>
      </c>
      <c r="J354" s="92" t="b">
        <v>0</v>
      </c>
      <c r="K354" s="92" t="b">
        <v>0</v>
      </c>
      <c r="L354" s="92" t="b">
        <v>0</v>
      </c>
    </row>
    <row r="355" spans="1:12" ht="15">
      <c r="A355" s="93" t="s">
        <v>949</v>
      </c>
      <c r="B355" s="92" t="s">
        <v>703</v>
      </c>
      <c r="C355" s="92">
        <v>4</v>
      </c>
      <c r="D355" s="125">
        <v>0.005369060925610074</v>
      </c>
      <c r="E355" s="125">
        <v>1.7024305364455254</v>
      </c>
      <c r="F355" s="92" t="s">
        <v>649</v>
      </c>
      <c r="G355" s="92" t="b">
        <v>0</v>
      </c>
      <c r="H355" s="92" t="b">
        <v>0</v>
      </c>
      <c r="I355" s="92" t="b">
        <v>0</v>
      </c>
      <c r="J355" s="92" t="b">
        <v>0</v>
      </c>
      <c r="K355" s="92" t="b">
        <v>0</v>
      </c>
      <c r="L355" s="92" t="b">
        <v>0</v>
      </c>
    </row>
    <row r="356" spans="1:12" ht="15">
      <c r="A356" s="93" t="s">
        <v>704</v>
      </c>
      <c r="B356" s="92" t="s">
        <v>716</v>
      </c>
      <c r="C356" s="92">
        <v>4</v>
      </c>
      <c r="D356" s="125">
        <v>0.005369060925610074</v>
      </c>
      <c r="E356" s="125">
        <v>1.9242792860618816</v>
      </c>
      <c r="F356" s="92" t="s">
        <v>649</v>
      </c>
      <c r="G356" s="92" t="b">
        <v>0</v>
      </c>
      <c r="H356" s="92" t="b">
        <v>0</v>
      </c>
      <c r="I356" s="92" t="b">
        <v>0</v>
      </c>
      <c r="J356" s="92" t="b">
        <v>0</v>
      </c>
      <c r="K356" s="92" t="b">
        <v>0</v>
      </c>
      <c r="L356" s="92" t="b">
        <v>0</v>
      </c>
    </row>
    <row r="357" spans="1:12" ht="15">
      <c r="A357" s="93" t="s">
        <v>716</v>
      </c>
      <c r="B357" s="92" t="s">
        <v>706</v>
      </c>
      <c r="C357" s="92">
        <v>4</v>
      </c>
      <c r="D357" s="125">
        <v>0.005369060925610074</v>
      </c>
      <c r="E357" s="125">
        <v>1.975431808509263</v>
      </c>
      <c r="F357" s="92" t="s">
        <v>649</v>
      </c>
      <c r="G357" s="92" t="b">
        <v>0</v>
      </c>
      <c r="H357" s="92" t="b">
        <v>0</v>
      </c>
      <c r="I357" s="92" t="b">
        <v>0</v>
      </c>
      <c r="J357" s="92" t="b">
        <v>0</v>
      </c>
      <c r="K357" s="92" t="b">
        <v>0</v>
      </c>
      <c r="L357" s="92" t="b">
        <v>0</v>
      </c>
    </row>
    <row r="358" spans="1:12" ht="15">
      <c r="A358" s="93" t="s">
        <v>706</v>
      </c>
      <c r="B358" s="92" t="s">
        <v>950</v>
      </c>
      <c r="C358" s="92">
        <v>4</v>
      </c>
      <c r="D358" s="125">
        <v>0.005369060925610074</v>
      </c>
      <c r="E358" s="125">
        <v>1.7993405494535817</v>
      </c>
      <c r="F358" s="92" t="s">
        <v>649</v>
      </c>
      <c r="G358" s="92" t="b">
        <v>0</v>
      </c>
      <c r="H358" s="92" t="b">
        <v>0</v>
      </c>
      <c r="I358" s="92" t="b">
        <v>0</v>
      </c>
      <c r="J358" s="92" t="b">
        <v>0</v>
      </c>
      <c r="K358" s="92" t="b">
        <v>0</v>
      </c>
      <c r="L358" s="92" t="b">
        <v>0</v>
      </c>
    </row>
    <row r="359" spans="1:12" ht="15">
      <c r="A359" s="93" t="s">
        <v>950</v>
      </c>
      <c r="B359" s="92" t="s">
        <v>893</v>
      </c>
      <c r="C359" s="92">
        <v>4</v>
      </c>
      <c r="D359" s="125">
        <v>0.005369060925610074</v>
      </c>
      <c r="E359" s="125">
        <v>2.1795517911651876</v>
      </c>
      <c r="F359" s="92" t="s">
        <v>649</v>
      </c>
      <c r="G359" s="92" t="b">
        <v>0</v>
      </c>
      <c r="H359" s="92" t="b">
        <v>0</v>
      </c>
      <c r="I359" s="92" t="b">
        <v>0</v>
      </c>
      <c r="J359" s="92" t="b">
        <v>0</v>
      </c>
      <c r="K359" s="92" t="b">
        <v>1</v>
      </c>
      <c r="L359" s="92" t="b">
        <v>0</v>
      </c>
    </row>
    <row r="360" spans="1:12" ht="15">
      <c r="A360" s="93" t="s">
        <v>893</v>
      </c>
      <c r="B360" s="92" t="s">
        <v>887</v>
      </c>
      <c r="C360" s="92">
        <v>4</v>
      </c>
      <c r="D360" s="125">
        <v>0.005369060925610074</v>
      </c>
      <c r="E360" s="125">
        <v>1.9365137424788934</v>
      </c>
      <c r="F360" s="92" t="s">
        <v>649</v>
      </c>
      <c r="G360" s="92" t="b">
        <v>0</v>
      </c>
      <c r="H360" s="92" t="b">
        <v>1</v>
      </c>
      <c r="I360" s="92" t="b">
        <v>0</v>
      </c>
      <c r="J360" s="92" t="b">
        <v>1</v>
      </c>
      <c r="K360" s="92" t="b">
        <v>0</v>
      </c>
      <c r="L360" s="92" t="b">
        <v>0</v>
      </c>
    </row>
    <row r="361" spans="1:12" ht="15">
      <c r="A361" s="93" t="s">
        <v>887</v>
      </c>
      <c r="B361" s="92" t="s">
        <v>901</v>
      </c>
      <c r="C361" s="92">
        <v>4</v>
      </c>
      <c r="D361" s="125">
        <v>0.005369060925610074</v>
      </c>
      <c r="E361" s="125">
        <v>1.8573324964312685</v>
      </c>
      <c r="F361" s="92" t="s">
        <v>649</v>
      </c>
      <c r="G361" s="92" t="b">
        <v>1</v>
      </c>
      <c r="H361" s="92" t="b">
        <v>0</v>
      </c>
      <c r="I361" s="92" t="b">
        <v>0</v>
      </c>
      <c r="J361" s="92" t="b">
        <v>0</v>
      </c>
      <c r="K361" s="92" t="b">
        <v>0</v>
      </c>
      <c r="L361" s="92" t="b">
        <v>0</v>
      </c>
    </row>
    <row r="362" spans="1:12" ht="15">
      <c r="A362" s="93" t="s">
        <v>901</v>
      </c>
      <c r="B362" s="92" t="s">
        <v>951</v>
      </c>
      <c r="C362" s="92">
        <v>4</v>
      </c>
      <c r="D362" s="125">
        <v>0.005369060925610074</v>
      </c>
      <c r="E362" s="125">
        <v>2.100370545117563</v>
      </c>
      <c r="F362" s="92" t="s">
        <v>649</v>
      </c>
      <c r="G362" s="92" t="b">
        <v>0</v>
      </c>
      <c r="H362" s="92" t="b">
        <v>0</v>
      </c>
      <c r="I362" s="92" t="b">
        <v>0</v>
      </c>
      <c r="J362" s="92" t="b">
        <v>0</v>
      </c>
      <c r="K362" s="92" t="b">
        <v>0</v>
      </c>
      <c r="L362" s="92" t="b">
        <v>0</v>
      </c>
    </row>
    <row r="363" spans="1:12" ht="15">
      <c r="A363" s="93" t="s">
        <v>951</v>
      </c>
      <c r="B363" s="92" t="s">
        <v>897</v>
      </c>
      <c r="C363" s="92">
        <v>4</v>
      </c>
      <c r="D363" s="125">
        <v>0.005369060925610074</v>
      </c>
      <c r="E363" s="125">
        <v>2.2764618041732443</v>
      </c>
      <c r="F363" s="92" t="s">
        <v>649</v>
      </c>
      <c r="G363" s="92" t="b">
        <v>0</v>
      </c>
      <c r="H363" s="92" t="b">
        <v>0</v>
      </c>
      <c r="I363" s="92" t="b">
        <v>0</v>
      </c>
      <c r="J363" s="92" t="b">
        <v>0</v>
      </c>
      <c r="K363" s="92" t="b">
        <v>0</v>
      </c>
      <c r="L363" s="92" t="b">
        <v>0</v>
      </c>
    </row>
    <row r="364" spans="1:12" ht="15">
      <c r="A364" s="93" t="s">
        <v>897</v>
      </c>
      <c r="B364" s="92" t="s">
        <v>898</v>
      </c>
      <c r="C364" s="92">
        <v>4</v>
      </c>
      <c r="D364" s="125">
        <v>0.005369060925610074</v>
      </c>
      <c r="E364" s="125">
        <v>2.2764618041732443</v>
      </c>
      <c r="F364" s="92" t="s">
        <v>649</v>
      </c>
      <c r="G364" s="92" t="b">
        <v>0</v>
      </c>
      <c r="H364" s="92" t="b">
        <v>0</v>
      </c>
      <c r="I364" s="92" t="b">
        <v>0</v>
      </c>
      <c r="J364" s="92" t="b">
        <v>1</v>
      </c>
      <c r="K364" s="92" t="b">
        <v>0</v>
      </c>
      <c r="L364" s="92" t="b">
        <v>0</v>
      </c>
    </row>
    <row r="365" spans="1:12" ht="15">
      <c r="A365" s="93" t="s">
        <v>898</v>
      </c>
      <c r="B365" s="92" t="s">
        <v>701</v>
      </c>
      <c r="C365" s="92">
        <v>4</v>
      </c>
      <c r="D365" s="125">
        <v>0.005369060925610074</v>
      </c>
      <c r="E365" s="125">
        <v>1.1972805581256194</v>
      </c>
      <c r="F365" s="92" t="s">
        <v>649</v>
      </c>
      <c r="G365" s="92" t="b">
        <v>1</v>
      </c>
      <c r="H365" s="92" t="b">
        <v>0</v>
      </c>
      <c r="I365" s="92" t="b">
        <v>0</v>
      </c>
      <c r="J365" s="92" t="b">
        <v>0</v>
      </c>
      <c r="K365" s="92" t="b">
        <v>0</v>
      </c>
      <c r="L365" s="92" t="b">
        <v>0</v>
      </c>
    </row>
    <row r="366" spans="1:12" ht="15">
      <c r="A366" s="93" t="s">
        <v>938</v>
      </c>
      <c r="B366" s="92" t="s">
        <v>939</v>
      </c>
      <c r="C366" s="92">
        <v>4</v>
      </c>
      <c r="D366" s="125">
        <v>0.005369060925610074</v>
      </c>
      <c r="E366" s="125">
        <v>2.2764618041732443</v>
      </c>
      <c r="F366" s="92" t="s">
        <v>649</v>
      </c>
      <c r="G366" s="92" t="b">
        <v>0</v>
      </c>
      <c r="H366" s="92" t="b">
        <v>1</v>
      </c>
      <c r="I366" s="92" t="b">
        <v>0</v>
      </c>
      <c r="J366" s="92" t="b">
        <v>0</v>
      </c>
      <c r="K366" s="92" t="b">
        <v>0</v>
      </c>
      <c r="L366" s="92" t="b">
        <v>0</v>
      </c>
    </row>
    <row r="367" spans="1:12" ht="15">
      <c r="A367" s="93" t="s">
        <v>939</v>
      </c>
      <c r="B367" s="92" t="s">
        <v>917</v>
      </c>
      <c r="C367" s="92">
        <v>4</v>
      </c>
      <c r="D367" s="125">
        <v>0.005369060925610074</v>
      </c>
      <c r="E367" s="125">
        <v>2.2764618041732443</v>
      </c>
      <c r="F367" s="92" t="s">
        <v>649</v>
      </c>
      <c r="G367" s="92" t="b">
        <v>0</v>
      </c>
      <c r="H367" s="92" t="b">
        <v>0</v>
      </c>
      <c r="I367" s="92" t="b">
        <v>0</v>
      </c>
      <c r="J367" s="92" t="b">
        <v>0</v>
      </c>
      <c r="K367" s="92" t="b">
        <v>0</v>
      </c>
      <c r="L367" s="92" t="b">
        <v>0</v>
      </c>
    </row>
    <row r="368" spans="1:12" ht="15">
      <c r="A368" s="93" t="s">
        <v>917</v>
      </c>
      <c r="B368" s="92" t="s">
        <v>918</v>
      </c>
      <c r="C368" s="92">
        <v>4</v>
      </c>
      <c r="D368" s="125">
        <v>0.005369060925610074</v>
      </c>
      <c r="E368" s="125">
        <v>2.1795517911651876</v>
      </c>
      <c r="F368" s="92" t="s">
        <v>649</v>
      </c>
      <c r="G368" s="92" t="b">
        <v>0</v>
      </c>
      <c r="H368" s="92" t="b">
        <v>0</v>
      </c>
      <c r="I368" s="92" t="b">
        <v>0</v>
      </c>
      <c r="J368" s="92" t="b">
        <v>0</v>
      </c>
      <c r="K368" s="92" t="b">
        <v>0</v>
      </c>
      <c r="L368" s="92" t="b">
        <v>0</v>
      </c>
    </row>
    <row r="369" spans="1:12" ht="15">
      <c r="A369" s="93" t="s">
        <v>918</v>
      </c>
      <c r="B369" s="92" t="s">
        <v>919</v>
      </c>
      <c r="C369" s="92">
        <v>4</v>
      </c>
      <c r="D369" s="125">
        <v>0.005369060925610074</v>
      </c>
      <c r="E369" s="125">
        <v>2.0826417781571314</v>
      </c>
      <c r="F369" s="92" t="s">
        <v>649</v>
      </c>
      <c r="G369" s="92" t="b">
        <v>0</v>
      </c>
      <c r="H369" s="92" t="b">
        <v>0</v>
      </c>
      <c r="I369" s="92" t="b">
        <v>0</v>
      </c>
      <c r="J369" s="92" t="b">
        <v>0</v>
      </c>
      <c r="K369" s="92" t="b">
        <v>0</v>
      </c>
      <c r="L369" s="92" t="b">
        <v>0</v>
      </c>
    </row>
    <row r="370" spans="1:12" ht="15">
      <c r="A370" s="93" t="s">
        <v>919</v>
      </c>
      <c r="B370" s="92" t="s">
        <v>707</v>
      </c>
      <c r="C370" s="92">
        <v>4</v>
      </c>
      <c r="D370" s="125">
        <v>0.005369060925610074</v>
      </c>
      <c r="E370" s="125">
        <v>1.8785217955012066</v>
      </c>
      <c r="F370" s="92" t="s">
        <v>649</v>
      </c>
      <c r="G370" s="92" t="b">
        <v>0</v>
      </c>
      <c r="H370" s="92" t="b">
        <v>0</v>
      </c>
      <c r="I370" s="92" t="b">
        <v>0</v>
      </c>
      <c r="J370" s="92" t="b">
        <v>0</v>
      </c>
      <c r="K370" s="92" t="b">
        <v>0</v>
      </c>
      <c r="L370" s="92" t="b">
        <v>0</v>
      </c>
    </row>
    <row r="371" spans="1:12" ht="15">
      <c r="A371" s="93" t="s">
        <v>707</v>
      </c>
      <c r="B371" s="92" t="s">
        <v>940</v>
      </c>
      <c r="C371" s="92">
        <v>4</v>
      </c>
      <c r="D371" s="125">
        <v>0.005369060925610074</v>
      </c>
      <c r="E371" s="125">
        <v>1.975431808509263</v>
      </c>
      <c r="F371" s="92" t="s">
        <v>649</v>
      </c>
      <c r="G371" s="92" t="b">
        <v>0</v>
      </c>
      <c r="H371" s="92" t="b">
        <v>0</v>
      </c>
      <c r="I371" s="92" t="b">
        <v>0</v>
      </c>
      <c r="J371" s="92" t="b">
        <v>0</v>
      </c>
      <c r="K371" s="92" t="b">
        <v>0</v>
      </c>
      <c r="L371" s="92" t="b">
        <v>0</v>
      </c>
    </row>
    <row r="372" spans="1:12" ht="15">
      <c r="A372" s="93" t="s">
        <v>940</v>
      </c>
      <c r="B372" s="92" t="s">
        <v>712</v>
      </c>
      <c r="C372" s="92">
        <v>4</v>
      </c>
      <c r="D372" s="125">
        <v>0.005369060925610074</v>
      </c>
      <c r="E372" s="125">
        <v>1.975431808509263</v>
      </c>
      <c r="F372" s="92" t="s">
        <v>649</v>
      </c>
      <c r="G372" s="92" t="b">
        <v>0</v>
      </c>
      <c r="H372" s="92" t="b">
        <v>0</v>
      </c>
      <c r="I372" s="92" t="b">
        <v>0</v>
      </c>
      <c r="J372" s="92" t="b">
        <v>0</v>
      </c>
      <c r="K372" s="92" t="b">
        <v>0</v>
      </c>
      <c r="L372" s="92" t="b">
        <v>0</v>
      </c>
    </row>
    <row r="373" spans="1:12" ht="15">
      <c r="A373" s="93" t="s">
        <v>713</v>
      </c>
      <c r="B373" s="92" t="s">
        <v>941</v>
      </c>
      <c r="C373" s="92">
        <v>4</v>
      </c>
      <c r="D373" s="125">
        <v>0.005369060925610074</v>
      </c>
      <c r="E373" s="125">
        <v>1.975431808509263</v>
      </c>
      <c r="F373" s="92" t="s">
        <v>649</v>
      </c>
      <c r="G373" s="92" t="b">
        <v>0</v>
      </c>
      <c r="H373" s="92" t="b">
        <v>0</v>
      </c>
      <c r="I373" s="92" t="b">
        <v>0</v>
      </c>
      <c r="J373" s="92" t="b">
        <v>0</v>
      </c>
      <c r="K373" s="92" t="b">
        <v>0</v>
      </c>
      <c r="L373" s="92" t="b">
        <v>0</v>
      </c>
    </row>
    <row r="374" spans="1:12" ht="15">
      <c r="A374" s="93" t="s">
        <v>941</v>
      </c>
      <c r="B374" s="92" t="s">
        <v>712</v>
      </c>
      <c r="C374" s="92">
        <v>4</v>
      </c>
      <c r="D374" s="125">
        <v>0.005369060925610074</v>
      </c>
      <c r="E374" s="125">
        <v>1.975431808509263</v>
      </c>
      <c r="F374" s="92" t="s">
        <v>649</v>
      </c>
      <c r="G374" s="92" t="b">
        <v>0</v>
      </c>
      <c r="H374" s="92" t="b">
        <v>0</v>
      </c>
      <c r="I374" s="92" t="b">
        <v>0</v>
      </c>
      <c r="J374" s="92" t="b">
        <v>0</v>
      </c>
      <c r="K374" s="92" t="b">
        <v>0</v>
      </c>
      <c r="L374" s="92" t="b">
        <v>0</v>
      </c>
    </row>
    <row r="375" spans="1:12" ht="15">
      <c r="A375" s="93" t="s">
        <v>713</v>
      </c>
      <c r="B375" s="92" t="s">
        <v>942</v>
      </c>
      <c r="C375" s="92">
        <v>4</v>
      </c>
      <c r="D375" s="125">
        <v>0.005369060925610074</v>
      </c>
      <c r="E375" s="125">
        <v>1.975431808509263</v>
      </c>
      <c r="F375" s="92" t="s">
        <v>649</v>
      </c>
      <c r="G375" s="92" t="b">
        <v>0</v>
      </c>
      <c r="H375" s="92" t="b">
        <v>0</v>
      </c>
      <c r="I375" s="92" t="b">
        <v>0</v>
      </c>
      <c r="J375" s="92" t="b">
        <v>0</v>
      </c>
      <c r="K375" s="92" t="b">
        <v>0</v>
      </c>
      <c r="L375" s="92" t="b">
        <v>0</v>
      </c>
    </row>
    <row r="376" spans="1:12" ht="15">
      <c r="A376" s="93" t="s">
        <v>942</v>
      </c>
      <c r="B376" s="92" t="s">
        <v>943</v>
      </c>
      <c r="C376" s="92">
        <v>4</v>
      </c>
      <c r="D376" s="125">
        <v>0.005369060925610074</v>
      </c>
      <c r="E376" s="125">
        <v>2.2764618041732443</v>
      </c>
      <c r="F376" s="92" t="s">
        <v>649</v>
      </c>
      <c r="G376" s="92" t="b">
        <v>0</v>
      </c>
      <c r="H376" s="92" t="b">
        <v>0</v>
      </c>
      <c r="I376" s="92" t="b">
        <v>0</v>
      </c>
      <c r="J376" s="92" t="b">
        <v>0</v>
      </c>
      <c r="K376" s="92" t="b">
        <v>0</v>
      </c>
      <c r="L376" s="92" t="b">
        <v>0</v>
      </c>
    </row>
    <row r="377" spans="1:12" ht="15">
      <c r="A377" s="93" t="s">
        <v>943</v>
      </c>
      <c r="B377" s="92" t="s">
        <v>710</v>
      </c>
      <c r="C377" s="92">
        <v>4</v>
      </c>
      <c r="D377" s="125">
        <v>0.005369060925610074</v>
      </c>
      <c r="E377" s="125">
        <v>1.975431808509263</v>
      </c>
      <c r="F377" s="92" t="s">
        <v>649</v>
      </c>
      <c r="G377" s="92" t="b">
        <v>0</v>
      </c>
      <c r="H377" s="92" t="b">
        <v>0</v>
      </c>
      <c r="I377" s="92" t="b">
        <v>0</v>
      </c>
      <c r="J377" s="92" t="b">
        <v>0</v>
      </c>
      <c r="K377" s="92" t="b">
        <v>0</v>
      </c>
      <c r="L377" s="92" t="b">
        <v>0</v>
      </c>
    </row>
    <row r="378" spans="1:12" ht="15">
      <c r="A378" s="93" t="s">
        <v>710</v>
      </c>
      <c r="B378" s="92" t="s">
        <v>944</v>
      </c>
      <c r="C378" s="92">
        <v>4</v>
      </c>
      <c r="D378" s="125">
        <v>0.005369060925610074</v>
      </c>
      <c r="E378" s="125">
        <v>1.975431808509263</v>
      </c>
      <c r="F378" s="92" t="s">
        <v>649</v>
      </c>
      <c r="G378" s="92" t="b">
        <v>0</v>
      </c>
      <c r="H378" s="92" t="b">
        <v>0</v>
      </c>
      <c r="I378" s="92" t="b">
        <v>0</v>
      </c>
      <c r="J378" s="92" t="b">
        <v>0</v>
      </c>
      <c r="K378" s="92" t="b">
        <v>0</v>
      </c>
      <c r="L378" s="92" t="b">
        <v>0</v>
      </c>
    </row>
    <row r="379" spans="1:12" ht="15">
      <c r="A379" s="93" t="s">
        <v>944</v>
      </c>
      <c r="B379" s="92" t="s">
        <v>701</v>
      </c>
      <c r="C379" s="92">
        <v>4</v>
      </c>
      <c r="D379" s="125">
        <v>0.005369060925610074</v>
      </c>
      <c r="E379" s="125">
        <v>1.1972805581256194</v>
      </c>
      <c r="F379" s="92" t="s">
        <v>649</v>
      </c>
      <c r="G379" s="92" t="b">
        <v>0</v>
      </c>
      <c r="H379" s="92" t="b">
        <v>0</v>
      </c>
      <c r="I379" s="92" t="b">
        <v>0</v>
      </c>
      <c r="J379" s="92" t="b">
        <v>0</v>
      </c>
      <c r="K379" s="92" t="b">
        <v>0</v>
      </c>
      <c r="L379" s="92" t="b">
        <v>0</v>
      </c>
    </row>
    <row r="380" spans="1:12" ht="15">
      <c r="A380" s="93" t="s">
        <v>889</v>
      </c>
      <c r="B380" s="92" t="s">
        <v>701</v>
      </c>
      <c r="C380" s="92">
        <v>4</v>
      </c>
      <c r="D380" s="125">
        <v>0.005369060925610074</v>
      </c>
      <c r="E380" s="125">
        <v>0.954242509439325</v>
      </c>
      <c r="F380" s="92" t="s">
        <v>649</v>
      </c>
      <c r="G380" s="92" t="b">
        <v>0</v>
      </c>
      <c r="H380" s="92" t="b">
        <v>0</v>
      </c>
      <c r="I380" s="92" t="b">
        <v>0</v>
      </c>
      <c r="J380" s="92" t="b">
        <v>0</v>
      </c>
      <c r="K380" s="92" t="b">
        <v>0</v>
      </c>
      <c r="L380" s="92" t="b">
        <v>0</v>
      </c>
    </row>
    <row r="381" spans="1:12" ht="15">
      <c r="A381" s="93" t="s">
        <v>708</v>
      </c>
      <c r="B381" s="92" t="s">
        <v>906</v>
      </c>
      <c r="C381" s="92">
        <v>4</v>
      </c>
      <c r="D381" s="125">
        <v>0.005369060925610074</v>
      </c>
      <c r="E381" s="125">
        <v>1.975431808509263</v>
      </c>
      <c r="F381" s="92" t="s">
        <v>649</v>
      </c>
      <c r="G381" s="92" t="b">
        <v>1</v>
      </c>
      <c r="H381" s="92" t="b">
        <v>0</v>
      </c>
      <c r="I381" s="92" t="b">
        <v>0</v>
      </c>
      <c r="J381" s="92" t="b">
        <v>0</v>
      </c>
      <c r="K381" s="92" t="b">
        <v>0</v>
      </c>
      <c r="L381" s="92" t="b">
        <v>0</v>
      </c>
    </row>
    <row r="382" spans="1:12" ht="15">
      <c r="A382" s="93" t="s">
        <v>906</v>
      </c>
      <c r="B382" s="92" t="s">
        <v>275</v>
      </c>
      <c r="C382" s="92">
        <v>4</v>
      </c>
      <c r="D382" s="125">
        <v>0.005369060925610074</v>
      </c>
      <c r="E382" s="125">
        <v>2.2764618041732443</v>
      </c>
      <c r="F382" s="92" t="s">
        <v>649</v>
      </c>
      <c r="G382" s="92" t="b">
        <v>0</v>
      </c>
      <c r="H382" s="92" t="b">
        <v>0</v>
      </c>
      <c r="I382" s="92" t="b">
        <v>0</v>
      </c>
      <c r="J382" s="92" t="b">
        <v>0</v>
      </c>
      <c r="K382" s="92" t="b">
        <v>0</v>
      </c>
      <c r="L382" s="92" t="b">
        <v>0</v>
      </c>
    </row>
    <row r="383" spans="1:12" ht="15">
      <c r="A383" s="93" t="s">
        <v>275</v>
      </c>
      <c r="B383" s="92" t="s">
        <v>710</v>
      </c>
      <c r="C383" s="92">
        <v>4</v>
      </c>
      <c r="D383" s="125">
        <v>0.005369060925610074</v>
      </c>
      <c r="E383" s="125">
        <v>1.975431808509263</v>
      </c>
      <c r="F383" s="92" t="s">
        <v>649</v>
      </c>
      <c r="G383" s="92" t="b">
        <v>0</v>
      </c>
      <c r="H383" s="92" t="b">
        <v>0</v>
      </c>
      <c r="I383" s="92" t="b">
        <v>0</v>
      </c>
      <c r="J383" s="92" t="b">
        <v>0</v>
      </c>
      <c r="K383" s="92" t="b">
        <v>0</v>
      </c>
      <c r="L383" s="92" t="b">
        <v>0</v>
      </c>
    </row>
    <row r="384" spans="1:12" ht="15">
      <c r="A384" s="93" t="s">
        <v>710</v>
      </c>
      <c r="B384" s="92" t="s">
        <v>707</v>
      </c>
      <c r="C384" s="92">
        <v>4</v>
      </c>
      <c r="D384" s="125">
        <v>0.005369060925610074</v>
      </c>
      <c r="E384" s="125">
        <v>1.6744018128452818</v>
      </c>
      <c r="F384" s="92" t="s">
        <v>649</v>
      </c>
      <c r="G384" s="92" t="b">
        <v>0</v>
      </c>
      <c r="H384" s="92" t="b">
        <v>0</v>
      </c>
      <c r="I384" s="92" t="b">
        <v>0</v>
      </c>
      <c r="J384" s="92" t="b">
        <v>0</v>
      </c>
      <c r="K384" s="92" t="b">
        <v>0</v>
      </c>
      <c r="L384" s="92" t="b">
        <v>0</v>
      </c>
    </row>
    <row r="385" spans="1:12" ht="15">
      <c r="A385" s="93" t="s">
        <v>707</v>
      </c>
      <c r="B385" s="92" t="s">
        <v>732</v>
      </c>
      <c r="C385" s="92">
        <v>4</v>
      </c>
      <c r="D385" s="125">
        <v>0.005369060925610074</v>
      </c>
      <c r="E385" s="125">
        <v>1.975431808509263</v>
      </c>
      <c r="F385" s="92" t="s">
        <v>649</v>
      </c>
      <c r="G385" s="92" t="b">
        <v>0</v>
      </c>
      <c r="H385" s="92" t="b">
        <v>0</v>
      </c>
      <c r="I385" s="92" t="b">
        <v>0</v>
      </c>
      <c r="J385" s="92" t="b">
        <v>0</v>
      </c>
      <c r="K385" s="92" t="b">
        <v>0</v>
      </c>
      <c r="L385" s="92" t="b">
        <v>0</v>
      </c>
    </row>
    <row r="386" spans="1:12" ht="15">
      <c r="A386" s="93" t="s">
        <v>732</v>
      </c>
      <c r="B386" s="92" t="s">
        <v>702</v>
      </c>
      <c r="C386" s="92">
        <v>4</v>
      </c>
      <c r="D386" s="125">
        <v>0.005369060925610074</v>
      </c>
      <c r="E386" s="125">
        <v>1.7024305364455254</v>
      </c>
      <c r="F386" s="92" t="s">
        <v>649</v>
      </c>
      <c r="G386" s="92" t="b">
        <v>0</v>
      </c>
      <c r="H386" s="92" t="b">
        <v>0</v>
      </c>
      <c r="I386" s="92" t="b">
        <v>0</v>
      </c>
      <c r="J386" s="92" t="b">
        <v>0</v>
      </c>
      <c r="K386" s="92" t="b">
        <v>0</v>
      </c>
      <c r="L386" s="92" t="b">
        <v>0</v>
      </c>
    </row>
    <row r="387" spans="1:12" ht="15">
      <c r="A387" s="93" t="s">
        <v>702</v>
      </c>
      <c r="B387" s="92" t="s">
        <v>907</v>
      </c>
      <c r="C387" s="92">
        <v>4</v>
      </c>
      <c r="D387" s="125">
        <v>0.005369060925610074</v>
      </c>
      <c r="E387" s="125">
        <v>1.7024305364455254</v>
      </c>
      <c r="F387" s="92" t="s">
        <v>649</v>
      </c>
      <c r="G387" s="92" t="b">
        <v>0</v>
      </c>
      <c r="H387" s="92" t="b">
        <v>0</v>
      </c>
      <c r="I387" s="92" t="b">
        <v>0</v>
      </c>
      <c r="J387" s="92" t="b">
        <v>0</v>
      </c>
      <c r="K387" s="92" t="b">
        <v>0</v>
      </c>
      <c r="L387" s="92" t="b">
        <v>0</v>
      </c>
    </row>
    <row r="388" spans="1:12" ht="15">
      <c r="A388" s="93" t="s">
        <v>907</v>
      </c>
      <c r="B388" s="92" t="s">
        <v>908</v>
      </c>
      <c r="C388" s="92">
        <v>4</v>
      </c>
      <c r="D388" s="125">
        <v>0.005369060925610074</v>
      </c>
      <c r="E388" s="125">
        <v>2.2764618041732443</v>
      </c>
      <c r="F388" s="92" t="s">
        <v>649</v>
      </c>
      <c r="G388" s="92" t="b">
        <v>0</v>
      </c>
      <c r="H388" s="92" t="b">
        <v>0</v>
      </c>
      <c r="I388" s="92" t="b">
        <v>0</v>
      </c>
      <c r="J388" s="92" t="b">
        <v>0</v>
      </c>
      <c r="K388" s="92" t="b">
        <v>0</v>
      </c>
      <c r="L388" s="92" t="b">
        <v>0</v>
      </c>
    </row>
    <row r="389" spans="1:12" ht="15">
      <c r="A389" s="93" t="s">
        <v>908</v>
      </c>
      <c r="B389" s="92" t="s">
        <v>909</v>
      </c>
      <c r="C389" s="92">
        <v>4</v>
      </c>
      <c r="D389" s="125">
        <v>0.005369060925610074</v>
      </c>
      <c r="E389" s="125">
        <v>2.2764618041732443</v>
      </c>
      <c r="F389" s="92" t="s">
        <v>649</v>
      </c>
      <c r="G389" s="92" t="b">
        <v>0</v>
      </c>
      <c r="H389" s="92" t="b">
        <v>0</v>
      </c>
      <c r="I389" s="92" t="b">
        <v>0</v>
      </c>
      <c r="J389" s="92" t="b">
        <v>0</v>
      </c>
      <c r="K389" s="92" t="b">
        <v>0</v>
      </c>
      <c r="L389" s="92" t="b">
        <v>0</v>
      </c>
    </row>
    <row r="390" spans="1:12" ht="15">
      <c r="A390" s="93" t="s">
        <v>909</v>
      </c>
      <c r="B390" s="92" t="s">
        <v>891</v>
      </c>
      <c r="C390" s="92">
        <v>4</v>
      </c>
      <c r="D390" s="125">
        <v>0.005369060925610074</v>
      </c>
      <c r="E390" s="125">
        <v>2.2764618041732443</v>
      </c>
      <c r="F390" s="92" t="s">
        <v>649</v>
      </c>
      <c r="G390" s="92" t="b">
        <v>0</v>
      </c>
      <c r="H390" s="92" t="b">
        <v>0</v>
      </c>
      <c r="I390" s="92" t="b">
        <v>0</v>
      </c>
      <c r="J390" s="92" t="b">
        <v>0</v>
      </c>
      <c r="K390" s="92" t="b">
        <v>0</v>
      </c>
      <c r="L390" s="92" t="b">
        <v>0</v>
      </c>
    </row>
    <row r="391" spans="1:12" ht="15">
      <c r="A391" s="93" t="s">
        <v>891</v>
      </c>
      <c r="B391" s="92" t="s">
        <v>910</v>
      </c>
      <c r="C391" s="92">
        <v>4</v>
      </c>
      <c r="D391" s="125">
        <v>0.005369060925610074</v>
      </c>
      <c r="E391" s="125">
        <v>2.2764618041732443</v>
      </c>
      <c r="F391" s="92" t="s">
        <v>649</v>
      </c>
      <c r="G391" s="92" t="b">
        <v>0</v>
      </c>
      <c r="H391" s="92" t="b">
        <v>0</v>
      </c>
      <c r="I391" s="92" t="b">
        <v>0</v>
      </c>
      <c r="J391" s="92" t="b">
        <v>0</v>
      </c>
      <c r="K391" s="92" t="b">
        <v>0</v>
      </c>
      <c r="L391" s="92" t="b">
        <v>0</v>
      </c>
    </row>
    <row r="392" spans="1:12" ht="15">
      <c r="A392" s="93" t="s">
        <v>910</v>
      </c>
      <c r="B392" s="92" t="s">
        <v>911</v>
      </c>
      <c r="C392" s="92">
        <v>4</v>
      </c>
      <c r="D392" s="125">
        <v>0.005369060925610074</v>
      </c>
      <c r="E392" s="125">
        <v>2.2764618041732443</v>
      </c>
      <c r="F392" s="92" t="s">
        <v>649</v>
      </c>
      <c r="G392" s="92" t="b">
        <v>0</v>
      </c>
      <c r="H392" s="92" t="b">
        <v>0</v>
      </c>
      <c r="I392" s="92" t="b">
        <v>0</v>
      </c>
      <c r="J392" s="92" t="b">
        <v>0</v>
      </c>
      <c r="K392" s="92" t="b">
        <v>0</v>
      </c>
      <c r="L392" s="92" t="b">
        <v>0</v>
      </c>
    </row>
    <row r="393" spans="1:12" ht="15">
      <c r="A393" s="93" t="s">
        <v>911</v>
      </c>
      <c r="B393" s="92" t="s">
        <v>705</v>
      </c>
      <c r="C393" s="92">
        <v>4</v>
      </c>
      <c r="D393" s="125">
        <v>0.005369060925610074</v>
      </c>
      <c r="E393" s="125">
        <v>1.8785217955012066</v>
      </c>
      <c r="F393" s="92" t="s">
        <v>649</v>
      </c>
      <c r="G393" s="92" t="b">
        <v>0</v>
      </c>
      <c r="H393" s="92" t="b">
        <v>0</v>
      </c>
      <c r="I393" s="92" t="b">
        <v>0</v>
      </c>
      <c r="J393" s="92" t="b">
        <v>1</v>
      </c>
      <c r="K393" s="92" t="b">
        <v>0</v>
      </c>
      <c r="L393" s="92" t="b">
        <v>0</v>
      </c>
    </row>
    <row r="394" spans="1:12" ht="15">
      <c r="A394" s="93" t="s">
        <v>705</v>
      </c>
      <c r="B394" s="92" t="s">
        <v>912</v>
      </c>
      <c r="C394" s="92">
        <v>4</v>
      </c>
      <c r="D394" s="125">
        <v>0.005369060925610074</v>
      </c>
      <c r="E394" s="125">
        <v>1.8785217955012066</v>
      </c>
      <c r="F394" s="92" t="s">
        <v>649</v>
      </c>
      <c r="G394" s="92" t="b">
        <v>1</v>
      </c>
      <c r="H394" s="92" t="b">
        <v>0</v>
      </c>
      <c r="I394" s="92" t="b">
        <v>0</v>
      </c>
      <c r="J394" s="92" t="b">
        <v>0</v>
      </c>
      <c r="K394" s="92" t="b">
        <v>0</v>
      </c>
      <c r="L394" s="92" t="b">
        <v>0</v>
      </c>
    </row>
    <row r="395" spans="1:12" ht="15">
      <c r="A395" s="93" t="s">
        <v>912</v>
      </c>
      <c r="B395" s="92" t="s">
        <v>888</v>
      </c>
      <c r="C395" s="92">
        <v>4</v>
      </c>
      <c r="D395" s="125">
        <v>0.005369060925610074</v>
      </c>
      <c r="E395" s="125">
        <v>2.100370545117563</v>
      </c>
      <c r="F395" s="92" t="s">
        <v>649</v>
      </c>
      <c r="G395" s="92" t="b">
        <v>0</v>
      </c>
      <c r="H395" s="92" t="b">
        <v>0</v>
      </c>
      <c r="I395" s="92" t="b">
        <v>0</v>
      </c>
      <c r="J395" s="92" t="b">
        <v>0</v>
      </c>
      <c r="K395" s="92" t="b">
        <v>0</v>
      </c>
      <c r="L395" s="92" t="b">
        <v>0</v>
      </c>
    </row>
    <row r="396" spans="1:12" ht="15">
      <c r="A396" s="93" t="s">
        <v>888</v>
      </c>
      <c r="B396" s="92" t="s">
        <v>913</v>
      </c>
      <c r="C396" s="92">
        <v>4</v>
      </c>
      <c r="D396" s="125">
        <v>0.005369060925610074</v>
      </c>
      <c r="E396" s="125">
        <v>2.100370545117563</v>
      </c>
      <c r="F396" s="92" t="s">
        <v>649</v>
      </c>
      <c r="G396" s="92" t="b">
        <v>0</v>
      </c>
      <c r="H396" s="92" t="b">
        <v>0</v>
      </c>
      <c r="I396" s="92" t="b">
        <v>0</v>
      </c>
      <c r="J396" s="92" t="b">
        <v>0</v>
      </c>
      <c r="K396" s="92" t="b">
        <v>0</v>
      </c>
      <c r="L396" s="92" t="b">
        <v>0</v>
      </c>
    </row>
    <row r="397" spans="1:12" ht="15">
      <c r="A397" s="93" t="s">
        <v>913</v>
      </c>
      <c r="B397" s="92" t="s">
        <v>701</v>
      </c>
      <c r="C397" s="92">
        <v>4</v>
      </c>
      <c r="D397" s="125">
        <v>0.005369060925610074</v>
      </c>
      <c r="E397" s="125">
        <v>1.1972805581256194</v>
      </c>
      <c r="F397" s="92" t="s">
        <v>649</v>
      </c>
      <c r="G397" s="92" t="b">
        <v>0</v>
      </c>
      <c r="H397" s="92" t="b">
        <v>0</v>
      </c>
      <c r="I397" s="92" t="b">
        <v>0</v>
      </c>
      <c r="J397" s="92" t="b">
        <v>0</v>
      </c>
      <c r="K397" s="92" t="b">
        <v>0</v>
      </c>
      <c r="L397" s="92" t="b">
        <v>0</v>
      </c>
    </row>
    <row r="398" spans="1:12" ht="15">
      <c r="A398" s="93" t="s">
        <v>702</v>
      </c>
      <c r="B398" s="92" t="s">
        <v>905</v>
      </c>
      <c r="C398" s="92">
        <v>3</v>
      </c>
      <c r="D398" s="125">
        <v>0.004492985009910167</v>
      </c>
      <c r="E398" s="125">
        <v>1.7024305364455252</v>
      </c>
      <c r="F398" s="92" t="s">
        <v>649</v>
      </c>
      <c r="G398" s="92" t="b">
        <v>0</v>
      </c>
      <c r="H398" s="92" t="b">
        <v>0</v>
      </c>
      <c r="I398" s="92" t="b">
        <v>0</v>
      </c>
      <c r="J398" s="92" t="b">
        <v>0</v>
      </c>
      <c r="K398" s="92" t="b">
        <v>0</v>
      </c>
      <c r="L398" s="92" t="b">
        <v>0</v>
      </c>
    </row>
    <row r="399" spans="1:12" ht="15">
      <c r="A399" s="93" t="s">
        <v>932</v>
      </c>
      <c r="B399" s="92" t="s">
        <v>933</v>
      </c>
      <c r="C399" s="92">
        <v>3</v>
      </c>
      <c r="D399" s="125">
        <v>0.004492985009910167</v>
      </c>
      <c r="E399" s="125">
        <v>2.401400540781544</v>
      </c>
      <c r="F399" s="92" t="s">
        <v>649</v>
      </c>
      <c r="G399" s="92" t="b">
        <v>1</v>
      </c>
      <c r="H399" s="92" t="b">
        <v>0</v>
      </c>
      <c r="I399" s="92" t="b">
        <v>0</v>
      </c>
      <c r="J399" s="92" t="b">
        <v>0</v>
      </c>
      <c r="K399" s="92" t="b">
        <v>0</v>
      </c>
      <c r="L399" s="92" t="b">
        <v>0</v>
      </c>
    </row>
    <row r="400" spans="1:12" ht="15">
      <c r="A400" s="93" t="s">
        <v>933</v>
      </c>
      <c r="B400" s="92" t="s">
        <v>702</v>
      </c>
      <c r="C400" s="92">
        <v>3</v>
      </c>
      <c r="D400" s="125">
        <v>0.004492985009910167</v>
      </c>
      <c r="E400" s="125">
        <v>1.7024305364455252</v>
      </c>
      <c r="F400" s="92" t="s">
        <v>649</v>
      </c>
      <c r="G400" s="92" t="b">
        <v>0</v>
      </c>
      <c r="H400" s="92" t="b">
        <v>0</v>
      </c>
      <c r="I400" s="92" t="b">
        <v>0</v>
      </c>
      <c r="J400" s="92" t="b">
        <v>0</v>
      </c>
      <c r="K400" s="92" t="b">
        <v>0</v>
      </c>
      <c r="L400" s="92" t="b">
        <v>0</v>
      </c>
    </row>
    <row r="401" spans="1:12" ht="15">
      <c r="A401" s="93" t="s">
        <v>702</v>
      </c>
      <c r="B401" s="92" t="s">
        <v>894</v>
      </c>
      <c r="C401" s="92">
        <v>3</v>
      </c>
      <c r="D401" s="125">
        <v>0.004492985009910167</v>
      </c>
      <c r="E401" s="125">
        <v>1.7024305364455252</v>
      </c>
      <c r="F401" s="92" t="s">
        <v>649</v>
      </c>
      <c r="G401" s="92" t="b">
        <v>0</v>
      </c>
      <c r="H401" s="92" t="b">
        <v>0</v>
      </c>
      <c r="I401" s="92" t="b">
        <v>0</v>
      </c>
      <c r="J401" s="92" t="b">
        <v>0</v>
      </c>
      <c r="K401" s="92" t="b">
        <v>0</v>
      </c>
      <c r="L401" s="92" t="b">
        <v>0</v>
      </c>
    </row>
    <row r="402" spans="1:12" ht="15">
      <c r="A402" s="93" t="s">
        <v>894</v>
      </c>
      <c r="B402" s="92" t="s">
        <v>934</v>
      </c>
      <c r="C402" s="92">
        <v>3</v>
      </c>
      <c r="D402" s="125">
        <v>0.004492985009910167</v>
      </c>
      <c r="E402" s="125">
        <v>2.401400540781544</v>
      </c>
      <c r="F402" s="92" t="s">
        <v>649</v>
      </c>
      <c r="G402" s="92" t="b">
        <v>0</v>
      </c>
      <c r="H402" s="92" t="b">
        <v>0</v>
      </c>
      <c r="I402" s="92" t="b">
        <v>0</v>
      </c>
      <c r="J402" s="92" t="b">
        <v>1</v>
      </c>
      <c r="K402" s="92" t="b">
        <v>0</v>
      </c>
      <c r="L402" s="92" t="b">
        <v>0</v>
      </c>
    </row>
    <row r="403" spans="1:12" ht="15">
      <c r="A403" s="93" t="s">
        <v>934</v>
      </c>
      <c r="B403" s="92" t="s">
        <v>935</v>
      </c>
      <c r="C403" s="92">
        <v>3</v>
      </c>
      <c r="D403" s="125">
        <v>0.004492985009910167</v>
      </c>
      <c r="E403" s="125">
        <v>2.401400540781544</v>
      </c>
      <c r="F403" s="92" t="s">
        <v>649</v>
      </c>
      <c r="G403" s="92" t="b">
        <v>1</v>
      </c>
      <c r="H403" s="92" t="b">
        <v>0</v>
      </c>
      <c r="I403" s="92" t="b">
        <v>0</v>
      </c>
      <c r="J403" s="92" t="b">
        <v>0</v>
      </c>
      <c r="K403" s="92" t="b">
        <v>0</v>
      </c>
      <c r="L403" s="92" t="b">
        <v>0</v>
      </c>
    </row>
    <row r="404" spans="1:12" ht="15">
      <c r="A404" s="93" t="s">
        <v>935</v>
      </c>
      <c r="B404" s="92" t="s">
        <v>915</v>
      </c>
      <c r="C404" s="92">
        <v>3</v>
      </c>
      <c r="D404" s="125">
        <v>0.004492985009910167</v>
      </c>
      <c r="E404" s="125">
        <v>2.401400540781544</v>
      </c>
      <c r="F404" s="92" t="s">
        <v>649</v>
      </c>
      <c r="G404" s="92" t="b">
        <v>0</v>
      </c>
      <c r="H404" s="92" t="b">
        <v>0</v>
      </c>
      <c r="I404" s="92" t="b">
        <v>0</v>
      </c>
      <c r="J404" s="92" t="b">
        <v>0</v>
      </c>
      <c r="K404" s="92" t="b">
        <v>0</v>
      </c>
      <c r="L404" s="92" t="b">
        <v>0</v>
      </c>
    </row>
    <row r="405" spans="1:12" ht="15">
      <c r="A405" s="93" t="s">
        <v>915</v>
      </c>
      <c r="B405" s="92" t="s">
        <v>936</v>
      </c>
      <c r="C405" s="92">
        <v>3</v>
      </c>
      <c r="D405" s="125">
        <v>0.004492985009910167</v>
      </c>
      <c r="E405" s="125">
        <v>2.401400540781544</v>
      </c>
      <c r="F405" s="92" t="s">
        <v>649</v>
      </c>
      <c r="G405" s="92" t="b">
        <v>0</v>
      </c>
      <c r="H405" s="92" t="b">
        <v>0</v>
      </c>
      <c r="I405" s="92" t="b">
        <v>0</v>
      </c>
      <c r="J405" s="92" t="b">
        <v>0</v>
      </c>
      <c r="K405" s="92" t="b">
        <v>0</v>
      </c>
      <c r="L405" s="92" t="b">
        <v>0</v>
      </c>
    </row>
    <row r="406" spans="1:12" ht="15">
      <c r="A406" s="93" t="s">
        <v>936</v>
      </c>
      <c r="B406" s="92" t="s">
        <v>709</v>
      </c>
      <c r="C406" s="92">
        <v>3</v>
      </c>
      <c r="D406" s="125">
        <v>0.004492985009910167</v>
      </c>
      <c r="E406" s="125">
        <v>2.1795517911651876</v>
      </c>
      <c r="F406" s="92" t="s">
        <v>649</v>
      </c>
      <c r="G406" s="92" t="b">
        <v>0</v>
      </c>
      <c r="H406" s="92" t="b">
        <v>0</v>
      </c>
      <c r="I406" s="92" t="b">
        <v>0</v>
      </c>
      <c r="J406" s="92" t="b">
        <v>0</v>
      </c>
      <c r="K406" s="92" t="b">
        <v>0</v>
      </c>
      <c r="L406" s="92" t="b">
        <v>0</v>
      </c>
    </row>
    <row r="407" spans="1:12" ht="15">
      <c r="A407" s="93" t="s">
        <v>709</v>
      </c>
      <c r="B407" s="92" t="s">
        <v>916</v>
      </c>
      <c r="C407" s="92">
        <v>3</v>
      </c>
      <c r="D407" s="125">
        <v>0.004492985009910167</v>
      </c>
      <c r="E407" s="125">
        <v>2.1795517911651876</v>
      </c>
      <c r="F407" s="92" t="s">
        <v>649</v>
      </c>
      <c r="G407" s="92" t="b">
        <v>0</v>
      </c>
      <c r="H407" s="92" t="b">
        <v>0</v>
      </c>
      <c r="I407" s="92" t="b">
        <v>0</v>
      </c>
      <c r="J407" s="92" t="b">
        <v>0</v>
      </c>
      <c r="K407" s="92" t="b">
        <v>0</v>
      </c>
      <c r="L407" s="92" t="b">
        <v>0</v>
      </c>
    </row>
    <row r="408" spans="1:12" ht="15">
      <c r="A408" s="93" t="s">
        <v>916</v>
      </c>
      <c r="B408" s="92" t="s">
        <v>892</v>
      </c>
      <c r="C408" s="92">
        <v>3</v>
      </c>
      <c r="D408" s="125">
        <v>0.004492985009910167</v>
      </c>
      <c r="E408" s="125">
        <v>2.2764618041732443</v>
      </c>
      <c r="F408" s="92" t="s">
        <v>649</v>
      </c>
      <c r="G408" s="92" t="b">
        <v>0</v>
      </c>
      <c r="H408" s="92" t="b">
        <v>0</v>
      </c>
      <c r="I408" s="92" t="b">
        <v>0</v>
      </c>
      <c r="J408" s="92" t="b">
        <v>0</v>
      </c>
      <c r="K408" s="92" t="b">
        <v>0</v>
      </c>
      <c r="L408" s="92" t="b">
        <v>0</v>
      </c>
    </row>
    <row r="409" spans="1:12" ht="15">
      <c r="A409" s="93" t="s">
        <v>892</v>
      </c>
      <c r="B409" s="92" t="s">
        <v>895</v>
      </c>
      <c r="C409" s="92">
        <v>3</v>
      </c>
      <c r="D409" s="125">
        <v>0.004492985009910167</v>
      </c>
      <c r="E409" s="125">
        <v>2.2764618041732443</v>
      </c>
      <c r="F409" s="92" t="s">
        <v>649</v>
      </c>
      <c r="G409" s="92" t="b">
        <v>0</v>
      </c>
      <c r="H409" s="92" t="b">
        <v>0</v>
      </c>
      <c r="I409" s="92" t="b">
        <v>0</v>
      </c>
      <c r="J409" s="92" t="b">
        <v>0</v>
      </c>
      <c r="K409" s="92" t="b">
        <v>0</v>
      </c>
      <c r="L409" s="92" t="b">
        <v>0</v>
      </c>
    </row>
    <row r="410" spans="1:12" ht="15">
      <c r="A410" s="93" t="s">
        <v>895</v>
      </c>
      <c r="B410" s="92" t="s">
        <v>896</v>
      </c>
      <c r="C410" s="92">
        <v>3</v>
      </c>
      <c r="D410" s="125">
        <v>0.004492985009910167</v>
      </c>
      <c r="E410" s="125">
        <v>2.401400540781544</v>
      </c>
      <c r="F410" s="92" t="s">
        <v>649</v>
      </c>
      <c r="G410" s="92" t="b">
        <v>0</v>
      </c>
      <c r="H410" s="92" t="b">
        <v>0</v>
      </c>
      <c r="I410" s="92" t="b">
        <v>0</v>
      </c>
      <c r="J410" s="92" t="b">
        <v>0</v>
      </c>
      <c r="K410" s="92" t="b">
        <v>0</v>
      </c>
      <c r="L410" s="92" t="b">
        <v>0</v>
      </c>
    </row>
    <row r="411" spans="1:12" ht="15">
      <c r="A411" s="93" t="s">
        <v>896</v>
      </c>
      <c r="B411" s="92" t="s">
        <v>706</v>
      </c>
      <c r="C411" s="92">
        <v>3</v>
      </c>
      <c r="D411" s="125">
        <v>0.004492985009910167</v>
      </c>
      <c r="E411" s="125">
        <v>1.975431808509263</v>
      </c>
      <c r="F411" s="92" t="s">
        <v>649</v>
      </c>
      <c r="G411" s="92" t="b">
        <v>0</v>
      </c>
      <c r="H411" s="92" t="b">
        <v>0</v>
      </c>
      <c r="I411" s="92" t="b">
        <v>0</v>
      </c>
      <c r="J411" s="92" t="b">
        <v>0</v>
      </c>
      <c r="K411" s="92" t="b">
        <v>0</v>
      </c>
      <c r="L411" s="92" t="b">
        <v>0</v>
      </c>
    </row>
    <row r="412" spans="1:12" ht="15">
      <c r="A412" s="93" t="s">
        <v>706</v>
      </c>
      <c r="B412" s="92" t="s">
        <v>937</v>
      </c>
      <c r="C412" s="92">
        <v>3</v>
      </c>
      <c r="D412" s="125">
        <v>0.004492985009910167</v>
      </c>
      <c r="E412" s="125">
        <v>1.7993405494535817</v>
      </c>
      <c r="F412" s="92" t="s">
        <v>649</v>
      </c>
      <c r="G412" s="92" t="b">
        <v>0</v>
      </c>
      <c r="H412" s="92" t="b">
        <v>0</v>
      </c>
      <c r="I412" s="92" t="b">
        <v>0</v>
      </c>
      <c r="J412" s="92" t="b">
        <v>0</v>
      </c>
      <c r="K412" s="92" t="b">
        <v>0</v>
      </c>
      <c r="L412" s="92" t="b">
        <v>0</v>
      </c>
    </row>
    <row r="413" spans="1:12" ht="15">
      <c r="A413" s="93" t="s">
        <v>937</v>
      </c>
      <c r="B413" s="92" t="s">
        <v>889</v>
      </c>
      <c r="C413" s="92">
        <v>3</v>
      </c>
      <c r="D413" s="125">
        <v>0.004492985009910167</v>
      </c>
      <c r="E413" s="125">
        <v>2.100370545117563</v>
      </c>
      <c r="F413" s="92" t="s">
        <v>649</v>
      </c>
      <c r="G413" s="92" t="b">
        <v>0</v>
      </c>
      <c r="H413" s="92" t="b">
        <v>0</v>
      </c>
      <c r="I413" s="92" t="b">
        <v>0</v>
      </c>
      <c r="J413" s="92" t="b">
        <v>0</v>
      </c>
      <c r="K413" s="92" t="b">
        <v>0</v>
      </c>
      <c r="L413" s="92" t="b">
        <v>0</v>
      </c>
    </row>
    <row r="414" spans="1:12" ht="15">
      <c r="A414" s="93" t="s">
        <v>722</v>
      </c>
      <c r="B414" s="92" t="s">
        <v>723</v>
      </c>
      <c r="C414" s="92">
        <v>3</v>
      </c>
      <c r="D414" s="125">
        <v>0.005150041946685097</v>
      </c>
      <c r="E414" s="125">
        <v>2.401400540781544</v>
      </c>
      <c r="F414" s="92" t="s">
        <v>649</v>
      </c>
      <c r="G414" s="92" t="b">
        <v>0</v>
      </c>
      <c r="H414" s="92" t="b">
        <v>1</v>
      </c>
      <c r="I414" s="92" t="b">
        <v>0</v>
      </c>
      <c r="J414" s="92" t="b">
        <v>0</v>
      </c>
      <c r="K414" s="92" t="b">
        <v>0</v>
      </c>
      <c r="L414" s="92" t="b">
        <v>0</v>
      </c>
    </row>
    <row r="415" spans="1:12" ht="15">
      <c r="A415" s="93" t="s">
        <v>1130</v>
      </c>
      <c r="B415" s="92" t="s">
        <v>1131</v>
      </c>
      <c r="C415" s="92">
        <v>2</v>
      </c>
      <c r="D415" s="125">
        <v>0.0041821921327750925</v>
      </c>
      <c r="E415" s="125">
        <v>2.5774917998372255</v>
      </c>
      <c r="F415" s="92" t="s">
        <v>649</v>
      </c>
      <c r="G415" s="92" t="b">
        <v>0</v>
      </c>
      <c r="H415" s="92" t="b">
        <v>0</v>
      </c>
      <c r="I415" s="92" t="b">
        <v>0</v>
      </c>
      <c r="J415" s="92" t="b">
        <v>0</v>
      </c>
      <c r="K415" s="92" t="b">
        <v>0</v>
      </c>
      <c r="L415" s="92" t="b">
        <v>0</v>
      </c>
    </row>
    <row r="416" spans="1:12" ht="15">
      <c r="A416" s="93" t="s">
        <v>904</v>
      </c>
      <c r="B416" s="92" t="s">
        <v>1107</v>
      </c>
      <c r="C416" s="92">
        <v>2</v>
      </c>
      <c r="D416" s="125">
        <v>0.0034333612977900645</v>
      </c>
      <c r="E416" s="125">
        <v>2.401400540781544</v>
      </c>
      <c r="F416" s="92" t="s">
        <v>649</v>
      </c>
      <c r="G416" s="92" t="b">
        <v>0</v>
      </c>
      <c r="H416" s="92" t="b">
        <v>0</v>
      </c>
      <c r="I416" s="92" t="b">
        <v>0</v>
      </c>
      <c r="J416" s="92" t="b">
        <v>1</v>
      </c>
      <c r="K416" s="92" t="b">
        <v>0</v>
      </c>
      <c r="L416" s="92" t="b">
        <v>0</v>
      </c>
    </row>
    <row r="417" spans="1:12" ht="15">
      <c r="A417" s="93" t="s">
        <v>1107</v>
      </c>
      <c r="B417" s="92" t="s">
        <v>953</v>
      </c>
      <c r="C417" s="92">
        <v>2</v>
      </c>
      <c r="D417" s="125">
        <v>0.0034333612977900645</v>
      </c>
      <c r="E417" s="125">
        <v>2.5774917998372255</v>
      </c>
      <c r="F417" s="92" t="s">
        <v>649</v>
      </c>
      <c r="G417" s="92" t="b">
        <v>1</v>
      </c>
      <c r="H417" s="92" t="b">
        <v>0</v>
      </c>
      <c r="I417" s="92" t="b">
        <v>0</v>
      </c>
      <c r="J417" s="92" t="b">
        <v>0</v>
      </c>
      <c r="K417" s="92" t="b">
        <v>0</v>
      </c>
      <c r="L417" s="92" t="b">
        <v>0</v>
      </c>
    </row>
    <row r="418" spans="1:12" ht="15">
      <c r="A418" s="93" t="s">
        <v>953</v>
      </c>
      <c r="B418" s="92" t="s">
        <v>888</v>
      </c>
      <c r="C418" s="92">
        <v>2</v>
      </c>
      <c r="D418" s="125">
        <v>0.0034333612977900645</v>
      </c>
      <c r="E418" s="125">
        <v>2.100370545117563</v>
      </c>
      <c r="F418" s="92" t="s">
        <v>649</v>
      </c>
      <c r="G418" s="92" t="b">
        <v>0</v>
      </c>
      <c r="H418" s="92" t="b">
        <v>0</v>
      </c>
      <c r="I418" s="92" t="b">
        <v>0</v>
      </c>
      <c r="J418" s="92" t="b">
        <v>0</v>
      </c>
      <c r="K418" s="92" t="b">
        <v>0</v>
      </c>
      <c r="L418" s="92" t="b">
        <v>0</v>
      </c>
    </row>
    <row r="419" spans="1:12" ht="15">
      <c r="A419" s="93" t="s">
        <v>888</v>
      </c>
      <c r="B419" s="92" t="s">
        <v>954</v>
      </c>
      <c r="C419" s="92">
        <v>2</v>
      </c>
      <c r="D419" s="125">
        <v>0.0034333612977900645</v>
      </c>
      <c r="E419" s="125">
        <v>1.7993405494535817</v>
      </c>
      <c r="F419" s="92" t="s">
        <v>649</v>
      </c>
      <c r="G419" s="92" t="b">
        <v>0</v>
      </c>
      <c r="H419" s="92" t="b">
        <v>0</v>
      </c>
      <c r="I419" s="92" t="b">
        <v>0</v>
      </c>
      <c r="J419" s="92" t="b">
        <v>0</v>
      </c>
      <c r="K419" s="92" t="b">
        <v>0</v>
      </c>
      <c r="L419" s="92" t="b">
        <v>0</v>
      </c>
    </row>
    <row r="420" spans="1:12" ht="15">
      <c r="A420" s="93" t="s">
        <v>954</v>
      </c>
      <c r="B420" s="92" t="s">
        <v>701</v>
      </c>
      <c r="C420" s="92">
        <v>2</v>
      </c>
      <c r="D420" s="125">
        <v>0.0034333612977900645</v>
      </c>
      <c r="E420" s="125">
        <v>0.8962505624616381</v>
      </c>
      <c r="F420" s="92" t="s">
        <v>649</v>
      </c>
      <c r="G420" s="92" t="b">
        <v>0</v>
      </c>
      <c r="H420" s="92" t="b">
        <v>0</v>
      </c>
      <c r="I420" s="92" t="b">
        <v>0</v>
      </c>
      <c r="J420" s="92" t="b">
        <v>0</v>
      </c>
      <c r="K420" s="92" t="b">
        <v>0</v>
      </c>
      <c r="L420" s="92" t="b">
        <v>0</v>
      </c>
    </row>
    <row r="421" spans="1:12" ht="15">
      <c r="A421" s="93" t="s">
        <v>708</v>
      </c>
      <c r="B421" s="92" t="s">
        <v>1089</v>
      </c>
      <c r="C421" s="92">
        <v>2</v>
      </c>
      <c r="D421" s="125">
        <v>0.0034333612977900645</v>
      </c>
      <c r="E421" s="125">
        <v>1.975431808509263</v>
      </c>
      <c r="F421" s="92" t="s">
        <v>649</v>
      </c>
      <c r="G421" s="92" t="b">
        <v>1</v>
      </c>
      <c r="H421" s="92" t="b">
        <v>0</v>
      </c>
      <c r="I421" s="92" t="b">
        <v>0</v>
      </c>
      <c r="J421" s="92" t="b">
        <v>0</v>
      </c>
      <c r="K421" s="92" t="b">
        <v>0</v>
      </c>
      <c r="L421" s="92" t="b">
        <v>0</v>
      </c>
    </row>
    <row r="422" spans="1:12" ht="15">
      <c r="A422" s="93" t="s">
        <v>1089</v>
      </c>
      <c r="B422" s="92" t="s">
        <v>709</v>
      </c>
      <c r="C422" s="92">
        <v>2</v>
      </c>
      <c r="D422" s="125">
        <v>0.0034333612977900645</v>
      </c>
      <c r="E422" s="125">
        <v>2.1795517911651876</v>
      </c>
      <c r="F422" s="92" t="s">
        <v>649</v>
      </c>
      <c r="G422" s="92" t="b">
        <v>0</v>
      </c>
      <c r="H422" s="92" t="b">
        <v>0</v>
      </c>
      <c r="I422" s="92" t="b">
        <v>0</v>
      </c>
      <c r="J422" s="92" t="b">
        <v>0</v>
      </c>
      <c r="K422" s="92" t="b">
        <v>0</v>
      </c>
      <c r="L422" s="92" t="b">
        <v>0</v>
      </c>
    </row>
    <row r="423" spans="1:12" ht="15">
      <c r="A423" s="93" t="s">
        <v>709</v>
      </c>
      <c r="B423" s="92" t="s">
        <v>922</v>
      </c>
      <c r="C423" s="92">
        <v>2</v>
      </c>
      <c r="D423" s="125">
        <v>0.0034333612977900645</v>
      </c>
      <c r="E423" s="125">
        <v>1.8785217955012066</v>
      </c>
      <c r="F423" s="92" t="s">
        <v>649</v>
      </c>
      <c r="G423" s="92" t="b">
        <v>0</v>
      </c>
      <c r="H423" s="92" t="b">
        <v>0</v>
      </c>
      <c r="I423" s="92" t="b">
        <v>0</v>
      </c>
      <c r="J423" s="92" t="b">
        <v>0</v>
      </c>
      <c r="K423" s="92" t="b">
        <v>0</v>
      </c>
      <c r="L423" s="92" t="b">
        <v>0</v>
      </c>
    </row>
    <row r="424" spans="1:12" ht="15">
      <c r="A424" s="93" t="s">
        <v>922</v>
      </c>
      <c r="B424" s="92" t="s">
        <v>923</v>
      </c>
      <c r="C424" s="92">
        <v>2</v>
      </c>
      <c r="D424" s="125">
        <v>0.0034333612977900645</v>
      </c>
      <c r="E424" s="125">
        <v>1.8785217955012066</v>
      </c>
      <c r="F424" s="92" t="s">
        <v>649</v>
      </c>
      <c r="G424" s="92" t="b">
        <v>0</v>
      </c>
      <c r="H424" s="92" t="b">
        <v>0</v>
      </c>
      <c r="I424" s="92" t="b">
        <v>0</v>
      </c>
      <c r="J424" s="92" t="b">
        <v>0</v>
      </c>
      <c r="K424" s="92" t="b">
        <v>0</v>
      </c>
      <c r="L424" s="92" t="b">
        <v>0</v>
      </c>
    </row>
    <row r="425" spans="1:12" ht="15">
      <c r="A425" s="93" t="s">
        <v>923</v>
      </c>
      <c r="B425" s="92" t="s">
        <v>1090</v>
      </c>
      <c r="C425" s="92">
        <v>2</v>
      </c>
      <c r="D425" s="125">
        <v>0.0034333612977900645</v>
      </c>
      <c r="E425" s="125">
        <v>2.1795517911651876</v>
      </c>
      <c r="F425" s="92" t="s">
        <v>649</v>
      </c>
      <c r="G425" s="92" t="b">
        <v>0</v>
      </c>
      <c r="H425" s="92" t="b">
        <v>0</v>
      </c>
      <c r="I425" s="92" t="b">
        <v>0</v>
      </c>
      <c r="J425" s="92" t="b">
        <v>0</v>
      </c>
      <c r="K425" s="92" t="b">
        <v>0</v>
      </c>
      <c r="L425" s="92" t="b">
        <v>0</v>
      </c>
    </row>
    <row r="426" spans="1:12" ht="15">
      <c r="A426" s="93" t="s">
        <v>1090</v>
      </c>
      <c r="B426" s="92" t="s">
        <v>1091</v>
      </c>
      <c r="C426" s="92">
        <v>2</v>
      </c>
      <c r="D426" s="125">
        <v>0.0034333612977900645</v>
      </c>
      <c r="E426" s="125">
        <v>2.5774917998372255</v>
      </c>
      <c r="F426" s="92" t="s">
        <v>649</v>
      </c>
      <c r="G426" s="92" t="b">
        <v>0</v>
      </c>
      <c r="H426" s="92" t="b">
        <v>0</v>
      </c>
      <c r="I426" s="92" t="b">
        <v>0</v>
      </c>
      <c r="J426" s="92" t="b">
        <v>0</v>
      </c>
      <c r="K426" s="92" t="b">
        <v>0</v>
      </c>
      <c r="L426" s="92" t="b">
        <v>0</v>
      </c>
    </row>
    <row r="427" spans="1:12" ht="15">
      <c r="A427" s="93" t="s">
        <v>1091</v>
      </c>
      <c r="B427" s="92" t="s">
        <v>1092</v>
      </c>
      <c r="C427" s="92">
        <v>2</v>
      </c>
      <c r="D427" s="125">
        <v>0.0034333612977900645</v>
      </c>
      <c r="E427" s="125">
        <v>2.5774917998372255</v>
      </c>
      <c r="F427" s="92" t="s">
        <v>649</v>
      </c>
      <c r="G427" s="92" t="b">
        <v>0</v>
      </c>
      <c r="H427" s="92" t="b">
        <v>0</v>
      </c>
      <c r="I427" s="92" t="b">
        <v>0</v>
      </c>
      <c r="J427" s="92" t="b">
        <v>0</v>
      </c>
      <c r="K427" s="92" t="b">
        <v>0</v>
      </c>
      <c r="L427" s="92" t="b">
        <v>0</v>
      </c>
    </row>
    <row r="428" spans="1:12" ht="15">
      <c r="A428" s="93" t="s">
        <v>1092</v>
      </c>
      <c r="B428" s="92" t="s">
        <v>1093</v>
      </c>
      <c r="C428" s="92">
        <v>2</v>
      </c>
      <c r="D428" s="125">
        <v>0.0034333612977900645</v>
      </c>
      <c r="E428" s="125">
        <v>2.5774917998372255</v>
      </c>
      <c r="F428" s="92" t="s">
        <v>649</v>
      </c>
      <c r="G428" s="92" t="b">
        <v>0</v>
      </c>
      <c r="H428" s="92" t="b">
        <v>0</v>
      </c>
      <c r="I428" s="92" t="b">
        <v>0</v>
      </c>
      <c r="J428" s="92" t="b">
        <v>0</v>
      </c>
      <c r="K428" s="92" t="b">
        <v>0</v>
      </c>
      <c r="L428" s="92" t="b">
        <v>0</v>
      </c>
    </row>
    <row r="429" spans="1:12" ht="15">
      <c r="A429" s="93" t="s">
        <v>1093</v>
      </c>
      <c r="B429" s="92" t="s">
        <v>923</v>
      </c>
      <c r="C429" s="92">
        <v>2</v>
      </c>
      <c r="D429" s="125">
        <v>0.0034333612977900645</v>
      </c>
      <c r="E429" s="125">
        <v>2.1795517911651876</v>
      </c>
      <c r="F429" s="92" t="s">
        <v>649</v>
      </c>
      <c r="G429" s="92" t="b">
        <v>0</v>
      </c>
      <c r="H429" s="92" t="b">
        <v>0</v>
      </c>
      <c r="I429" s="92" t="b">
        <v>0</v>
      </c>
      <c r="J429" s="92" t="b">
        <v>0</v>
      </c>
      <c r="K429" s="92" t="b">
        <v>0</v>
      </c>
      <c r="L429" s="92" t="b">
        <v>0</v>
      </c>
    </row>
    <row r="430" spans="1:12" ht="15">
      <c r="A430" s="93" t="s">
        <v>923</v>
      </c>
      <c r="B430" s="92" t="s">
        <v>1094</v>
      </c>
      <c r="C430" s="92">
        <v>2</v>
      </c>
      <c r="D430" s="125">
        <v>0.0034333612977900645</v>
      </c>
      <c r="E430" s="125">
        <v>2.1795517911651876</v>
      </c>
      <c r="F430" s="92" t="s">
        <v>649</v>
      </c>
      <c r="G430" s="92" t="b">
        <v>0</v>
      </c>
      <c r="H430" s="92" t="b">
        <v>0</v>
      </c>
      <c r="I430" s="92" t="b">
        <v>0</v>
      </c>
      <c r="J430" s="92" t="b">
        <v>1</v>
      </c>
      <c r="K430" s="92" t="b">
        <v>0</v>
      </c>
      <c r="L430" s="92" t="b">
        <v>0</v>
      </c>
    </row>
    <row r="431" spans="1:12" ht="15">
      <c r="A431" s="93" t="s">
        <v>1094</v>
      </c>
      <c r="B431" s="92" t="s">
        <v>902</v>
      </c>
      <c r="C431" s="92">
        <v>2</v>
      </c>
      <c r="D431" s="125">
        <v>0.0034333612977900645</v>
      </c>
      <c r="E431" s="125">
        <v>2.2764618041732443</v>
      </c>
      <c r="F431" s="92" t="s">
        <v>649</v>
      </c>
      <c r="G431" s="92" t="b">
        <v>1</v>
      </c>
      <c r="H431" s="92" t="b">
        <v>0</v>
      </c>
      <c r="I431" s="92" t="b">
        <v>0</v>
      </c>
      <c r="J431" s="92" t="b">
        <v>0</v>
      </c>
      <c r="K431" s="92" t="b">
        <v>0</v>
      </c>
      <c r="L431" s="92" t="b">
        <v>0</v>
      </c>
    </row>
    <row r="432" spans="1:12" ht="15">
      <c r="A432" s="93" t="s">
        <v>902</v>
      </c>
      <c r="B432" s="92" t="s">
        <v>1095</v>
      </c>
      <c r="C432" s="92">
        <v>2</v>
      </c>
      <c r="D432" s="125">
        <v>0.0034333612977900645</v>
      </c>
      <c r="E432" s="125">
        <v>2.2764618041732443</v>
      </c>
      <c r="F432" s="92" t="s">
        <v>649</v>
      </c>
      <c r="G432" s="92" t="b">
        <v>0</v>
      </c>
      <c r="H432" s="92" t="b">
        <v>0</v>
      </c>
      <c r="I432" s="92" t="b">
        <v>0</v>
      </c>
      <c r="J432" s="92" t="b">
        <v>0</v>
      </c>
      <c r="K432" s="92" t="b">
        <v>0</v>
      </c>
      <c r="L432" s="92" t="b">
        <v>0</v>
      </c>
    </row>
    <row r="433" spans="1:12" ht="15">
      <c r="A433" s="93" t="s">
        <v>1095</v>
      </c>
      <c r="B433" s="92" t="s">
        <v>705</v>
      </c>
      <c r="C433" s="92">
        <v>2</v>
      </c>
      <c r="D433" s="125">
        <v>0.0034333612977900645</v>
      </c>
      <c r="E433" s="125">
        <v>1.8785217955012066</v>
      </c>
      <c r="F433" s="92" t="s">
        <v>649</v>
      </c>
      <c r="G433" s="92" t="b">
        <v>0</v>
      </c>
      <c r="H433" s="92" t="b">
        <v>0</v>
      </c>
      <c r="I433" s="92" t="b">
        <v>0</v>
      </c>
      <c r="J433" s="92" t="b">
        <v>1</v>
      </c>
      <c r="K433" s="92" t="b">
        <v>0</v>
      </c>
      <c r="L433" s="92" t="b">
        <v>0</v>
      </c>
    </row>
    <row r="434" spans="1:12" ht="15">
      <c r="A434" s="93" t="s">
        <v>705</v>
      </c>
      <c r="B434" s="92" t="s">
        <v>926</v>
      </c>
      <c r="C434" s="92">
        <v>2</v>
      </c>
      <c r="D434" s="125">
        <v>0.0034333612977900645</v>
      </c>
      <c r="E434" s="125">
        <v>1.8785217955012066</v>
      </c>
      <c r="F434" s="92" t="s">
        <v>649</v>
      </c>
      <c r="G434" s="92" t="b">
        <v>1</v>
      </c>
      <c r="H434" s="92" t="b">
        <v>0</v>
      </c>
      <c r="I434" s="92" t="b">
        <v>0</v>
      </c>
      <c r="J434" s="92" t="b">
        <v>0</v>
      </c>
      <c r="K434" s="92" t="b">
        <v>0</v>
      </c>
      <c r="L434" s="92" t="b">
        <v>0</v>
      </c>
    </row>
    <row r="435" spans="1:12" ht="15">
      <c r="A435" s="93" t="s">
        <v>926</v>
      </c>
      <c r="B435" s="92" t="s">
        <v>701</v>
      </c>
      <c r="C435" s="92">
        <v>2</v>
      </c>
      <c r="D435" s="125">
        <v>0.0034333612977900645</v>
      </c>
      <c r="E435" s="125">
        <v>1.021189299069938</v>
      </c>
      <c r="F435" s="92" t="s">
        <v>649</v>
      </c>
      <c r="G435" s="92" t="b">
        <v>0</v>
      </c>
      <c r="H435" s="92" t="b">
        <v>0</v>
      </c>
      <c r="I435" s="92" t="b">
        <v>0</v>
      </c>
      <c r="J435" s="92" t="b">
        <v>0</v>
      </c>
      <c r="K435" s="92" t="b">
        <v>0</v>
      </c>
      <c r="L435" s="92" t="b">
        <v>0</v>
      </c>
    </row>
    <row r="436" spans="1:12" ht="15">
      <c r="A436" s="93" t="s">
        <v>1096</v>
      </c>
      <c r="B436" s="92" t="s">
        <v>1097</v>
      </c>
      <c r="C436" s="92">
        <v>2</v>
      </c>
      <c r="D436" s="125">
        <v>0.0034333612977900645</v>
      </c>
      <c r="E436" s="125">
        <v>2.5774917998372255</v>
      </c>
      <c r="F436" s="92" t="s">
        <v>649</v>
      </c>
      <c r="G436" s="92" t="b">
        <v>0</v>
      </c>
      <c r="H436" s="92" t="b">
        <v>0</v>
      </c>
      <c r="I436" s="92" t="b">
        <v>0</v>
      </c>
      <c r="J436" s="92" t="b">
        <v>0</v>
      </c>
      <c r="K436" s="92" t="b">
        <v>0</v>
      </c>
      <c r="L436" s="92" t="b">
        <v>0</v>
      </c>
    </row>
    <row r="437" spans="1:12" ht="15">
      <c r="A437" s="93" t="s">
        <v>1097</v>
      </c>
      <c r="B437" s="92" t="s">
        <v>922</v>
      </c>
      <c r="C437" s="92">
        <v>2</v>
      </c>
      <c r="D437" s="125">
        <v>0.0034333612977900645</v>
      </c>
      <c r="E437" s="125">
        <v>2.2764618041732443</v>
      </c>
      <c r="F437" s="92" t="s">
        <v>649</v>
      </c>
      <c r="G437" s="92" t="b">
        <v>0</v>
      </c>
      <c r="H437" s="92" t="b">
        <v>0</v>
      </c>
      <c r="I437" s="92" t="b">
        <v>0</v>
      </c>
      <c r="J437" s="92" t="b">
        <v>0</v>
      </c>
      <c r="K437" s="92" t="b">
        <v>0</v>
      </c>
      <c r="L437" s="92" t="b">
        <v>0</v>
      </c>
    </row>
    <row r="438" spans="1:12" ht="15">
      <c r="A438" s="93" t="s">
        <v>922</v>
      </c>
      <c r="B438" s="92" t="s">
        <v>702</v>
      </c>
      <c r="C438" s="92">
        <v>2</v>
      </c>
      <c r="D438" s="125">
        <v>0.0034333612977900645</v>
      </c>
      <c r="E438" s="125">
        <v>1.4014005407815442</v>
      </c>
      <c r="F438" s="92" t="s">
        <v>649</v>
      </c>
      <c r="G438" s="92" t="b">
        <v>0</v>
      </c>
      <c r="H438" s="92" t="b">
        <v>0</v>
      </c>
      <c r="I438" s="92" t="b">
        <v>0</v>
      </c>
      <c r="J438" s="92" t="b">
        <v>0</v>
      </c>
      <c r="K438" s="92" t="b">
        <v>0</v>
      </c>
      <c r="L438" s="92" t="b">
        <v>0</v>
      </c>
    </row>
    <row r="439" spans="1:12" ht="15">
      <c r="A439" s="93" t="s">
        <v>905</v>
      </c>
      <c r="B439" s="92" t="s">
        <v>1098</v>
      </c>
      <c r="C439" s="92">
        <v>2</v>
      </c>
      <c r="D439" s="125">
        <v>0.0034333612977900645</v>
      </c>
      <c r="E439" s="125">
        <v>2.401400540781544</v>
      </c>
      <c r="F439" s="92" t="s">
        <v>649</v>
      </c>
      <c r="G439" s="92" t="b">
        <v>0</v>
      </c>
      <c r="H439" s="92" t="b">
        <v>0</v>
      </c>
      <c r="I439" s="92" t="b">
        <v>0</v>
      </c>
      <c r="J439" s="92" t="b">
        <v>0</v>
      </c>
      <c r="K439" s="92" t="b">
        <v>0</v>
      </c>
      <c r="L439" s="92" t="b">
        <v>0</v>
      </c>
    </row>
    <row r="440" spans="1:12" ht="15">
      <c r="A440" s="93" t="s">
        <v>1098</v>
      </c>
      <c r="B440" s="92" t="s">
        <v>1099</v>
      </c>
      <c r="C440" s="92">
        <v>2</v>
      </c>
      <c r="D440" s="125">
        <v>0.0034333612977900645</v>
      </c>
      <c r="E440" s="125">
        <v>2.5774917998372255</v>
      </c>
      <c r="F440" s="92" t="s">
        <v>649</v>
      </c>
      <c r="G440" s="92" t="b">
        <v>0</v>
      </c>
      <c r="H440" s="92" t="b">
        <v>0</v>
      </c>
      <c r="I440" s="92" t="b">
        <v>0</v>
      </c>
      <c r="J440" s="92" t="b">
        <v>0</v>
      </c>
      <c r="K440" s="92" t="b">
        <v>0</v>
      </c>
      <c r="L440" s="92" t="b">
        <v>0</v>
      </c>
    </row>
    <row r="441" spans="1:12" ht="15">
      <c r="A441" s="93" t="s">
        <v>1099</v>
      </c>
      <c r="B441" s="92" t="s">
        <v>1100</v>
      </c>
      <c r="C441" s="92">
        <v>2</v>
      </c>
      <c r="D441" s="125">
        <v>0.0034333612977900645</v>
      </c>
      <c r="E441" s="125">
        <v>2.5774917998372255</v>
      </c>
      <c r="F441" s="92" t="s">
        <v>649</v>
      </c>
      <c r="G441" s="92" t="b">
        <v>0</v>
      </c>
      <c r="H441" s="92" t="b">
        <v>0</v>
      </c>
      <c r="I441" s="92" t="b">
        <v>0</v>
      </c>
      <c r="J441" s="92" t="b">
        <v>0</v>
      </c>
      <c r="K441" s="92" t="b">
        <v>0</v>
      </c>
      <c r="L441" s="92" t="b">
        <v>0</v>
      </c>
    </row>
    <row r="442" spans="1:12" ht="15">
      <c r="A442" s="93" t="s">
        <v>1100</v>
      </c>
      <c r="B442" s="92" t="s">
        <v>1101</v>
      </c>
      <c r="C442" s="92">
        <v>2</v>
      </c>
      <c r="D442" s="125">
        <v>0.0034333612977900645</v>
      </c>
      <c r="E442" s="125">
        <v>2.5774917998372255</v>
      </c>
      <c r="F442" s="92" t="s">
        <v>649</v>
      </c>
      <c r="G442" s="92" t="b">
        <v>0</v>
      </c>
      <c r="H442" s="92" t="b">
        <v>0</v>
      </c>
      <c r="I442" s="92" t="b">
        <v>0</v>
      </c>
      <c r="J442" s="92" t="b">
        <v>0</v>
      </c>
      <c r="K442" s="92" t="b">
        <v>0</v>
      </c>
      <c r="L442" s="92" t="b">
        <v>0</v>
      </c>
    </row>
    <row r="443" spans="1:12" ht="15">
      <c r="A443" s="93" t="s">
        <v>1101</v>
      </c>
      <c r="B443" s="92" t="s">
        <v>927</v>
      </c>
      <c r="C443" s="92">
        <v>2</v>
      </c>
      <c r="D443" s="125">
        <v>0.0034333612977900645</v>
      </c>
      <c r="E443" s="125">
        <v>2.401400540781544</v>
      </c>
      <c r="F443" s="92" t="s">
        <v>649</v>
      </c>
      <c r="G443" s="92" t="b">
        <v>0</v>
      </c>
      <c r="H443" s="92" t="b">
        <v>0</v>
      </c>
      <c r="I443" s="92" t="b">
        <v>0</v>
      </c>
      <c r="J443" s="92" t="b">
        <v>0</v>
      </c>
      <c r="K443" s="92" t="b">
        <v>0</v>
      </c>
      <c r="L443" s="92" t="b">
        <v>0</v>
      </c>
    </row>
    <row r="444" spans="1:12" ht="15">
      <c r="A444" s="93" t="s">
        <v>927</v>
      </c>
      <c r="B444" s="92" t="s">
        <v>1102</v>
      </c>
      <c r="C444" s="92">
        <v>2</v>
      </c>
      <c r="D444" s="125">
        <v>0.0034333612977900645</v>
      </c>
      <c r="E444" s="125">
        <v>2.401400540781544</v>
      </c>
      <c r="F444" s="92" t="s">
        <v>649</v>
      </c>
      <c r="G444" s="92" t="b">
        <v>0</v>
      </c>
      <c r="H444" s="92" t="b">
        <v>0</v>
      </c>
      <c r="I444" s="92" t="b">
        <v>0</v>
      </c>
      <c r="J444" s="92" t="b">
        <v>0</v>
      </c>
      <c r="K444" s="92" t="b">
        <v>0</v>
      </c>
      <c r="L444" s="92" t="b">
        <v>0</v>
      </c>
    </row>
    <row r="445" spans="1:12" ht="15">
      <c r="A445" s="93" t="s">
        <v>1102</v>
      </c>
      <c r="B445" s="92" t="s">
        <v>1103</v>
      </c>
      <c r="C445" s="92">
        <v>2</v>
      </c>
      <c r="D445" s="125">
        <v>0.0034333612977900645</v>
      </c>
      <c r="E445" s="125">
        <v>2.5774917998372255</v>
      </c>
      <c r="F445" s="92" t="s">
        <v>649</v>
      </c>
      <c r="G445" s="92" t="b">
        <v>0</v>
      </c>
      <c r="H445" s="92" t="b">
        <v>0</v>
      </c>
      <c r="I445" s="92" t="b">
        <v>0</v>
      </c>
      <c r="J445" s="92" t="b">
        <v>0</v>
      </c>
      <c r="K445" s="92" t="b">
        <v>0</v>
      </c>
      <c r="L445" s="92" t="b">
        <v>0</v>
      </c>
    </row>
    <row r="446" spans="1:12" ht="15">
      <c r="A446" s="93" t="s">
        <v>1103</v>
      </c>
      <c r="B446" s="92" t="s">
        <v>1104</v>
      </c>
      <c r="C446" s="92">
        <v>2</v>
      </c>
      <c r="D446" s="125">
        <v>0.0034333612977900645</v>
      </c>
      <c r="E446" s="125">
        <v>2.5774917998372255</v>
      </c>
      <c r="F446" s="92" t="s">
        <v>649</v>
      </c>
      <c r="G446" s="92" t="b">
        <v>0</v>
      </c>
      <c r="H446" s="92" t="b">
        <v>0</v>
      </c>
      <c r="I446" s="92" t="b">
        <v>0</v>
      </c>
      <c r="J446" s="92" t="b">
        <v>1</v>
      </c>
      <c r="K446" s="92" t="b">
        <v>0</v>
      </c>
      <c r="L446" s="92" t="b">
        <v>0</v>
      </c>
    </row>
    <row r="447" spans="1:12" ht="15">
      <c r="A447" s="93" t="s">
        <v>1104</v>
      </c>
      <c r="B447" s="92" t="s">
        <v>1105</v>
      </c>
      <c r="C447" s="92">
        <v>2</v>
      </c>
      <c r="D447" s="125">
        <v>0.0034333612977900645</v>
      </c>
      <c r="E447" s="125">
        <v>2.5774917998372255</v>
      </c>
      <c r="F447" s="92" t="s">
        <v>649</v>
      </c>
      <c r="G447" s="92" t="b">
        <v>1</v>
      </c>
      <c r="H447" s="92" t="b">
        <v>0</v>
      </c>
      <c r="I447" s="92" t="b">
        <v>0</v>
      </c>
      <c r="J447" s="92" t="b">
        <v>0</v>
      </c>
      <c r="K447" s="92" t="b">
        <v>0</v>
      </c>
      <c r="L447" s="92" t="b">
        <v>0</v>
      </c>
    </row>
    <row r="448" spans="1:12" ht="15">
      <c r="A448" s="93" t="s">
        <v>1105</v>
      </c>
      <c r="B448" s="92" t="s">
        <v>903</v>
      </c>
      <c r="C448" s="92">
        <v>2</v>
      </c>
      <c r="D448" s="125">
        <v>0.0034333612977900645</v>
      </c>
      <c r="E448" s="125">
        <v>2.401400540781544</v>
      </c>
      <c r="F448" s="92" t="s">
        <v>649</v>
      </c>
      <c r="G448" s="92" t="b">
        <v>0</v>
      </c>
      <c r="H448" s="92" t="b">
        <v>0</v>
      </c>
      <c r="I448" s="92" t="b">
        <v>0</v>
      </c>
      <c r="J448" s="92" t="b">
        <v>0</v>
      </c>
      <c r="K448" s="92" t="b">
        <v>0</v>
      </c>
      <c r="L448" s="92" t="b">
        <v>0</v>
      </c>
    </row>
    <row r="449" spans="1:12" ht="15">
      <c r="A449" s="93" t="s">
        <v>903</v>
      </c>
      <c r="B449" s="92" t="s">
        <v>1106</v>
      </c>
      <c r="C449" s="92">
        <v>2</v>
      </c>
      <c r="D449" s="125">
        <v>0.0034333612977900645</v>
      </c>
      <c r="E449" s="125">
        <v>2.401400540781544</v>
      </c>
      <c r="F449" s="92" t="s">
        <v>649</v>
      </c>
      <c r="G449" s="92" t="b">
        <v>0</v>
      </c>
      <c r="H449" s="92" t="b">
        <v>0</v>
      </c>
      <c r="I449" s="92" t="b">
        <v>0</v>
      </c>
      <c r="J449" s="92" t="b">
        <v>0</v>
      </c>
      <c r="K449" s="92" t="b">
        <v>0</v>
      </c>
      <c r="L449" s="92" t="b">
        <v>0</v>
      </c>
    </row>
    <row r="450" spans="1:12" ht="15">
      <c r="A450" s="93" t="s">
        <v>1106</v>
      </c>
      <c r="B450" s="92" t="s">
        <v>945</v>
      </c>
      <c r="C450" s="92">
        <v>2</v>
      </c>
      <c r="D450" s="125">
        <v>0.0034333612977900645</v>
      </c>
      <c r="E450" s="125">
        <v>2.401400540781544</v>
      </c>
      <c r="F450" s="92" t="s">
        <v>649</v>
      </c>
      <c r="G450" s="92" t="b">
        <v>0</v>
      </c>
      <c r="H450" s="92" t="b">
        <v>0</v>
      </c>
      <c r="I450" s="92" t="b">
        <v>0</v>
      </c>
      <c r="J450" s="92" t="b">
        <v>0</v>
      </c>
      <c r="K450" s="92" t="b">
        <v>0</v>
      </c>
      <c r="L450" s="92" t="b">
        <v>0</v>
      </c>
    </row>
    <row r="451" spans="1:12" ht="15">
      <c r="A451" s="93" t="s">
        <v>945</v>
      </c>
      <c r="B451" s="92" t="s">
        <v>984</v>
      </c>
      <c r="C451" s="92">
        <v>2</v>
      </c>
      <c r="D451" s="125">
        <v>0.0034333612977900645</v>
      </c>
      <c r="E451" s="125">
        <v>2.401400540781544</v>
      </c>
      <c r="F451" s="92" t="s">
        <v>649</v>
      </c>
      <c r="G451" s="92" t="b">
        <v>0</v>
      </c>
      <c r="H451" s="92" t="b">
        <v>0</v>
      </c>
      <c r="I451" s="92" t="b">
        <v>0</v>
      </c>
      <c r="J451" s="92" t="b">
        <v>0</v>
      </c>
      <c r="K451" s="92" t="b">
        <v>0</v>
      </c>
      <c r="L451" s="92" t="b">
        <v>0</v>
      </c>
    </row>
    <row r="452" spans="1:12" ht="15">
      <c r="A452" s="93" t="s">
        <v>984</v>
      </c>
      <c r="B452" s="92" t="s">
        <v>928</v>
      </c>
      <c r="C452" s="92">
        <v>2</v>
      </c>
      <c r="D452" s="125">
        <v>0.0034333612977900645</v>
      </c>
      <c r="E452" s="125">
        <v>2.401400540781544</v>
      </c>
      <c r="F452" s="92" t="s">
        <v>649</v>
      </c>
      <c r="G452" s="92" t="b">
        <v>0</v>
      </c>
      <c r="H452" s="92" t="b">
        <v>0</v>
      </c>
      <c r="I452" s="92" t="b">
        <v>0</v>
      </c>
      <c r="J452" s="92" t="b">
        <v>0</v>
      </c>
      <c r="K452" s="92" t="b">
        <v>0</v>
      </c>
      <c r="L452" s="92" t="b">
        <v>0</v>
      </c>
    </row>
    <row r="453" spans="1:12" ht="15">
      <c r="A453" s="93" t="s">
        <v>928</v>
      </c>
      <c r="B453" s="92" t="s">
        <v>701</v>
      </c>
      <c r="C453" s="92">
        <v>2</v>
      </c>
      <c r="D453" s="125">
        <v>0.0034333612977900645</v>
      </c>
      <c r="E453" s="125">
        <v>1.021189299069938</v>
      </c>
      <c r="F453" s="92" t="s">
        <v>649</v>
      </c>
      <c r="G453" s="92" t="b">
        <v>0</v>
      </c>
      <c r="H453" s="92" t="b">
        <v>0</v>
      </c>
      <c r="I453" s="92" t="b">
        <v>0</v>
      </c>
      <c r="J453" s="92" t="b">
        <v>0</v>
      </c>
      <c r="K453" s="92" t="b">
        <v>0</v>
      </c>
      <c r="L453" s="92" t="b">
        <v>0</v>
      </c>
    </row>
    <row r="454" spans="1:12" ht="15">
      <c r="A454" s="93" t="s">
        <v>1108</v>
      </c>
      <c r="B454" s="92" t="s">
        <v>946</v>
      </c>
      <c r="C454" s="92">
        <v>2</v>
      </c>
      <c r="D454" s="125">
        <v>0.0034333612977900645</v>
      </c>
      <c r="E454" s="125">
        <v>2.5774917998372255</v>
      </c>
      <c r="F454" s="92" t="s">
        <v>649</v>
      </c>
      <c r="G454" s="92" t="b">
        <v>0</v>
      </c>
      <c r="H454" s="92" t="b">
        <v>0</v>
      </c>
      <c r="I454" s="92" t="b">
        <v>0</v>
      </c>
      <c r="J454" s="92" t="b">
        <v>1</v>
      </c>
      <c r="K454" s="92" t="b">
        <v>0</v>
      </c>
      <c r="L454" s="92" t="b">
        <v>0</v>
      </c>
    </row>
    <row r="455" spans="1:12" ht="15">
      <c r="A455" s="93" t="s">
        <v>946</v>
      </c>
      <c r="B455" s="92" t="s">
        <v>955</v>
      </c>
      <c r="C455" s="92">
        <v>2</v>
      </c>
      <c r="D455" s="125">
        <v>0.0034333612977900645</v>
      </c>
      <c r="E455" s="125">
        <v>2.2764618041732443</v>
      </c>
      <c r="F455" s="92" t="s">
        <v>649</v>
      </c>
      <c r="G455" s="92" t="b">
        <v>1</v>
      </c>
      <c r="H455" s="92" t="b">
        <v>0</v>
      </c>
      <c r="I455" s="92" t="b">
        <v>0</v>
      </c>
      <c r="J455" s="92" t="b">
        <v>0</v>
      </c>
      <c r="K455" s="92" t="b">
        <v>0</v>
      </c>
      <c r="L455" s="92" t="b">
        <v>0</v>
      </c>
    </row>
    <row r="456" spans="1:12" ht="15">
      <c r="A456" s="93" t="s">
        <v>955</v>
      </c>
      <c r="B456" s="92" t="s">
        <v>1109</v>
      </c>
      <c r="C456" s="92">
        <v>2</v>
      </c>
      <c r="D456" s="125">
        <v>0.0034333612977900645</v>
      </c>
      <c r="E456" s="125">
        <v>2.2764618041732443</v>
      </c>
      <c r="F456" s="92" t="s">
        <v>649</v>
      </c>
      <c r="G456" s="92" t="b">
        <v>0</v>
      </c>
      <c r="H456" s="92" t="b">
        <v>0</v>
      </c>
      <c r="I456" s="92" t="b">
        <v>0</v>
      </c>
      <c r="J456" s="92" t="b">
        <v>0</v>
      </c>
      <c r="K456" s="92" t="b">
        <v>0</v>
      </c>
      <c r="L456" s="92" t="b">
        <v>0</v>
      </c>
    </row>
    <row r="457" spans="1:12" ht="15">
      <c r="A457" s="93" t="s">
        <v>1109</v>
      </c>
      <c r="B457" s="92" t="s">
        <v>954</v>
      </c>
      <c r="C457" s="92">
        <v>2</v>
      </c>
      <c r="D457" s="125">
        <v>0.0034333612977900645</v>
      </c>
      <c r="E457" s="125">
        <v>2.2764618041732443</v>
      </c>
      <c r="F457" s="92" t="s">
        <v>649</v>
      </c>
      <c r="G457" s="92" t="b">
        <v>0</v>
      </c>
      <c r="H457" s="92" t="b">
        <v>0</v>
      </c>
      <c r="I457" s="92" t="b">
        <v>0</v>
      </c>
      <c r="J457" s="92" t="b">
        <v>0</v>
      </c>
      <c r="K457" s="92" t="b">
        <v>0</v>
      </c>
      <c r="L457" s="92" t="b">
        <v>0</v>
      </c>
    </row>
    <row r="458" spans="1:12" ht="15">
      <c r="A458" s="93" t="s">
        <v>954</v>
      </c>
      <c r="B458" s="92" t="s">
        <v>890</v>
      </c>
      <c r="C458" s="92">
        <v>2</v>
      </c>
      <c r="D458" s="125">
        <v>0.0034333612977900645</v>
      </c>
      <c r="E458" s="125">
        <v>1.7993405494535817</v>
      </c>
      <c r="F458" s="92" t="s">
        <v>649</v>
      </c>
      <c r="G458" s="92" t="b">
        <v>0</v>
      </c>
      <c r="H458" s="92" t="b">
        <v>0</v>
      </c>
      <c r="I458" s="92" t="b">
        <v>0</v>
      </c>
      <c r="J458" s="92" t="b">
        <v>0</v>
      </c>
      <c r="K458" s="92" t="b">
        <v>0</v>
      </c>
      <c r="L458" s="92" t="b">
        <v>0</v>
      </c>
    </row>
    <row r="459" spans="1:12" ht="15">
      <c r="A459" s="93" t="s">
        <v>890</v>
      </c>
      <c r="B459" s="92" t="s">
        <v>956</v>
      </c>
      <c r="C459" s="92">
        <v>2</v>
      </c>
      <c r="D459" s="125">
        <v>0.0034333612977900645</v>
      </c>
      <c r="E459" s="125">
        <v>2.100370545117563</v>
      </c>
      <c r="F459" s="92" t="s">
        <v>649</v>
      </c>
      <c r="G459" s="92" t="b">
        <v>0</v>
      </c>
      <c r="H459" s="92" t="b">
        <v>0</v>
      </c>
      <c r="I459" s="92" t="b">
        <v>0</v>
      </c>
      <c r="J459" s="92" t="b">
        <v>0</v>
      </c>
      <c r="K459" s="92" t="b">
        <v>0</v>
      </c>
      <c r="L459" s="92" t="b">
        <v>0</v>
      </c>
    </row>
    <row r="460" spans="1:12" ht="15">
      <c r="A460" s="93" t="s">
        <v>956</v>
      </c>
      <c r="B460" s="92" t="s">
        <v>957</v>
      </c>
      <c r="C460" s="92">
        <v>2</v>
      </c>
      <c r="D460" s="125">
        <v>0.0034333612977900645</v>
      </c>
      <c r="E460" s="125">
        <v>2.401400540781544</v>
      </c>
      <c r="F460" s="92" t="s">
        <v>649</v>
      </c>
      <c r="G460" s="92" t="b">
        <v>0</v>
      </c>
      <c r="H460" s="92" t="b">
        <v>0</v>
      </c>
      <c r="I460" s="92" t="b">
        <v>0</v>
      </c>
      <c r="J460" s="92" t="b">
        <v>1</v>
      </c>
      <c r="K460" s="92" t="b">
        <v>0</v>
      </c>
      <c r="L460" s="92" t="b">
        <v>0</v>
      </c>
    </row>
    <row r="461" spans="1:12" ht="15">
      <c r="A461" s="93" t="s">
        <v>957</v>
      </c>
      <c r="B461" s="92" t="s">
        <v>1110</v>
      </c>
      <c r="C461" s="92">
        <v>2</v>
      </c>
      <c r="D461" s="125">
        <v>0.0034333612977900645</v>
      </c>
      <c r="E461" s="125">
        <v>2.401400540781544</v>
      </c>
      <c r="F461" s="92" t="s">
        <v>649</v>
      </c>
      <c r="G461" s="92" t="b">
        <v>1</v>
      </c>
      <c r="H461" s="92" t="b">
        <v>0</v>
      </c>
      <c r="I461" s="92" t="b">
        <v>0</v>
      </c>
      <c r="J461" s="92" t="b">
        <v>0</v>
      </c>
      <c r="K461" s="92" t="b">
        <v>0</v>
      </c>
      <c r="L461" s="92" t="b">
        <v>0</v>
      </c>
    </row>
    <row r="462" spans="1:12" ht="15">
      <c r="A462" s="93" t="s">
        <v>1110</v>
      </c>
      <c r="B462" s="92" t="s">
        <v>1111</v>
      </c>
      <c r="C462" s="92">
        <v>2</v>
      </c>
      <c r="D462" s="125">
        <v>0.0034333612977900645</v>
      </c>
      <c r="E462" s="125">
        <v>2.5774917998372255</v>
      </c>
      <c r="F462" s="92" t="s">
        <v>649</v>
      </c>
      <c r="G462" s="92" t="b">
        <v>0</v>
      </c>
      <c r="H462" s="92" t="b">
        <v>0</v>
      </c>
      <c r="I462" s="92" t="b">
        <v>0</v>
      </c>
      <c r="J462" s="92" t="b">
        <v>0</v>
      </c>
      <c r="K462" s="92" t="b">
        <v>0</v>
      </c>
      <c r="L462" s="92" t="b">
        <v>0</v>
      </c>
    </row>
    <row r="463" spans="1:12" ht="15">
      <c r="A463" s="93" t="s">
        <v>1111</v>
      </c>
      <c r="B463" s="92" t="s">
        <v>1112</v>
      </c>
      <c r="C463" s="92">
        <v>2</v>
      </c>
      <c r="D463" s="125">
        <v>0.0034333612977900645</v>
      </c>
      <c r="E463" s="125">
        <v>2.5774917998372255</v>
      </c>
      <c r="F463" s="92" t="s">
        <v>649</v>
      </c>
      <c r="G463" s="92" t="b">
        <v>0</v>
      </c>
      <c r="H463" s="92" t="b">
        <v>0</v>
      </c>
      <c r="I463" s="92" t="b">
        <v>0</v>
      </c>
      <c r="J463" s="92" t="b">
        <v>0</v>
      </c>
      <c r="K463" s="92" t="b">
        <v>0</v>
      </c>
      <c r="L463" s="92" t="b">
        <v>0</v>
      </c>
    </row>
    <row r="464" spans="1:12" ht="15">
      <c r="A464" s="93" t="s">
        <v>1112</v>
      </c>
      <c r="B464" s="92" t="s">
        <v>985</v>
      </c>
      <c r="C464" s="92">
        <v>2</v>
      </c>
      <c r="D464" s="125">
        <v>0.0034333612977900645</v>
      </c>
      <c r="E464" s="125">
        <v>2.5774917998372255</v>
      </c>
      <c r="F464" s="92" t="s">
        <v>649</v>
      </c>
      <c r="G464" s="92" t="b">
        <v>0</v>
      </c>
      <c r="H464" s="92" t="b">
        <v>0</v>
      </c>
      <c r="I464" s="92" t="b">
        <v>0</v>
      </c>
      <c r="J464" s="92" t="b">
        <v>1</v>
      </c>
      <c r="K464" s="92" t="b">
        <v>0</v>
      </c>
      <c r="L464" s="92" t="b">
        <v>0</v>
      </c>
    </row>
    <row r="465" spans="1:12" ht="15">
      <c r="A465" s="93" t="s">
        <v>985</v>
      </c>
      <c r="B465" s="92" t="s">
        <v>955</v>
      </c>
      <c r="C465" s="92">
        <v>2</v>
      </c>
      <c r="D465" s="125">
        <v>0.0034333612977900645</v>
      </c>
      <c r="E465" s="125">
        <v>2.2764618041732443</v>
      </c>
      <c r="F465" s="92" t="s">
        <v>649</v>
      </c>
      <c r="G465" s="92" t="b">
        <v>1</v>
      </c>
      <c r="H465" s="92" t="b">
        <v>0</v>
      </c>
      <c r="I465" s="92" t="b">
        <v>0</v>
      </c>
      <c r="J465" s="92" t="b">
        <v>0</v>
      </c>
      <c r="K465" s="92" t="b">
        <v>0</v>
      </c>
      <c r="L465" s="92" t="b">
        <v>0</v>
      </c>
    </row>
    <row r="466" spans="1:12" ht="15">
      <c r="A466" s="93" t="s">
        <v>955</v>
      </c>
      <c r="B466" s="92" t="s">
        <v>887</v>
      </c>
      <c r="C466" s="92">
        <v>2</v>
      </c>
      <c r="D466" s="125">
        <v>0.0034333612977900645</v>
      </c>
      <c r="E466" s="125">
        <v>1.7323937598229686</v>
      </c>
      <c r="F466" s="92" t="s">
        <v>649</v>
      </c>
      <c r="G466" s="92" t="b">
        <v>0</v>
      </c>
      <c r="H466" s="92" t="b">
        <v>0</v>
      </c>
      <c r="I466" s="92" t="b">
        <v>0</v>
      </c>
      <c r="J466" s="92" t="b">
        <v>1</v>
      </c>
      <c r="K466" s="92" t="b">
        <v>0</v>
      </c>
      <c r="L466" s="92" t="b">
        <v>0</v>
      </c>
    </row>
    <row r="467" spans="1:12" ht="15">
      <c r="A467" s="93" t="s">
        <v>887</v>
      </c>
      <c r="B467" s="92" t="s">
        <v>1113</v>
      </c>
      <c r="C467" s="92">
        <v>2</v>
      </c>
      <c r="D467" s="125">
        <v>0.0034333612977900645</v>
      </c>
      <c r="E467" s="125">
        <v>2.03342375548695</v>
      </c>
      <c r="F467" s="92" t="s">
        <v>649</v>
      </c>
      <c r="G467" s="92" t="b">
        <v>1</v>
      </c>
      <c r="H467" s="92" t="b">
        <v>0</v>
      </c>
      <c r="I467" s="92" t="b">
        <v>0</v>
      </c>
      <c r="J467" s="92" t="b">
        <v>0</v>
      </c>
      <c r="K467" s="92" t="b">
        <v>0</v>
      </c>
      <c r="L467" s="92" t="b">
        <v>0</v>
      </c>
    </row>
    <row r="468" spans="1:12" ht="15">
      <c r="A468" s="93" t="s">
        <v>1113</v>
      </c>
      <c r="B468" s="92" t="s">
        <v>1114</v>
      </c>
      <c r="C468" s="92">
        <v>2</v>
      </c>
      <c r="D468" s="125">
        <v>0.0034333612977900645</v>
      </c>
      <c r="E468" s="125">
        <v>2.5774917998372255</v>
      </c>
      <c r="F468" s="92" t="s">
        <v>649</v>
      </c>
      <c r="G468" s="92" t="b">
        <v>0</v>
      </c>
      <c r="H468" s="92" t="b">
        <v>0</v>
      </c>
      <c r="I468" s="92" t="b">
        <v>0</v>
      </c>
      <c r="J468" s="92" t="b">
        <v>0</v>
      </c>
      <c r="K468" s="92" t="b">
        <v>0</v>
      </c>
      <c r="L468" s="92" t="b">
        <v>0</v>
      </c>
    </row>
    <row r="469" spans="1:12" ht="15">
      <c r="A469" s="93" t="s">
        <v>1114</v>
      </c>
      <c r="B469" s="92" t="s">
        <v>1115</v>
      </c>
      <c r="C469" s="92">
        <v>2</v>
      </c>
      <c r="D469" s="125">
        <v>0.0034333612977900645</v>
      </c>
      <c r="E469" s="125">
        <v>2.5774917998372255</v>
      </c>
      <c r="F469" s="92" t="s">
        <v>649</v>
      </c>
      <c r="G469" s="92" t="b">
        <v>0</v>
      </c>
      <c r="H469" s="92" t="b">
        <v>0</v>
      </c>
      <c r="I469" s="92" t="b">
        <v>0</v>
      </c>
      <c r="J469" s="92" t="b">
        <v>0</v>
      </c>
      <c r="K469" s="92" t="b">
        <v>0</v>
      </c>
      <c r="L469" s="92" t="b">
        <v>0</v>
      </c>
    </row>
    <row r="470" spans="1:12" ht="15">
      <c r="A470" s="93" t="s">
        <v>1115</v>
      </c>
      <c r="B470" s="92" t="s">
        <v>1116</v>
      </c>
      <c r="C470" s="92">
        <v>2</v>
      </c>
      <c r="D470" s="125">
        <v>0.0034333612977900645</v>
      </c>
      <c r="E470" s="125">
        <v>2.5774917998372255</v>
      </c>
      <c r="F470" s="92" t="s">
        <v>649</v>
      </c>
      <c r="G470" s="92" t="b">
        <v>0</v>
      </c>
      <c r="H470" s="92" t="b">
        <v>0</v>
      </c>
      <c r="I470" s="92" t="b">
        <v>0</v>
      </c>
      <c r="J470" s="92" t="b">
        <v>0</v>
      </c>
      <c r="K470" s="92" t="b">
        <v>0</v>
      </c>
      <c r="L470" s="92" t="b">
        <v>0</v>
      </c>
    </row>
    <row r="471" spans="1:12" ht="15">
      <c r="A471" s="93" t="s">
        <v>1116</v>
      </c>
      <c r="B471" s="92" t="s">
        <v>703</v>
      </c>
      <c r="C471" s="92">
        <v>2</v>
      </c>
      <c r="D471" s="125">
        <v>0.0034333612977900645</v>
      </c>
      <c r="E471" s="125">
        <v>1.7024305364455254</v>
      </c>
      <c r="F471" s="92" t="s">
        <v>649</v>
      </c>
      <c r="G471" s="92" t="b">
        <v>0</v>
      </c>
      <c r="H471" s="92" t="b">
        <v>0</v>
      </c>
      <c r="I471" s="92" t="b">
        <v>0</v>
      </c>
      <c r="J471" s="92" t="b">
        <v>0</v>
      </c>
      <c r="K471" s="92" t="b">
        <v>0</v>
      </c>
      <c r="L471" s="92" t="b">
        <v>0</v>
      </c>
    </row>
    <row r="472" spans="1:12" ht="15">
      <c r="A472" s="93" t="s">
        <v>703</v>
      </c>
      <c r="B472" s="92" t="s">
        <v>901</v>
      </c>
      <c r="C472" s="92">
        <v>2</v>
      </c>
      <c r="D472" s="125">
        <v>0.0034333612977900645</v>
      </c>
      <c r="E472" s="125">
        <v>1.2253092817258628</v>
      </c>
      <c r="F472" s="92" t="s">
        <v>649</v>
      </c>
      <c r="G472" s="92" t="b">
        <v>0</v>
      </c>
      <c r="H472" s="92" t="b">
        <v>0</v>
      </c>
      <c r="I472" s="92" t="b">
        <v>0</v>
      </c>
      <c r="J472" s="92" t="b">
        <v>0</v>
      </c>
      <c r="K472" s="92" t="b">
        <v>0</v>
      </c>
      <c r="L472" s="92" t="b">
        <v>0</v>
      </c>
    </row>
    <row r="473" spans="1:12" ht="15">
      <c r="A473" s="93" t="s">
        <v>901</v>
      </c>
      <c r="B473" s="92" t="s">
        <v>1117</v>
      </c>
      <c r="C473" s="92">
        <v>2</v>
      </c>
      <c r="D473" s="125">
        <v>0.0034333612977900645</v>
      </c>
      <c r="E473" s="125">
        <v>2.100370545117563</v>
      </c>
      <c r="F473" s="92" t="s">
        <v>649</v>
      </c>
      <c r="G473" s="92" t="b">
        <v>0</v>
      </c>
      <c r="H473" s="92" t="b">
        <v>0</v>
      </c>
      <c r="I473" s="92" t="b">
        <v>0</v>
      </c>
      <c r="J473" s="92" t="b">
        <v>1</v>
      </c>
      <c r="K473" s="92" t="b">
        <v>0</v>
      </c>
      <c r="L473" s="92" t="b">
        <v>0</v>
      </c>
    </row>
    <row r="474" spans="1:12" ht="15">
      <c r="A474" s="93" t="s">
        <v>1117</v>
      </c>
      <c r="B474" s="92" t="s">
        <v>701</v>
      </c>
      <c r="C474" s="92">
        <v>2</v>
      </c>
      <c r="D474" s="125">
        <v>0.0034333612977900645</v>
      </c>
      <c r="E474" s="125">
        <v>1.1972805581256194</v>
      </c>
      <c r="F474" s="92" t="s">
        <v>649</v>
      </c>
      <c r="G474" s="92" t="b">
        <v>1</v>
      </c>
      <c r="H474" s="92" t="b">
        <v>0</v>
      </c>
      <c r="I474" s="92" t="b">
        <v>0</v>
      </c>
      <c r="J474" s="92" t="b">
        <v>0</v>
      </c>
      <c r="K474" s="92" t="b">
        <v>0</v>
      </c>
      <c r="L474" s="92" t="b">
        <v>0</v>
      </c>
    </row>
    <row r="475" spans="1:12" ht="15">
      <c r="A475" s="93" t="s">
        <v>708</v>
      </c>
      <c r="B475" s="92" t="s">
        <v>701</v>
      </c>
      <c r="C475" s="92">
        <v>2</v>
      </c>
      <c r="D475" s="125">
        <v>0.0034333612977900645</v>
      </c>
      <c r="E475" s="125">
        <v>0.5952205667976569</v>
      </c>
      <c r="F475" s="92" t="s">
        <v>649</v>
      </c>
      <c r="G475" s="92" t="b">
        <v>1</v>
      </c>
      <c r="H475" s="92" t="b">
        <v>0</v>
      </c>
      <c r="I475" s="92" t="b">
        <v>0</v>
      </c>
      <c r="J475" s="92" t="b">
        <v>0</v>
      </c>
      <c r="K475" s="92" t="b">
        <v>0</v>
      </c>
      <c r="L475" s="92" t="b">
        <v>0</v>
      </c>
    </row>
    <row r="476" spans="1:12" ht="15">
      <c r="A476" s="93" t="s">
        <v>701</v>
      </c>
      <c r="B476" s="92" t="s">
        <v>1078</v>
      </c>
      <c r="C476" s="92">
        <v>2</v>
      </c>
      <c r="D476" s="125">
        <v>0.0034333612977900645</v>
      </c>
      <c r="E476" s="125">
        <v>2.03342375548695</v>
      </c>
      <c r="F476" s="92" t="s">
        <v>649</v>
      </c>
      <c r="G476" s="92" t="b">
        <v>0</v>
      </c>
      <c r="H476" s="92" t="b">
        <v>0</v>
      </c>
      <c r="I476" s="92" t="b">
        <v>0</v>
      </c>
      <c r="J476" s="92" t="b">
        <v>0</v>
      </c>
      <c r="K476" s="92" t="b">
        <v>0</v>
      </c>
      <c r="L476" s="92" t="b">
        <v>0</v>
      </c>
    </row>
    <row r="477" spans="1:12" ht="15">
      <c r="A477" s="93" t="s">
        <v>1078</v>
      </c>
      <c r="B477" s="92" t="s">
        <v>1079</v>
      </c>
      <c r="C477" s="92">
        <v>2</v>
      </c>
      <c r="D477" s="125">
        <v>0.0034333612977900645</v>
      </c>
      <c r="E477" s="125">
        <v>2.5774917998372255</v>
      </c>
      <c r="F477" s="92" t="s">
        <v>649</v>
      </c>
      <c r="G477" s="92" t="b">
        <v>0</v>
      </c>
      <c r="H477" s="92" t="b">
        <v>0</v>
      </c>
      <c r="I477" s="92" t="b">
        <v>0</v>
      </c>
      <c r="J477" s="92" t="b">
        <v>0</v>
      </c>
      <c r="K477" s="92" t="b">
        <v>0</v>
      </c>
      <c r="L477" s="92" t="b">
        <v>0</v>
      </c>
    </row>
    <row r="478" spans="1:12" ht="15">
      <c r="A478" s="93" t="s">
        <v>1079</v>
      </c>
      <c r="B478" s="92" t="s">
        <v>981</v>
      </c>
      <c r="C478" s="92">
        <v>2</v>
      </c>
      <c r="D478" s="125">
        <v>0.0034333612977900645</v>
      </c>
      <c r="E478" s="125">
        <v>2.5774917998372255</v>
      </c>
      <c r="F478" s="92" t="s">
        <v>649</v>
      </c>
      <c r="G478" s="92" t="b">
        <v>0</v>
      </c>
      <c r="H478" s="92" t="b">
        <v>0</v>
      </c>
      <c r="I478" s="92" t="b">
        <v>0</v>
      </c>
      <c r="J478" s="92" t="b">
        <v>0</v>
      </c>
      <c r="K478" s="92" t="b">
        <v>0</v>
      </c>
      <c r="L478" s="92" t="b">
        <v>0</v>
      </c>
    </row>
    <row r="479" spans="1:12" ht="15">
      <c r="A479" s="93" t="s">
        <v>981</v>
      </c>
      <c r="B479" s="92" t="s">
        <v>1080</v>
      </c>
      <c r="C479" s="92">
        <v>2</v>
      </c>
      <c r="D479" s="125">
        <v>0.0034333612977900645</v>
      </c>
      <c r="E479" s="125">
        <v>2.5774917998372255</v>
      </c>
      <c r="F479" s="92" t="s">
        <v>649</v>
      </c>
      <c r="G479" s="92" t="b">
        <v>0</v>
      </c>
      <c r="H479" s="92" t="b">
        <v>0</v>
      </c>
      <c r="I479" s="92" t="b">
        <v>0</v>
      </c>
      <c r="J479" s="92" t="b">
        <v>0</v>
      </c>
      <c r="K479" s="92" t="b">
        <v>0</v>
      </c>
      <c r="L479" s="92" t="b">
        <v>0</v>
      </c>
    </row>
    <row r="480" spans="1:12" ht="15">
      <c r="A480" s="93" t="s">
        <v>1080</v>
      </c>
      <c r="B480" s="92" t="s">
        <v>1081</v>
      </c>
      <c r="C480" s="92">
        <v>2</v>
      </c>
      <c r="D480" s="125">
        <v>0.0034333612977900645</v>
      </c>
      <c r="E480" s="125">
        <v>2.5774917998372255</v>
      </c>
      <c r="F480" s="92" t="s">
        <v>649</v>
      </c>
      <c r="G480" s="92" t="b">
        <v>0</v>
      </c>
      <c r="H480" s="92" t="b">
        <v>0</v>
      </c>
      <c r="I480" s="92" t="b">
        <v>0</v>
      </c>
      <c r="J480" s="92" t="b">
        <v>0</v>
      </c>
      <c r="K480" s="92" t="b">
        <v>0</v>
      </c>
      <c r="L480" s="92" t="b">
        <v>0</v>
      </c>
    </row>
    <row r="481" spans="1:12" ht="15">
      <c r="A481" s="93" t="s">
        <v>1081</v>
      </c>
      <c r="B481" s="92" t="s">
        <v>725</v>
      </c>
      <c r="C481" s="92">
        <v>2</v>
      </c>
      <c r="D481" s="125">
        <v>0.0034333612977900645</v>
      </c>
      <c r="E481" s="125">
        <v>2.100370545117563</v>
      </c>
      <c r="F481" s="92" t="s">
        <v>649</v>
      </c>
      <c r="G481" s="92" t="b">
        <v>0</v>
      </c>
      <c r="H481" s="92" t="b">
        <v>0</v>
      </c>
      <c r="I481" s="92" t="b">
        <v>0</v>
      </c>
      <c r="J481" s="92" t="b">
        <v>0</v>
      </c>
      <c r="K481" s="92" t="b">
        <v>0</v>
      </c>
      <c r="L481" s="92" t="b">
        <v>0</v>
      </c>
    </row>
    <row r="482" spans="1:12" ht="15">
      <c r="A482" s="93" t="s">
        <v>725</v>
      </c>
      <c r="B482" s="92" t="s">
        <v>1082</v>
      </c>
      <c r="C482" s="92">
        <v>2</v>
      </c>
      <c r="D482" s="125">
        <v>0.0034333612977900645</v>
      </c>
      <c r="E482" s="125">
        <v>2.100370545117563</v>
      </c>
      <c r="F482" s="92" t="s">
        <v>649</v>
      </c>
      <c r="G482" s="92" t="b">
        <v>0</v>
      </c>
      <c r="H482" s="92" t="b">
        <v>0</v>
      </c>
      <c r="I482" s="92" t="b">
        <v>0</v>
      </c>
      <c r="J482" s="92" t="b">
        <v>0</v>
      </c>
      <c r="K482" s="92" t="b">
        <v>0</v>
      </c>
      <c r="L482" s="92" t="b">
        <v>0</v>
      </c>
    </row>
    <row r="483" spans="1:12" ht="15">
      <c r="A483" s="93" t="s">
        <v>1082</v>
      </c>
      <c r="B483" s="92" t="s">
        <v>982</v>
      </c>
      <c r="C483" s="92">
        <v>2</v>
      </c>
      <c r="D483" s="125">
        <v>0.0034333612977900645</v>
      </c>
      <c r="E483" s="125">
        <v>2.5774917998372255</v>
      </c>
      <c r="F483" s="92" t="s">
        <v>649</v>
      </c>
      <c r="G483" s="92" t="b">
        <v>0</v>
      </c>
      <c r="H483" s="92" t="b">
        <v>0</v>
      </c>
      <c r="I483" s="92" t="b">
        <v>0</v>
      </c>
      <c r="J483" s="92" t="b">
        <v>0</v>
      </c>
      <c r="K483" s="92" t="b">
        <v>0</v>
      </c>
      <c r="L483" s="92" t="b">
        <v>0</v>
      </c>
    </row>
    <row r="484" spans="1:12" ht="15">
      <c r="A484" s="93" t="s">
        <v>982</v>
      </c>
      <c r="B484" s="92" t="s">
        <v>983</v>
      </c>
      <c r="C484" s="92">
        <v>2</v>
      </c>
      <c r="D484" s="125">
        <v>0.0034333612977900645</v>
      </c>
      <c r="E484" s="125">
        <v>2.5774917998372255</v>
      </c>
      <c r="F484" s="92" t="s">
        <v>649</v>
      </c>
      <c r="G484" s="92" t="b">
        <v>0</v>
      </c>
      <c r="H484" s="92" t="b">
        <v>0</v>
      </c>
      <c r="I484" s="92" t="b">
        <v>0</v>
      </c>
      <c r="J484" s="92" t="b">
        <v>0</v>
      </c>
      <c r="K484" s="92" t="b">
        <v>1</v>
      </c>
      <c r="L484" s="92" t="b">
        <v>0</v>
      </c>
    </row>
    <row r="485" spans="1:12" ht="15">
      <c r="A485" s="93" t="s">
        <v>983</v>
      </c>
      <c r="B485" s="92" t="s">
        <v>1083</v>
      </c>
      <c r="C485" s="92">
        <v>2</v>
      </c>
      <c r="D485" s="125">
        <v>0.0034333612977900645</v>
      </c>
      <c r="E485" s="125">
        <v>2.5774917998372255</v>
      </c>
      <c r="F485" s="92" t="s">
        <v>649</v>
      </c>
      <c r="G485" s="92" t="b">
        <v>0</v>
      </c>
      <c r="H485" s="92" t="b">
        <v>1</v>
      </c>
      <c r="I485" s="92" t="b">
        <v>0</v>
      </c>
      <c r="J485" s="92" t="b">
        <v>0</v>
      </c>
      <c r="K485" s="92" t="b">
        <v>0</v>
      </c>
      <c r="L485" s="92" t="b">
        <v>0</v>
      </c>
    </row>
    <row r="486" spans="1:12" ht="15">
      <c r="A486" s="93" t="s">
        <v>1083</v>
      </c>
      <c r="B486" s="92" t="s">
        <v>1084</v>
      </c>
      <c r="C486" s="92">
        <v>2</v>
      </c>
      <c r="D486" s="125">
        <v>0.0034333612977900645</v>
      </c>
      <c r="E486" s="125">
        <v>2.5774917998372255</v>
      </c>
      <c r="F486" s="92" t="s">
        <v>649</v>
      </c>
      <c r="G486" s="92" t="b">
        <v>0</v>
      </c>
      <c r="H486" s="92" t="b">
        <v>0</v>
      </c>
      <c r="I486" s="92" t="b">
        <v>0</v>
      </c>
      <c r="J486" s="92" t="b">
        <v>0</v>
      </c>
      <c r="K486" s="92" t="b">
        <v>1</v>
      </c>
      <c r="L486" s="92" t="b">
        <v>0</v>
      </c>
    </row>
    <row r="487" spans="1:12" ht="15">
      <c r="A487" s="93" t="s">
        <v>1084</v>
      </c>
      <c r="B487" s="92" t="s">
        <v>952</v>
      </c>
      <c r="C487" s="92">
        <v>2</v>
      </c>
      <c r="D487" s="125">
        <v>0.0034333612977900645</v>
      </c>
      <c r="E487" s="125">
        <v>2.5774917998372255</v>
      </c>
      <c r="F487" s="92" t="s">
        <v>649</v>
      </c>
      <c r="G487" s="92" t="b">
        <v>0</v>
      </c>
      <c r="H487" s="92" t="b">
        <v>1</v>
      </c>
      <c r="I487" s="92" t="b">
        <v>0</v>
      </c>
      <c r="J487" s="92" t="b">
        <v>0</v>
      </c>
      <c r="K487" s="92" t="b">
        <v>1</v>
      </c>
      <c r="L487" s="92" t="b">
        <v>0</v>
      </c>
    </row>
    <row r="488" spans="1:12" ht="15">
      <c r="A488" s="93" t="s">
        <v>952</v>
      </c>
      <c r="B488" s="92" t="s">
        <v>1085</v>
      </c>
      <c r="C488" s="92">
        <v>2</v>
      </c>
      <c r="D488" s="125">
        <v>0.0034333612977900645</v>
      </c>
      <c r="E488" s="125">
        <v>2.5774917998372255</v>
      </c>
      <c r="F488" s="92" t="s">
        <v>649</v>
      </c>
      <c r="G488" s="92" t="b">
        <v>0</v>
      </c>
      <c r="H488" s="92" t="b">
        <v>1</v>
      </c>
      <c r="I488" s="92" t="b">
        <v>0</v>
      </c>
      <c r="J488" s="92" t="b">
        <v>0</v>
      </c>
      <c r="K488" s="92" t="b">
        <v>0</v>
      </c>
      <c r="L488" s="92" t="b">
        <v>0</v>
      </c>
    </row>
    <row r="489" spans="1:12" ht="15">
      <c r="A489" s="93" t="s">
        <v>1085</v>
      </c>
      <c r="B489" s="92" t="s">
        <v>921</v>
      </c>
      <c r="C489" s="92">
        <v>2</v>
      </c>
      <c r="D489" s="125">
        <v>0.0034333612977900645</v>
      </c>
      <c r="E489" s="125">
        <v>2.1795517911651876</v>
      </c>
      <c r="F489" s="92" t="s">
        <v>649</v>
      </c>
      <c r="G489" s="92" t="b">
        <v>0</v>
      </c>
      <c r="H489" s="92" t="b">
        <v>0</v>
      </c>
      <c r="I489" s="92" t="b">
        <v>0</v>
      </c>
      <c r="J489" s="92" t="b">
        <v>0</v>
      </c>
      <c r="K489" s="92" t="b">
        <v>0</v>
      </c>
      <c r="L489" s="92" t="b">
        <v>0</v>
      </c>
    </row>
    <row r="490" spans="1:12" ht="15">
      <c r="A490" s="93" t="s">
        <v>921</v>
      </c>
      <c r="B490" s="92" t="s">
        <v>947</v>
      </c>
      <c r="C490" s="92">
        <v>2</v>
      </c>
      <c r="D490" s="125">
        <v>0.0034333612977900645</v>
      </c>
      <c r="E490" s="125">
        <v>2.1795517911651876</v>
      </c>
      <c r="F490" s="92" t="s">
        <v>649</v>
      </c>
      <c r="G490" s="92" t="b">
        <v>0</v>
      </c>
      <c r="H490" s="92" t="b">
        <v>0</v>
      </c>
      <c r="I490" s="92" t="b">
        <v>0</v>
      </c>
      <c r="J490" s="92" t="b">
        <v>0</v>
      </c>
      <c r="K490" s="92" t="b">
        <v>0</v>
      </c>
      <c r="L490" s="92" t="b">
        <v>0</v>
      </c>
    </row>
    <row r="491" spans="1:12" ht="15">
      <c r="A491" s="93" t="s">
        <v>947</v>
      </c>
      <c r="B491" s="92" t="s">
        <v>1086</v>
      </c>
      <c r="C491" s="92">
        <v>2</v>
      </c>
      <c r="D491" s="125">
        <v>0.0034333612977900645</v>
      </c>
      <c r="E491" s="125">
        <v>2.5774917998372255</v>
      </c>
      <c r="F491" s="92" t="s">
        <v>649</v>
      </c>
      <c r="G491" s="92" t="b">
        <v>0</v>
      </c>
      <c r="H491" s="92" t="b">
        <v>0</v>
      </c>
      <c r="I491" s="92" t="b">
        <v>0</v>
      </c>
      <c r="J491" s="92" t="b">
        <v>0</v>
      </c>
      <c r="K491" s="92" t="b">
        <v>0</v>
      </c>
      <c r="L491" s="92" t="b">
        <v>0</v>
      </c>
    </row>
    <row r="492" spans="1:12" ht="15">
      <c r="A492" s="93" t="s">
        <v>1086</v>
      </c>
      <c r="B492" s="92" t="s">
        <v>1087</v>
      </c>
      <c r="C492" s="92">
        <v>2</v>
      </c>
      <c r="D492" s="125">
        <v>0.0034333612977900645</v>
      </c>
      <c r="E492" s="125">
        <v>2.5774917998372255</v>
      </c>
      <c r="F492" s="92" t="s">
        <v>649</v>
      </c>
      <c r="G492" s="92" t="b">
        <v>0</v>
      </c>
      <c r="H492" s="92" t="b">
        <v>0</v>
      </c>
      <c r="I492" s="92" t="b">
        <v>0</v>
      </c>
      <c r="J492" s="92" t="b">
        <v>0</v>
      </c>
      <c r="K492" s="92" t="b">
        <v>0</v>
      </c>
      <c r="L492" s="92" t="b">
        <v>0</v>
      </c>
    </row>
    <row r="493" spans="1:12" ht="15">
      <c r="A493" s="93" t="s">
        <v>1087</v>
      </c>
      <c r="B493" s="92" t="s">
        <v>921</v>
      </c>
      <c r="C493" s="92">
        <v>2</v>
      </c>
      <c r="D493" s="125">
        <v>0.0034333612977900645</v>
      </c>
      <c r="E493" s="125">
        <v>2.1795517911651876</v>
      </c>
      <c r="F493" s="92" t="s">
        <v>649</v>
      </c>
      <c r="G493" s="92" t="b">
        <v>0</v>
      </c>
      <c r="H493" s="92" t="b">
        <v>0</v>
      </c>
      <c r="I493" s="92" t="b">
        <v>0</v>
      </c>
      <c r="J493" s="92" t="b">
        <v>0</v>
      </c>
      <c r="K493" s="92" t="b">
        <v>0</v>
      </c>
      <c r="L493" s="92" t="b">
        <v>0</v>
      </c>
    </row>
    <row r="494" spans="1:12" ht="15">
      <c r="A494" s="93" t="s">
        <v>921</v>
      </c>
      <c r="B494" s="92" t="s">
        <v>1088</v>
      </c>
      <c r="C494" s="92">
        <v>2</v>
      </c>
      <c r="D494" s="125">
        <v>0.0034333612977900645</v>
      </c>
      <c r="E494" s="125">
        <v>2.1795517911651876</v>
      </c>
      <c r="F494" s="92" t="s">
        <v>649</v>
      </c>
      <c r="G494" s="92" t="b">
        <v>0</v>
      </c>
      <c r="H494" s="92" t="b">
        <v>0</v>
      </c>
      <c r="I494" s="92" t="b">
        <v>0</v>
      </c>
      <c r="J494" s="92" t="b">
        <v>0</v>
      </c>
      <c r="K494" s="92" t="b">
        <v>0</v>
      </c>
      <c r="L494" s="92" t="b">
        <v>0</v>
      </c>
    </row>
    <row r="495" spans="1:12" ht="15">
      <c r="A495" s="93" t="s">
        <v>1088</v>
      </c>
      <c r="B495" s="92" t="s">
        <v>948</v>
      </c>
      <c r="C495" s="92">
        <v>2</v>
      </c>
      <c r="D495" s="125">
        <v>0.0034333612977900645</v>
      </c>
      <c r="E495" s="125">
        <v>2.2764618041732443</v>
      </c>
      <c r="F495" s="92" t="s">
        <v>649</v>
      </c>
      <c r="G495" s="92" t="b">
        <v>0</v>
      </c>
      <c r="H495" s="92" t="b">
        <v>0</v>
      </c>
      <c r="I495" s="92" t="b">
        <v>0</v>
      </c>
      <c r="J495" s="92" t="b">
        <v>0</v>
      </c>
      <c r="K495" s="92" t="b">
        <v>0</v>
      </c>
      <c r="L495" s="92" t="b">
        <v>0</v>
      </c>
    </row>
    <row r="496" spans="1:12" ht="15">
      <c r="A496" s="93" t="s">
        <v>973</v>
      </c>
      <c r="B496" s="92" t="s">
        <v>886</v>
      </c>
      <c r="C496" s="92">
        <v>2</v>
      </c>
      <c r="D496" s="125">
        <v>0.0034333612977900645</v>
      </c>
      <c r="E496" s="125">
        <v>2.100370545117563</v>
      </c>
      <c r="F496" s="92" t="s">
        <v>649</v>
      </c>
      <c r="G496" s="92" t="b">
        <v>0</v>
      </c>
      <c r="H496" s="92" t="b">
        <v>0</v>
      </c>
      <c r="I496" s="92" t="b">
        <v>0</v>
      </c>
      <c r="J496" s="92" t="b">
        <v>0</v>
      </c>
      <c r="K496" s="92" t="b">
        <v>0</v>
      </c>
      <c r="L496" s="92" t="b">
        <v>0</v>
      </c>
    </row>
    <row r="497" spans="1:12" ht="15">
      <c r="A497" s="93" t="s">
        <v>702</v>
      </c>
      <c r="B497" s="92" t="s">
        <v>975</v>
      </c>
      <c r="C497" s="92">
        <v>2</v>
      </c>
      <c r="D497" s="125">
        <v>0.0034333612977900645</v>
      </c>
      <c r="E497" s="125">
        <v>1.7024305364455254</v>
      </c>
      <c r="F497" s="92" t="s">
        <v>649</v>
      </c>
      <c r="G497" s="92" t="b">
        <v>0</v>
      </c>
      <c r="H497" s="92" t="b">
        <v>0</v>
      </c>
      <c r="I497" s="92" t="b">
        <v>0</v>
      </c>
      <c r="J497" s="92" t="b">
        <v>0</v>
      </c>
      <c r="K497" s="92" t="b">
        <v>0</v>
      </c>
      <c r="L497" s="92" t="b">
        <v>0</v>
      </c>
    </row>
    <row r="498" spans="1:12" ht="15">
      <c r="A498" s="93" t="s">
        <v>975</v>
      </c>
      <c r="B498" s="92" t="s">
        <v>914</v>
      </c>
      <c r="C498" s="92">
        <v>2</v>
      </c>
      <c r="D498" s="125">
        <v>0.0034333612977900645</v>
      </c>
      <c r="E498" s="125">
        <v>2.2764618041732443</v>
      </c>
      <c r="F498" s="92" t="s">
        <v>649</v>
      </c>
      <c r="G498" s="92" t="b">
        <v>0</v>
      </c>
      <c r="H498" s="92" t="b">
        <v>0</v>
      </c>
      <c r="I498" s="92" t="b">
        <v>0</v>
      </c>
      <c r="J498" s="92" t="b">
        <v>0</v>
      </c>
      <c r="K498" s="92" t="b">
        <v>0</v>
      </c>
      <c r="L498" s="92" t="b">
        <v>0</v>
      </c>
    </row>
    <row r="499" spans="1:12" ht="15">
      <c r="A499" s="93" t="s">
        <v>1066</v>
      </c>
      <c r="B499" s="92" t="s">
        <v>1067</v>
      </c>
      <c r="C499" s="92">
        <v>2</v>
      </c>
      <c r="D499" s="125">
        <v>0.0034333612977900645</v>
      </c>
      <c r="E499" s="125">
        <v>2.5774917998372255</v>
      </c>
      <c r="F499" s="92" t="s">
        <v>649</v>
      </c>
      <c r="G499" s="92" t="b">
        <v>0</v>
      </c>
      <c r="H499" s="92" t="b">
        <v>0</v>
      </c>
      <c r="I499" s="92" t="b">
        <v>0</v>
      </c>
      <c r="J499" s="92" t="b">
        <v>0</v>
      </c>
      <c r="K499" s="92" t="b">
        <v>0</v>
      </c>
      <c r="L499" s="92" t="b">
        <v>0</v>
      </c>
    </row>
    <row r="500" spans="1:12" ht="15">
      <c r="A500" s="93" t="s">
        <v>1067</v>
      </c>
      <c r="B500" s="92" t="s">
        <v>705</v>
      </c>
      <c r="C500" s="92">
        <v>2</v>
      </c>
      <c r="D500" s="125">
        <v>0.0034333612977900645</v>
      </c>
      <c r="E500" s="125">
        <v>1.8785217955012066</v>
      </c>
      <c r="F500" s="92" t="s">
        <v>649</v>
      </c>
      <c r="G500" s="92" t="b">
        <v>0</v>
      </c>
      <c r="H500" s="92" t="b">
        <v>0</v>
      </c>
      <c r="I500" s="92" t="b">
        <v>0</v>
      </c>
      <c r="J500" s="92" t="b">
        <v>1</v>
      </c>
      <c r="K500" s="92" t="b">
        <v>0</v>
      </c>
      <c r="L500" s="92" t="b">
        <v>0</v>
      </c>
    </row>
    <row r="501" spans="1:12" ht="15">
      <c r="A501" s="93" t="s">
        <v>705</v>
      </c>
      <c r="B501" s="92" t="s">
        <v>1068</v>
      </c>
      <c r="C501" s="92">
        <v>2</v>
      </c>
      <c r="D501" s="125">
        <v>0.0034333612977900645</v>
      </c>
      <c r="E501" s="125">
        <v>1.8785217955012066</v>
      </c>
      <c r="F501" s="92" t="s">
        <v>649</v>
      </c>
      <c r="G501" s="92" t="b">
        <v>1</v>
      </c>
      <c r="H501" s="92" t="b">
        <v>0</v>
      </c>
      <c r="I501" s="92" t="b">
        <v>0</v>
      </c>
      <c r="J501" s="92" t="b">
        <v>0</v>
      </c>
      <c r="K501" s="92" t="b">
        <v>0</v>
      </c>
      <c r="L501" s="92" t="b">
        <v>0</v>
      </c>
    </row>
    <row r="502" spans="1:12" ht="15">
      <c r="A502" s="93" t="s">
        <v>1068</v>
      </c>
      <c r="B502" s="92" t="s">
        <v>1069</v>
      </c>
      <c r="C502" s="92">
        <v>2</v>
      </c>
      <c r="D502" s="125">
        <v>0.0034333612977900645</v>
      </c>
      <c r="E502" s="125">
        <v>2.5774917998372255</v>
      </c>
      <c r="F502" s="92" t="s">
        <v>649</v>
      </c>
      <c r="G502" s="92" t="b">
        <v>0</v>
      </c>
      <c r="H502" s="92" t="b">
        <v>0</v>
      </c>
      <c r="I502" s="92" t="b">
        <v>0</v>
      </c>
      <c r="J502" s="92" t="b">
        <v>0</v>
      </c>
      <c r="K502" s="92" t="b">
        <v>0</v>
      </c>
      <c r="L502" s="92" t="b">
        <v>0</v>
      </c>
    </row>
    <row r="503" spans="1:12" ht="15">
      <c r="A503" s="93" t="s">
        <v>1069</v>
      </c>
      <c r="B503" s="92" t="s">
        <v>1070</v>
      </c>
      <c r="C503" s="92">
        <v>2</v>
      </c>
      <c r="D503" s="125">
        <v>0.0034333612977900645</v>
      </c>
      <c r="E503" s="125">
        <v>2.5774917998372255</v>
      </c>
      <c r="F503" s="92" t="s">
        <v>649</v>
      </c>
      <c r="G503" s="92" t="b">
        <v>0</v>
      </c>
      <c r="H503" s="92" t="b">
        <v>0</v>
      </c>
      <c r="I503" s="92" t="b">
        <v>0</v>
      </c>
      <c r="J503" s="92" t="b">
        <v>0</v>
      </c>
      <c r="K503" s="92" t="b">
        <v>0</v>
      </c>
      <c r="L503" s="92" t="b">
        <v>0</v>
      </c>
    </row>
    <row r="504" spans="1:12" ht="15">
      <c r="A504" s="93" t="s">
        <v>1070</v>
      </c>
      <c r="B504" s="92" t="s">
        <v>702</v>
      </c>
      <c r="C504" s="92">
        <v>2</v>
      </c>
      <c r="D504" s="125">
        <v>0.0034333612977900645</v>
      </c>
      <c r="E504" s="125">
        <v>1.7024305364455254</v>
      </c>
      <c r="F504" s="92" t="s">
        <v>649</v>
      </c>
      <c r="G504" s="92" t="b">
        <v>0</v>
      </c>
      <c r="H504" s="92" t="b">
        <v>0</v>
      </c>
      <c r="I504" s="92" t="b">
        <v>0</v>
      </c>
      <c r="J504" s="92" t="b">
        <v>0</v>
      </c>
      <c r="K504" s="92" t="b">
        <v>0</v>
      </c>
      <c r="L504" s="92" t="b">
        <v>0</v>
      </c>
    </row>
    <row r="505" spans="1:12" ht="15">
      <c r="A505" s="93" t="s">
        <v>702</v>
      </c>
      <c r="B505" s="92" t="s">
        <v>914</v>
      </c>
      <c r="C505" s="92">
        <v>2</v>
      </c>
      <c r="D505" s="125">
        <v>0.0034333612977900645</v>
      </c>
      <c r="E505" s="125">
        <v>1.4014005407815442</v>
      </c>
      <c r="F505" s="92" t="s">
        <v>649</v>
      </c>
      <c r="G505" s="92" t="b">
        <v>0</v>
      </c>
      <c r="H505" s="92" t="b">
        <v>0</v>
      </c>
      <c r="I505" s="92" t="b">
        <v>0</v>
      </c>
      <c r="J505" s="92" t="b">
        <v>0</v>
      </c>
      <c r="K505" s="92" t="b">
        <v>0</v>
      </c>
      <c r="L505" s="92" t="b">
        <v>0</v>
      </c>
    </row>
    <row r="506" spans="1:12" ht="15">
      <c r="A506" s="93" t="s">
        <v>914</v>
      </c>
      <c r="B506" s="92" t="s">
        <v>1071</v>
      </c>
      <c r="C506" s="92">
        <v>2</v>
      </c>
      <c r="D506" s="125">
        <v>0.0034333612977900645</v>
      </c>
      <c r="E506" s="125">
        <v>2.2764618041732443</v>
      </c>
      <c r="F506" s="92" t="s">
        <v>649</v>
      </c>
      <c r="G506" s="92" t="b">
        <v>0</v>
      </c>
      <c r="H506" s="92" t="b">
        <v>0</v>
      </c>
      <c r="I506" s="92" t="b">
        <v>0</v>
      </c>
      <c r="J506" s="92" t="b">
        <v>0</v>
      </c>
      <c r="K506" s="92" t="b">
        <v>0</v>
      </c>
      <c r="L506" s="92" t="b">
        <v>0</v>
      </c>
    </row>
    <row r="507" spans="1:12" ht="15">
      <c r="A507" s="93" t="s">
        <v>1071</v>
      </c>
      <c r="B507" s="92" t="s">
        <v>1072</v>
      </c>
      <c r="C507" s="92">
        <v>2</v>
      </c>
      <c r="D507" s="125">
        <v>0.0034333612977900645</v>
      </c>
      <c r="E507" s="125">
        <v>2.5774917998372255</v>
      </c>
      <c r="F507" s="92" t="s">
        <v>649</v>
      </c>
      <c r="G507" s="92" t="b">
        <v>0</v>
      </c>
      <c r="H507" s="92" t="b">
        <v>0</v>
      </c>
      <c r="I507" s="92" t="b">
        <v>0</v>
      </c>
      <c r="J507" s="92" t="b">
        <v>0</v>
      </c>
      <c r="K507" s="92" t="b">
        <v>1</v>
      </c>
      <c r="L507" s="92" t="b">
        <v>0</v>
      </c>
    </row>
    <row r="508" spans="1:12" ht="15">
      <c r="A508" s="93" t="s">
        <v>1072</v>
      </c>
      <c r="B508" s="92" t="s">
        <v>1073</v>
      </c>
      <c r="C508" s="92">
        <v>2</v>
      </c>
      <c r="D508" s="125">
        <v>0.0034333612977900645</v>
      </c>
      <c r="E508" s="125">
        <v>2.5774917998372255</v>
      </c>
      <c r="F508" s="92" t="s">
        <v>649</v>
      </c>
      <c r="G508" s="92" t="b">
        <v>0</v>
      </c>
      <c r="H508" s="92" t="b">
        <v>1</v>
      </c>
      <c r="I508" s="92" t="b">
        <v>0</v>
      </c>
      <c r="J508" s="92" t="b">
        <v>0</v>
      </c>
      <c r="K508" s="92" t="b">
        <v>0</v>
      </c>
      <c r="L508" s="92" t="b">
        <v>0</v>
      </c>
    </row>
    <row r="509" spans="1:12" ht="15">
      <c r="A509" s="93" t="s">
        <v>1073</v>
      </c>
      <c r="B509" s="92" t="s">
        <v>1074</v>
      </c>
      <c r="C509" s="92">
        <v>2</v>
      </c>
      <c r="D509" s="125">
        <v>0.0034333612977900645</v>
      </c>
      <c r="E509" s="125">
        <v>2.5774917998372255</v>
      </c>
      <c r="F509" s="92" t="s">
        <v>649</v>
      </c>
      <c r="G509" s="92" t="b">
        <v>0</v>
      </c>
      <c r="H509" s="92" t="b">
        <v>0</v>
      </c>
      <c r="I509" s="92" t="b">
        <v>0</v>
      </c>
      <c r="J509" s="92" t="b">
        <v>0</v>
      </c>
      <c r="K509" s="92" t="b">
        <v>0</v>
      </c>
      <c r="L509" s="92" t="b">
        <v>0</v>
      </c>
    </row>
    <row r="510" spans="1:12" ht="15">
      <c r="A510" s="93" t="s">
        <v>1074</v>
      </c>
      <c r="B510" s="92" t="s">
        <v>1075</v>
      </c>
      <c r="C510" s="92">
        <v>2</v>
      </c>
      <c r="D510" s="125">
        <v>0.0034333612977900645</v>
      </c>
      <c r="E510" s="125">
        <v>2.5774917998372255</v>
      </c>
      <c r="F510" s="92" t="s">
        <v>649</v>
      </c>
      <c r="G510" s="92" t="b">
        <v>0</v>
      </c>
      <c r="H510" s="92" t="b">
        <v>0</v>
      </c>
      <c r="I510" s="92" t="b">
        <v>0</v>
      </c>
      <c r="J510" s="92" t="b">
        <v>0</v>
      </c>
      <c r="K510" s="92" t="b">
        <v>0</v>
      </c>
      <c r="L510" s="92" t="b">
        <v>0</v>
      </c>
    </row>
    <row r="511" spans="1:12" ht="15">
      <c r="A511" s="93" t="s">
        <v>1075</v>
      </c>
      <c r="B511" s="92" t="s">
        <v>1076</v>
      </c>
      <c r="C511" s="92">
        <v>2</v>
      </c>
      <c r="D511" s="125">
        <v>0.0034333612977900645</v>
      </c>
      <c r="E511" s="125">
        <v>2.5774917998372255</v>
      </c>
      <c r="F511" s="92" t="s">
        <v>649</v>
      </c>
      <c r="G511" s="92" t="b">
        <v>0</v>
      </c>
      <c r="H511" s="92" t="b">
        <v>0</v>
      </c>
      <c r="I511" s="92" t="b">
        <v>0</v>
      </c>
      <c r="J511" s="92" t="b">
        <v>0</v>
      </c>
      <c r="K511" s="92" t="b">
        <v>0</v>
      </c>
      <c r="L511" s="92" t="b">
        <v>0</v>
      </c>
    </row>
    <row r="512" spans="1:12" ht="15">
      <c r="A512" s="93" t="s">
        <v>1076</v>
      </c>
      <c r="B512" s="92" t="s">
        <v>1077</v>
      </c>
      <c r="C512" s="92">
        <v>2</v>
      </c>
      <c r="D512" s="125">
        <v>0.0034333612977900645</v>
      </c>
      <c r="E512" s="125">
        <v>2.5774917998372255</v>
      </c>
      <c r="F512" s="92" t="s">
        <v>649</v>
      </c>
      <c r="G512" s="92" t="b">
        <v>0</v>
      </c>
      <c r="H512" s="92" t="b">
        <v>0</v>
      </c>
      <c r="I512" s="92" t="b">
        <v>0</v>
      </c>
      <c r="J512" s="92" t="b">
        <v>0</v>
      </c>
      <c r="K512" s="92" t="b">
        <v>0</v>
      </c>
      <c r="L512" s="92" t="b">
        <v>0</v>
      </c>
    </row>
    <row r="513" spans="1:12" ht="15">
      <c r="A513" s="93" t="s">
        <v>1077</v>
      </c>
      <c r="B513" s="92" t="s">
        <v>701</v>
      </c>
      <c r="C513" s="92">
        <v>2</v>
      </c>
      <c r="D513" s="125">
        <v>0.0034333612977900645</v>
      </c>
      <c r="E513" s="125">
        <v>1.1972805581256194</v>
      </c>
      <c r="F513" s="92" t="s">
        <v>649</v>
      </c>
      <c r="G513" s="92" t="b">
        <v>0</v>
      </c>
      <c r="H513" s="92" t="b">
        <v>0</v>
      </c>
      <c r="I513" s="92" t="b">
        <v>0</v>
      </c>
      <c r="J513" s="92" t="b">
        <v>0</v>
      </c>
      <c r="K513" s="92" t="b">
        <v>0</v>
      </c>
      <c r="L513" s="92" t="b">
        <v>0</v>
      </c>
    </row>
    <row r="514" spans="1:12" ht="15">
      <c r="A514" s="93" t="s">
        <v>701</v>
      </c>
      <c r="B514" s="92" t="s">
        <v>948</v>
      </c>
      <c r="C514" s="92">
        <v>2</v>
      </c>
      <c r="D514" s="125">
        <v>0.0034333612977900645</v>
      </c>
      <c r="E514" s="125">
        <v>1.7323937598229686</v>
      </c>
      <c r="F514" s="92" t="s">
        <v>649</v>
      </c>
      <c r="G514" s="92" t="b">
        <v>0</v>
      </c>
      <c r="H514" s="92" t="b">
        <v>0</v>
      </c>
      <c r="I514" s="92" t="b">
        <v>0</v>
      </c>
      <c r="J514" s="92" t="b">
        <v>0</v>
      </c>
      <c r="K514" s="92" t="b">
        <v>0</v>
      </c>
      <c r="L514" s="92" t="b">
        <v>0</v>
      </c>
    </row>
    <row r="515" spans="1:12" ht="15">
      <c r="A515" s="93" t="s">
        <v>1042</v>
      </c>
      <c r="B515" s="92" t="s">
        <v>1043</v>
      </c>
      <c r="C515" s="92">
        <v>2</v>
      </c>
      <c r="D515" s="125">
        <v>0.0034333612977900645</v>
      </c>
      <c r="E515" s="125">
        <v>2.5774917998372255</v>
      </c>
      <c r="F515" s="92" t="s">
        <v>649</v>
      </c>
      <c r="G515" s="92" t="b">
        <v>0</v>
      </c>
      <c r="H515" s="92" t="b">
        <v>0</v>
      </c>
      <c r="I515" s="92" t="b">
        <v>0</v>
      </c>
      <c r="J515" s="92" t="b">
        <v>0</v>
      </c>
      <c r="K515" s="92" t="b">
        <v>0</v>
      </c>
      <c r="L515" s="92" t="b">
        <v>0</v>
      </c>
    </row>
    <row r="516" spans="1:12" ht="15">
      <c r="A516" s="93" t="s">
        <v>1043</v>
      </c>
      <c r="B516" s="92" t="s">
        <v>1044</v>
      </c>
      <c r="C516" s="92">
        <v>2</v>
      </c>
      <c r="D516" s="125">
        <v>0.0034333612977900645</v>
      </c>
      <c r="E516" s="125">
        <v>2.5774917998372255</v>
      </c>
      <c r="F516" s="92" t="s">
        <v>649</v>
      </c>
      <c r="G516" s="92" t="b">
        <v>0</v>
      </c>
      <c r="H516" s="92" t="b">
        <v>0</v>
      </c>
      <c r="I516" s="92" t="b">
        <v>0</v>
      </c>
      <c r="J516" s="92" t="b">
        <v>0</v>
      </c>
      <c r="K516" s="92" t="b">
        <v>0</v>
      </c>
      <c r="L516" s="92" t="b">
        <v>0</v>
      </c>
    </row>
    <row r="517" spans="1:12" ht="15">
      <c r="A517" s="93" t="s">
        <v>1044</v>
      </c>
      <c r="B517" s="92" t="s">
        <v>1045</v>
      </c>
      <c r="C517" s="92">
        <v>2</v>
      </c>
      <c r="D517" s="125">
        <v>0.0034333612977900645</v>
      </c>
      <c r="E517" s="125">
        <v>2.5774917998372255</v>
      </c>
      <c r="F517" s="92" t="s">
        <v>649</v>
      </c>
      <c r="G517" s="92" t="b">
        <v>0</v>
      </c>
      <c r="H517" s="92" t="b">
        <v>0</v>
      </c>
      <c r="I517" s="92" t="b">
        <v>0</v>
      </c>
      <c r="J517" s="92" t="b">
        <v>0</v>
      </c>
      <c r="K517" s="92" t="b">
        <v>0</v>
      </c>
      <c r="L517" s="92" t="b">
        <v>0</v>
      </c>
    </row>
    <row r="518" spans="1:12" ht="15">
      <c r="A518" s="93" t="s">
        <v>1045</v>
      </c>
      <c r="B518" s="92" t="s">
        <v>701</v>
      </c>
      <c r="C518" s="92">
        <v>2</v>
      </c>
      <c r="D518" s="125">
        <v>0.0034333612977900645</v>
      </c>
      <c r="E518" s="125">
        <v>1.1972805581256194</v>
      </c>
      <c r="F518" s="92" t="s">
        <v>649</v>
      </c>
      <c r="G518" s="92" t="b">
        <v>0</v>
      </c>
      <c r="H518" s="92" t="b">
        <v>0</v>
      </c>
      <c r="I518" s="92" t="b">
        <v>0</v>
      </c>
      <c r="J518" s="92" t="b">
        <v>0</v>
      </c>
      <c r="K518" s="92" t="b">
        <v>0</v>
      </c>
      <c r="L518" s="92" t="b">
        <v>0</v>
      </c>
    </row>
    <row r="519" spans="1:12" ht="15">
      <c r="A519" s="93" t="s">
        <v>701</v>
      </c>
      <c r="B519" s="92" t="s">
        <v>1046</v>
      </c>
      <c r="C519" s="92">
        <v>2</v>
      </c>
      <c r="D519" s="125">
        <v>0.0034333612977900645</v>
      </c>
      <c r="E519" s="125">
        <v>2.03342375548695</v>
      </c>
      <c r="F519" s="92" t="s">
        <v>649</v>
      </c>
      <c r="G519" s="92" t="b">
        <v>0</v>
      </c>
      <c r="H519" s="92" t="b">
        <v>0</v>
      </c>
      <c r="I519" s="92" t="b">
        <v>0</v>
      </c>
      <c r="J519" s="92" t="b">
        <v>0</v>
      </c>
      <c r="K519" s="92" t="b">
        <v>0</v>
      </c>
      <c r="L519" s="92" t="b">
        <v>0</v>
      </c>
    </row>
    <row r="520" spans="1:12" ht="15">
      <c r="A520" s="93" t="s">
        <v>1046</v>
      </c>
      <c r="B520" s="92" t="s">
        <v>1047</v>
      </c>
      <c r="C520" s="92">
        <v>2</v>
      </c>
      <c r="D520" s="125">
        <v>0.0034333612977900645</v>
      </c>
      <c r="E520" s="125">
        <v>2.5774917998372255</v>
      </c>
      <c r="F520" s="92" t="s">
        <v>649</v>
      </c>
      <c r="G520" s="92" t="b">
        <v>0</v>
      </c>
      <c r="H520" s="92" t="b">
        <v>0</v>
      </c>
      <c r="I520" s="92" t="b">
        <v>0</v>
      </c>
      <c r="J520" s="92" t="b">
        <v>0</v>
      </c>
      <c r="K520" s="92" t="b">
        <v>0</v>
      </c>
      <c r="L520" s="92" t="b">
        <v>0</v>
      </c>
    </row>
    <row r="521" spans="1:12" ht="15">
      <c r="A521" s="93" t="s">
        <v>1047</v>
      </c>
      <c r="B521" s="92" t="s">
        <v>1048</v>
      </c>
      <c r="C521" s="92">
        <v>2</v>
      </c>
      <c r="D521" s="125">
        <v>0.0034333612977900645</v>
      </c>
      <c r="E521" s="125">
        <v>2.5774917998372255</v>
      </c>
      <c r="F521" s="92" t="s">
        <v>649</v>
      </c>
      <c r="G521" s="92" t="b">
        <v>0</v>
      </c>
      <c r="H521" s="92" t="b">
        <v>0</v>
      </c>
      <c r="I521" s="92" t="b">
        <v>0</v>
      </c>
      <c r="J521" s="92" t="b">
        <v>0</v>
      </c>
      <c r="K521" s="92" t="b">
        <v>0</v>
      </c>
      <c r="L521" s="92" t="b">
        <v>0</v>
      </c>
    </row>
    <row r="522" spans="1:12" ht="15">
      <c r="A522" s="93" t="s">
        <v>1048</v>
      </c>
      <c r="B522" s="92" t="s">
        <v>1049</v>
      </c>
      <c r="C522" s="92">
        <v>2</v>
      </c>
      <c r="D522" s="125">
        <v>0.0034333612977900645</v>
      </c>
      <c r="E522" s="125">
        <v>2.5774917998372255</v>
      </c>
      <c r="F522" s="92" t="s">
        <v>649</v>
      </c>
      <c r="G522" s="92" t="b">
        <v>0</v>
      </c>
      <c r="H522" s="92" t="b">
        <v>0</v>
      </c>
      <c r="I522" s="92" t="b">
        <v>0</v>
      </c>
      <c r="J522" s="92" t="b">
        <v>0</v>
      </c>
      <c r="K522" s="92" t="b">
        <v>0</v>
      </c>
      <c r="L522" s="92" t="b">
        <v>0</v>
      </c>
    </row>
    <row r="523" spans="1:12" ht="15">
      <c r="A523" s="93" t="s">
        <v>1049</v>
      </c>
      <c r="B523" s="92" t="s">
        <v>976</v>
      </c>
      <c r="C523" s="92">
        <v>2</v>
      </c>
      <c r="D523" s="125">
        <v>0.0034333612977900645</v>
      </c>
      <c r="E523" s="125">
        <v>2.401400540781544</v>
      </c>
      <c r="F523" s="92" t="s">
        <v>649</v>
      </c>
      <c r="G523" s="92" t="b">
        <v>0</v>
      </c>
      <c r="H523" s="92" t="b">
        <v>0</v>
      </c>
      <c r="I523" s="92" t="b">
        <v>0</v>
      </c>
      <c r="J523" s="92" t="b">
        <v>0</v>
      </c>
      <c r="K523" s="92" t="b">
        <v>0</v>
      </c>
      <c r="L523" s="92" t="b">
        <v>0</v>
      </c>
    </row>
    <row r="524" spans="1:12" ht="15">
      <c r="A524" s="93" t="s">
        <v>976</v>
      </c>
      <c r="B524" s="92" t="s">
        <v>1050</v>
      </c>
      <c r="C524" s="92">
        <v>2</v>
      </c>
      <c r="D524" s="125">
        <v>0.0034333612977900645</v>
      </c>
      <c r="E524" s="125">
        <v>2.401400540781544</v>
      </c>
      <c r="F524" s="92" t="s">
        <v>649</v>
      </c>
      <c r="G524" s="92" t="b">
        <v>0</v>
      </c>
      <c r="H524" s="92" t="b">
        <v>0</v>
      </c>
      <c r="I524" s="92" t="b">
        <v>0</v>
      </c>
      <c r="J524" s="92" t="b">
        <v>0</v>
      </c>
      <c r="K524" s="92" t="b">
        <v>1</v>
      </c>
      <c r="L524" s="92" t="b">
        <v>0</v>
      </c>
    </row>
    <row r="525" spans="1:12" ht="15">
      <c r="A525" s="93" t="s">
        <v>1050</v>
      </c>
      <c r="B525" s="92" t="s">
        <v>1051</v>
      </c>
      <c r="C525" s="92">
        <v>2</v>
      </c>
      <c r="D525" s="125">
        <v>0.0034333612977900645</v>
      </c>
      <c r="E525" s="125">
        <v>2.5774917998372255</v>
      </c>
      <c r="F525" s="92" t="s">
        <v>649</v>
      </c>
      <c r="G525" s="92" t="b">
        <v>0</v>
      </c>
      <c r="H525" s="92" t="b">
        <v>1</v>
      </c>
      <c r="I525" s="92" t="b">
        <v>0</v>
      </c>
      <c r="J525" s="92" t="b">
        <v>0</v>
      </c>
      <c r="K525" s="92" t="b">
        <v>0</v>
      </c>
      <c r="L525" s="92" t="b">
        <v>0</v>
      </c>
    </row>
    <row r="526" spans="1:12" ht="15">
      <c r="A526" s="93" t="s">
        <v>1126</v>
      </c>
      <c r="B526" s="92" t="s">
        <v>701</v>
      </c>
      <c r="C526" s="92">
        <v>2</v>
      </c>
      <c r="D526" s="125">
        <v>0.0034333612977900645</v>
      </c>
      <c r="E526" s="125">
        <v>1.1972805581256194</v>
      </c>
      <c r="F526" s="92" t="s">
        <v>649</v>
      </c>
      <c r="G526" s="92" t="b">
        <v>0</v>
      </c>
      <c r="H526" s="92" t="b">
        <v>0</v>
      </c>
      <c r="I526" s="92" t="b">
        <v>0</v>
      </c>
      <c r="J526" s="92" t="b">
        <v>0</v>
      </c>
      <c r="K526" s="92" t="b">
        <v>0</v>
      </c>
      <c r="L526" s="92" t="b">
        <v>0</v>
      </c>
    </row>
    <row r="527" spans="1:12" ht="15">
      <c r="A527" s="93" t="s">
        <v>703</v>
      </c>
      <c r="B527" s="92" t="s">
        <v>704</v>
      </c>
      <c r="C527" s="92">
        <v>4</v>
      </c>
      <c r="D527" s="125">
        <v>0.006960231113618062</v>
      </c>
      <c r="E527" s="125">
        <v>1.615423952885944</v>
      </c>
      <c r="F527" s="92" t="s">
        <v>650</v>
      </c>
      <c r="G527" s="92" t="b">
        <v>0</v>
      </c>
      <c r="H527" s="92" t="b">
        <v>0</v>
      </c>
      <c r="I527" s="92" t="b">
        <v>0</v>
      </c>
      <c r="J527" s="92" t="b">
        <v>0</v>
      </c>
      <c r="K527" s="92" t="b">
        <v>0</v>
      </c>
      <c r="L527" s="92" t="b">
        <v>0</v>
      </c>
    </row>
    <row r="528" spans="1:12" ht="15">
      <c r="A528" s="93" t="s">
        <v>718</v>
      </c>
      <c r="B528" s="92" t="s">
        <v>719</v>
      </c>
      <c r="C528" s="92">
        <v>2</v>
      </c>
      <c r="D528" s="125">
        <v>0.006960231113618062</v>
      </c>
      <c r="E528" s="125">
        <v>1.916453948549925</v>
      </c>
      <c r="F528" s="92" t="s">
        <v>650</v>
      </c>
      <c r="G528" s="92" t="b">
        <v>1</v>
      </c>
      <c r="H528" s="92" t="b">
        <v>0</v>
      </c>
      <c r="I528" s="92" t="b">
        <v>0</v>
      </c>
      <c r="J528" s="92" t="b">
        <v>0</v>
      </c>
      <c r="K528" s="92" t="b">
        <v>0</v>
      </c>
      <c r="L528" s="92" t="b">
        <v>0</v>
      </c>
    </row>
    <row r="529" spans="1:12" ht="15">
      <c r="A529" s="93" t="s">
        <v>719</v>
      </c>
      <c r="B529" s="92" t="s">
        <v>720</v>
      </c>
      <c r="C529" s="92">
        <v>2</v>
      </c>
      <c r="D529" s="125">
        <v>0.006960231113618062</v>
      </c>
      <c r="E529" s="125">
        <v>1.916453948549925</v>
      </c>
      <c r="F529" s="92" t="s">
        <v>650</v>
      </c>
      <c r="G529" s="92" t="b">
        <v>0</v>
      </c>
      <c r="H529" s="92" t="b">
        <v>0</v>
      </c>
      <c r="I529" s="92" t="b">
        <v>0</v>
      </c>
      <c r="J529" s="92" t="b">
        <v>0</v>
      </c>
      <c r="K529" s="92" t="b">
        <v>0</v>
      </c>
      <c r="L529" s="92" t="b">
        <v>0</v>
      </c>
    </row>
    <row r="530" spans="1:12" ht="15">
      <c r="A530" s="93" t="s">
        <v>720</v>
      </c>
      <c r="B530" s="92" t="s">
        <v>703</v>
      </c>
      <c r="C530" s="92">
        <v>2</v>
      </c>
      <c r="D530" s="125">
        <v>0.006960231113618062</v>
      </c>
      <c r="E530" s="125">
        <v>1.615423952885944</v>
      </c>
      <c r="F530" s="92" t="s">
        <v>650</v>
      </c>
      <c r="G530" s="92" t="b">
        <v>0</v>
      </c>
      <c r="H530" s="92" t="b">
        <v>0</v>
      </c>
      <c r="I530" s="92" t="b">
        <v>0</v>
      </c>
      <c r="J530" s="92" t="b">
        <v>0</v>
      </c>
      <c r="K530" s="92" t="b">
        <v>0</v>
      </c>
      <c r="L530" s="92" t="b">
        <v>0</v>
      </c>
    </row>
    <row r="531" spans="1:12" ht="15">
      <c r="A531" s="93" t="s">
        <v>704</v>
      </c>
      <c r="B531" s="92" t="s">
        <v>978</v>
      </c>
      <c r="C531" s="92">
        <v>2</v>
      </c>
      <c r="D531" s="125">
        <v>0.006960231113618062</v>
      </c>
      <c r="E531" s="125">
        <v>1.615423952885944</v>
      </c>
      <c r="F531" s="92" t="s">
        <v>650</v>
      </c>
      <c r="G531" s="92" t="b">
        <v>0</v>
      </c>
      <c r="H531" s="92" t="b">
        <v>0</v>
      </c>
      <c r="I531" s="92" t="b">
        <v>0</v>
      </c>
      <c r="J531" s="92" t="b">
        <v>0</v>
      </c>
      <c r="K531" s="92" t="b">
        <v>0</v>
      </c>
      <c r="L531" s="92" t="b">
        <v>0</v>
      </c>
    </row>
    <row r="532" spans="1:12" ht="15">
      <c r="A532" s="93" t="s">
        <v>978</v>
      </c>
      <c r="B532" s="92" t="s">
        <v>716</v>
      </c>
      <c r="C532" s="92">
        <v>2</v>
      </c>
      <c r="D532" s="125">
        <v>0.006960231113618062</v>
      </c>
      <c r="E532" s="125">
        <v>1.7403626894942439</v>
      </c>
      <c r="F532" s="92" t="s">
        <v>650</v>
      </c>
      <c r="G532" s="92" t="b">
        <v>0</v>
      </c>
      <c r="H532" s="92" t="b">
        <v>0</v>
      </c>
      <c r="I532" s="92" t="b">
        <v>0</v>
      </c>
      <c r="J532" s="92" t="b">
        <v>0</v>
      </c>
      <c r="K532" s="92" t="b">
        <v>0</v>
      </c>
      <c r="L532" s="92" t="b">
        <v>0</v>
      </c>
    </row>
    <row r="533" spans="1:12" ht="15">
      <c r="A533" s="93" t="s">
        <v>716</v>
      </c>
      <c r="B533" s="92" t="s">
        <v>897</v>
      </c>
      <c r="C533" s="92">
        <v>2</v>
      </c>
      <c r="D533" s="125">
        <v>0.006960231113618062</v>
      </c>
      <c r="E533" s="125">
        <v>1.7403626894942439</v>
      </c>
      <c r="F533" s="92" t="s">
        <v>650</v>
      </c>
      <c r="G533" s="92" t="b">
        <v>0</v>
      </c>
      <c r="H533" s="92" t="b">
        <v>0</v>
      </c>
      <c r="I533" s="92" t="b">
        <v>0</v>
      </c>
      <c r="J533" s="92" t="b">
        <v>0</v>
      </c>
      <c r="K533" s="92" t="b">
        <v>0</v>
      </c>
      <c r="L533" s="92" t="b">
        <v>0</v>
      </c>
    </row>
    <row r="534" spans="1:12" ht="15">
      <c r="A534" s="93" t="s">
        <v>897</v>
      </c>
      <c r="B534" s="92" t="s">
        <v>898</v>
      </c>
      <c r="C534" s="92">
        <v>2</v>
      </c>
      <c r="D534" s="125">
        <v>0.006960231113618062</v>
      </c>
      <c r="E534" s="125">
        <v>1.916453948549925</v>
      </c>
      <c r="F534" s="92" t="s">
        <v>650</v>
      </c>
      <c r="G534" s="92" t="b">
        <v>0</v>
      </c>
      <c r="H534" s="92" t="b">
        <v>0</v>
      </c>
      <c r="I534" s="92" t="b">
        <v>0</v>
      </c>
      <c r="J534" s="92" t="b">
        <v>1</v>
      </c>
      <c r="K534" s="92" t="b">
        <v>0</v>
      </c>
      <c r="L534" s="92" t="b">
        <v>0</v>
      </c>
    </row>
    <row r="535" spans="1:12" ht="15">
      <c r="A535" s="93" t="s">
        <v>898</v>
      </c>
      <c r="B535" s="92" t="s">
        <v>946</v>
      </c>
      <c r="C535" s="92">
        <v>2</v>
      </c>
      <c r="D535" s="125">
        <v>0.006960231113618062</v>
      </c>
      <c r="E535" s="125">
        <v>1.916453948549925</v>
      </c>
      <c r="F535" s="92" t="s">
        <v>650</v>
      </c>
      <c r="G535" s="92" t="b">
        <v>1</v>
      </c>
      <c r="H535" s="92" t="b">
        <v>0</v>
      </c>
      <c r="I535" s="92" t="b">
        <v>0</v>
      </c>
      <c r="J535" s="92" t="b">
        <v>1</v>
      </c>
      <c r="K535" s="92" t="b">
        <v>0</v>
      </c>
      <c r="L535" s="92" t="b">
        <v>0</v>
      </c>
    </row>
    <row r="536" spans="1:12" ht="15">
      <c r="A536" s="93" t="s">
        <v>946</v>
      </c>
      <c r="B536" s="92" t="s">
        <v>899</v>
      </c>
      <c r="C536" s="92">
        <v>2</v>
      </c>
      <c r="D536" s="125">
        <v>0.006960231113618062</v>
      </c>
      <c r="E536" s="125">
        <v>1.916453948549925</v>
      </c>
      <c r="F536" s="92" t="s">
        <v>650</v>
      </c>
      <c r="G536" s="92" t="b">
        <v>1</v>
      </c>
      <c r="H536" s="92" t="b">
        <v>0</v>
      </c>
      <c r="I536" s="92" t="b">
        <v>0</v>
      </c>
      <c r="J536" s="92" t="b">
        <v>0</v>
      </c>
      <c r="K536" s="92" t="b">
        <v>0</v>
      </c>
      <c r="L536" s="92" t="b">
        <v>0</v>
      </c>
    </row>
    <row r="537" spans="1:12" ht="15">
      <c r="A537" s="93" t="s">
        <v>899</v>
      </c>
      <c r="B537" s="92" t="s">
        <v>886</v>
      </c>
      <c r="C537" s="92">
        <v>2</v>
      </c>
      <c r="D537" s="125">
        <v>0.006960231113618062</v>
      </c>
      <c r="E537" s="125">
        <v>1.916453948549925</v>
      </c>
      <c r="F537" s="92" t="s">
        <v>650</v>
      </c>
      <c r="G537" s="92" t="b">
        <v>0</v>
      </c>
      <c r="H537" s="92" t="b">
        <v>0</v>
      </c>
      <c r="I537" s="92" t="b">
        <v>0</v>
      </c>
      <c r="J537" s="92" t="b">
        <v>0</v>
      </c>
      <c r="K537" s="92" t="b">
        <v>0</v>
      </c>
      <c r="L537" s="92" t="b">
        <v>0</v>
      </c>
    </row>
    <row r="538" spans="1:12" ht="15">
      <c r="A538" s="93" t="s">
        <v>886</v>
      </c>
      <c r="B538" s="92" t="s">
        <v>900</v>
      </c>
      <c r="C538" s="92">
        <v>2</v>
      </c>
      <c r="D538" s="125">
        <v>0.006960231113618062</v>
      </c>
      <c r="E538" s="125">
        <v>1.916453948549925</v>
      </c>
      <c r="F538" s="92" t="s">
        <v>650</v>
      </c>
      <c r="G538" s="92" t="b">
        <v>0</v>
      </c>
      <c r="H538" s="92" t="b">
        <v>0</v>
      </c>
      <c r="I538" s="92" t="b">
        <v>0</v>
      </c>
      <c r="J538" s="92" t="b">
        <v>0</v>
      </c>
      <c r="K538" s="92" t="b">
        <v>0</v>
      </c>
      <c r="L538" s="92" t="b">
        <v>0</v>
      </c>
    </row>
    <row r="539" spans="1:12" ht="15">
      <c r="A539" s="93" t="s">
        <v>900</v>
      </c>
      <c r="B539" s="92" t="s">
        <v>1063</v>
      </c>
      <c r="C539" s="92">
        <v>2</v>
      </c>
      <c r="D539" s="125">
        <v>0.006960231113618062</v>
      </c>
      <c r="E539" s="125">
        <v>1.916453948549925</v>
      </c>
      <c r="F539" s="92" t="s">
        <v>650</v>
      </c>
      <c r="G539" s="92" t="b">
        <v>0</v>
      </c>
      <c r="H539" s="92" t="b">
        <v>0</v>
      </c>
      <c r="I539" s="92" t="b">
        <v>0</v>
      </c>
      <c r="J539" s="92" t="b">
        <v>0</v>
      </c>
      <c r="K539" s="92" t="b">
        <v>0</v>
      </c>
      <c r="L539" s="92" t="b">
        <v>0</v>
      </c>
    </row>
    <row r="540" spans="1:12" ht="15">
      <c r="A540" s="93" t="s">
        <v>1063</v>
      </c>
      <c r="B540" s="92" t="s">
        <v>979</v>
      </c>
      <c r="C540" s="92">
        <v>2</v>
      </c>
      <c r="D540" s="125">
        <v>0.006960231113618062</v>
      </c>
      <c r="E540" s="125">
        <v>1.916453948549925</v>
      </c>
      <c r="F540" s="92" t="s">
        <v>650</v>
      </c>
      <c r="G540" s="92" t="b">
        <v>0</v>
      </c>
      <c r="H540" s="92" t="b">
        <v>0</v>
      </c>
      <c r="I540" s="92" t="b">
        <v>0</v>
      </c>
      <c r="J540" s="92" t="b">
        <v>0</v>
      </c>
      <c r="K540" s="92" t="b">
        <v>0</v>
      </c>
      <c r="L540" s="92" t="b">
        <v>0</v>
      </c>
    </row>
    <row r="541" spans="1:12" ht="15">
      <c r="A541" s="93" t="s">
        <v>979</v>
      </c>
      <c r="B541" s="92" t="s">
        <v>980</v>
      </c>
      <c r="C541" s="92">
        <v>2</v>
      </c>
      <c r="D541" s="125">
        <v>0.006960231113618062</v>
      </c>
      <c r="E541" s="125">
        <v>1.916453948549925</v>
      </c>
      <c r="F541" s="92" t="s">
        <v>650</v>
      </c>
      <c r="G541" s="92" t="b">
        <v>0</v>
      </c>
      <c r="H541" s="92" t="b">
        <v>0</v>
      </c>
      <c r="I541" s="92" t="b">
        <v>0</v>
      </c>
      <c r="J541" s="92" t="b">
        <v>0</v>
      </c>
      <c r="K541" s="92" t="b">
        <v>0</v>
      </c>
      <c r="L541" s="92" t="b">
        <v>0</v>
      </c>
    </row>
    <row r="542" spans="1:12" ht="15">
      <c r="A542" s="93" t="s">
        <v>980</v>
      </c>
      <c r="B542" s="92" t="s">
        <v>1064</v>
      </c>
      <c r="C542" s="92">
        <v>2</v>
      </c>
      <c r="D542" s="125">
        <v>0.006960231113618062</v>
      </c>
      <c r="E542" s="125">
        <v>1.916453948549925</v>
      </c>
      <c r="F542" s="92" t="s">
        <v>650</v>
      </c>
      <c r="G542" s="92" t="b">
        <v>0</v>
      </c>
      <c r="H542" s="92" t="b">
        <v>0</v>
      </c>
      <c r="I542" s="92" t="b">
        <v>0</v>
      </c>
      <c r="J542" s="92" t="b">
        <v>0</v>
      </c>
      <c r="K542" s="92" t="b">
        <v>0</v>
      </c>
      <c r="L542" s="92" t="b">
        <v>0</v>
      </c>
    </row>
    <row r="543" spans="1:12" ht="15">
      <c r="A543" s="93" t="s">
        <v>1064</v>
      </c>
      <c r="B543" s="92" t="s">
        <v>929</v>
      </c>
      <c r="C543" s="92">
        <v>2</v>
      </c>
      <c r="D543" s="125">
        <v>0.006960231113618062</v>
      </c>
      <c r="E543" s="125">
        <v>1.916453948549925</v>
      </c>
      <c r="F543" s="92" t="s">
        <v>650</v>
      </c>
      <c r="G543" s="92" t="b">
        <v>0</v>
      </c>
      <c r="H543" s="92" t="b">
        <v>0</v>
      </c>
      <c r="I543" s="92" t="b">
        <v>0</v>
      </c>
      <c r="J543" s="92" t="b">
        <v>0</v>
      </c>
      <c r="K543" s="92" t="b">
        <v>0</v>
      </c>
      <c r="L543" s="92" t="b">
        <v>0</v>
      </c>
    </row>
    <row r="544" spans="1:12" ht="15">
      <c r="A544" s="93" t="s">
        <v>929</v>
      </c>
      <c r="B544" s="92" t="s">
        <v>701</v>
      </c>
      <c r="C544" s="92">
        <v>2</v>
      </c>
      <c r="D544" s="125">
        <v>0.006960231113618062</v>
      </c>
      <c r="E544" s="125">
        <v>1.3143939572219627</v>
      </c>
      <c r="F544" s="92" t="s">
        <v>650</v>
      </c>
      <c r="G544" s="92" t="b">
        <v>0</v>
      </c>
      <c r="H544" s="92" t="b">
        <v>0</v>
      </c>
      <c r="I544" s="92" t="b">
        <v>0</v>
      </c>
      <c r="J544" s="92" t="b">
        <v>0</v>
      </c>
      <c r="K544" s="92" t="b">
        <v>0</v>
      </c>
      <c r="L544" s="92" t="b">
        <v>0</v>
      </c>
    </row>
    <row r="545" spans="1:12" ht="15">
      <c r="A545" s="93" t="s">
        <v>701</v>
      </c>
      <c r="B545" s="92" t="s">
        <v>947</v>
      </c>
      <c r="C545" s="92">
        <v>2</v>
      </c>
      <c r="D545" s="125">
        <v>0.006960231113618062</v>
      </c>
      <c r="E545" s="125">
        <v>1.7403626894942439</v>
      </c>
      <c r="F545" s="92" t="s">
        <v>650</v>
      </c>
      <c r="G545" s="92" t="b">
        <v>0</v>
      </c>
      <c r="H545" s="92" t="b">
        <v>0</v>
      </c>
      <c r="I545" s="92" t="b">
        <v>0</v>
      </c>
      <c r="J545" s="92" t="b">
        <v>0</v>
      </c>
      <c r="K545" s="92" t="b">
        <v>0</v>
      </c>
      <c r="L545" s="92" t="b">
        <v>0</v>
      </c>
    </row>
    <row r="546" spans="1:12" ht="15">
      <c r="A546" s="93" t="s">
        <v>947</v>
      </c>
      <c r="B546" s="92" t="s">
        <v>1065</v>
      </c>
      <c r="C546" s="92">
        <v>2</v>
      </c>
      <c r="D546" s="125">
        <v>0.006960231113618062</v>
      </c>
      <c r="E546" s="125">
        <v>1.916453948549925</v>
      </c>
      <c r="F546" s="92" t="s">
        <v>650</v>
      </c>
      <c r="G546" s="92" t="b">
        <v>0</v>
      </c>
      <c r="H546" s="92" t="b">
        <v>0</v>
      </c>
      <c r="I546" s="92" t="b">
        <v>0</v>
      </c>
      <c r="J546" s="92" t="b">
        <v>0</v>
      </c>
      <c r="K546" s="92" t="b">
        <v>0</v>
      </c>
      <c r="L546" s="92" t="b">
        <v>0</v>
      </c>
    </row>
    <row r="547" spans="1:12" ht="15">
      <c r="A547" s="93" t="s">
        <v>1119</v>
      </c>
      <c r="B547" s="92" t="s">
        <v>709</v>
      </c>
      <c r="C547" s="92">
        <v>2</v>
      </c>
      <c r="D547" s="125">
        <v>0.006960231113618062</v>
      </c>
      <c r="E547" s="125">
        <v>1.7403626894942439</v>
      </c>
      <c r="F547" s="92" t="s">
        <v>650</v>
      </c>
      <c r="G547" s="92" t="b">
        <v>1</v>
      </c>
      <c r="H547" s="92" t="b">
        <v>0</v>
      </c>
      <c r="I547" s="92" t="b">
        <v>0</v>
      </c>
      <c r="J547" s="92" t="b">
        <v>0</v>
      </c>
      <c r="K547" s="92" t="b">
        <v>0</v>
      </c>
      <c r="L547" s="92" t="b">
        <v>0</v>
      </c>
    </row>
    <row r="548" spans="1:12" ht="15">
      <c r="A548" s="93" t="s">
        <v>717</v>
      </c>
      <c r="B548" s="92" t="s">
        <v>931</v>
      </c>
      <c r="C548" s="92">
        <v>2</v>
      </c>
      <c r="D548" s="125">
        <v>0.006960231113618062</v>
      </c>
      <c r="E548" s="125">
        <v>1.7403626894942439</v>
      </c>
      <c r="F548" s="92" t="s">
        <v>650</v>
      </c>
      <c r="G548" s="92" t="b">
        <v>0</v>
      </c>
      <c r="H548" s="92" t="b">
        <v>0</v>
      </c>
      <c r="I548" s="92" t="b">
        <v>0</v>
      </c>
      <c r="J548" s="92" t="b">
        <v>0</v>
      </c>
      <c r="K548" s="92" t="b">
        <v>0</v>
      </c>
      <c r="L548" s="92" t="b">
        <v>0</v>
      </c>
    </row>
    <row r="549" spans="1:12" ht="15">
      <c r="A549" s="93" t="s">
        <v>931</v>
      </c>
      <c r="B549" s="92" t="s">
        <v>930</v>
      </c>
      <c r="C549" s="92">
        <v>2</v>
      </c>
      <c r="D549" s="125">
        <v>0.006960231113618062</v>
      </c>
      <c r="E549" s="125">
        <v>1.916453948549925</v>
      </c>
      <c r="F549" s="92" t="s">
        <v>650</v>
      </c>
      <c r="G549" s="92" t="b">
        <v>0</v>
      </c>
      <c r="H549" s="92" t="b">
        <v>0</v>
      </c>
      <c r="I549" s="92" t="b">
        <v>0</v>
      </c>
      <c r="J549" s="92" t="b">
        <v>0</v>
      </c>
      <c r="K549" s="92" t="b">
        <v>0</v>
      </c>
      <c r="L549" s="92" t="b">
        <v>0</v>
      </c>
    </row>
    <row r="550" spans="1:12" ht="15">
      <c r="A550" s="93" t="s">
        <v>702</v>
      </c>
      <c r="B550" s="92" t="s">
        <v>894</v>
      </c>
      <c r="C550" s="92">
        <v>2</v>
      </c>
      <c r="D550" s="125">
        <v>0.006960231113618062</v>
      </c>
      <c r="E550" s="125">
        <v>1.916453948549925</v>
      </c>
      <c r="F550" s="92" t="s">
        <v>650</v>
      </c>
      <c r="G550" s="92" t="b">
        <v>0</v>
      </c>
      <c r="H550" s="92" t="b">
        <v>0</v>
      </c>
      <c r="I550" s="92" t="b">
        <v>0</v>
      </c>
      <c r="J550" s="92" t="b">
        <v>0</v>
      </c>
      <c r="K550" s="92" t="b">
        <v>0</v>
      </c>
      <c r="L550" s="92" t="b">
        <v>0</v>
      </c>
    </row>
    <row r="551" spans="1:12" ht="15">
      <c r="A551" s="93" t="s">
        <v>892</v>
      </c>
      <c r="B551" s="92" t="s">
        <v>895</v>
      </c>
      <c r="C551" s="92">
        <v>2</v>
      </c>
      <c r="D551" s="125">
        <v>0.006960231113618062</v>
      </c>
      <c r="E551" s="125">
        <v>1.916453948549925</v>
      </c>
      <c r="F551" s="92" t="s">
        <v>650</v>
      </c>
      <c r="G551" s="92" t="b">
        <v>0</v>
      </c>
      <c r="H551" s="92" t="b">
        <v>0</v>
      </c>
      <c r="I551" s="92" t="b">
        <v>0</v>
      </c>
      <c r="J551" s="92" t="b">
        <v>0</v>
      </c>
      <c r="K551" s="92" t="b">
        <v>0</v>
      </c>
      <c r="L551" s="92" t="b">
        <v>0</v>
      </c>
    </row>
    <row r="552" spans="1:12" ht="15">
      <c r="A552" s="93" t="s">
        <v>895</v>
      </c>
      <c r="B552" s="92" t="s">
        <v>896</v>
      </c>
      <c r="C552" s="92">
        <v>2</v>
      </c>
      <c r="D552" s="125">
        <v>0.006960231113618062</v>
      </c>
      <c r="E552" s="125">
        <v>1.916453948549925</v>
      </c>
      <c r="F552" s="92" t="s">
        <v>650</v>
      </c>
      <c r="G552" s="92" t="b">
        <v>0</v>
      </c>
      <c r="H552" s="92" t="b">
        <v>0</v>
      </c>
      <c r="I552" s="92" t="b">
        <v>0</v>
      </c>
      <c r="J552" s="92" t="b">
        <v>0</v>
      </c>
      <c r="K552" s="92" t="b">
        <v>0</v>
      </c>
      <c r="L552" s="92" t="b">
        <v>0</v>
      </c>
    </row>
    <row r="553" spans="1:12" ht="15">
      <c r="A553" s="93" t="s">
        <v>722</v>
      </c>
      <c r="B553" s="92" t="s">
        <v>723</v>
      </c>
      <c r="C553" s="92">
        <v>3</v>
      </c>
      <c r="D553" s="125">
        <v>0.012542916485999216</v>
      </c>
      <c r="E553" s="125">
        <v>1.656417653650555</v>
      </c>
      <c r="F553" s="92" t="s">
        <v>651</v>
      </c>
      <c r="G553" s="92" t="b">
        <v>0</v>
      </c>
      <c r="H553" s="92" t="b">
        <v>1</v>
      </c>
      <c r="I553" s="92" t="b">
        <v>0</v>
      </c>
      <c r="J553" s="92" t="b">
        <v>0</v>
      </c>
      <c r="K553" s="92" t="b">
        <v>0</v>
      </c>
      <c r="L553" s="92" t="b">
        <v>0</v>
      </c>
    </row>
    <row r="554" spans="1:12" ht="15">
      <c r="A554" s="93" t="s">
        <v>728</v>
      </c>
      <c r="B554" s="92" t="s">
        <v>729</v>
      </c>
      <c r="C554" s="92">
        <v>3</v>
      </c>
      <c r="D554" s="125">
        <v>0.006352817115676268</v>
      </c>
      <c r="E554" s="125">
        <v>1.2632414347745813</v>
      </c>
      <c r="F554" s="92" t="s">
        <v>652</v>
      </c>
      <c r="G554" s="92" t="b">
        <v>0</v>
      </c>
      <c r="H554" s="92" t="b">
        <v>0</v>
      </c>
      <c r="I554" s="92" t="b">
        <v>0</v>
      </c>
      <c r="J554" s="92" t="b">
        <v>0</v>
      </c>
      <c r="K554" s="92" t="b">
        <v>0</v>
      </c>
      <c r="L554" s="92" t="b">
        <v>0</v>
      </c>
    </row>
    <row r="555" spans="1:12" ht="15">
      <c r="A555" s="93" t="s">
        <v>731</v>
      </c>
      <c r="B555" s="92" t="s">
        <v>701</v>
      </c>
      <c r="C555" s="92">
        <v>2</v>
      </c>
      <c r="D555" s="125">
        <v>0.010204406632677328</v>
      </c>
      <c r="E555" s="125">
        <v>1.1383026981662814</v>
      </c>
      <c r="F555" s="92" t="s">
        <v>652</v>
      </c>
      <c r="G555" s="92" t="b">
        <v>1</v>
      </c>
      <c r="H555" s="92" t="b">
        <v>0</v>
      </c>
      <c r="I555" s="92" t="b">
        <v>0</v>
      </c>
      <c r="J555" s="92" t="b">
        <v>0</v>
      </c>
      <c r="K555" s="92" t="b">
        <v>0</v>
      </c>
      <c r="L555" s="92" t="b">
        <v>0</v>
      </c>
    </row>
    <row r="556" spans="1:12" ht="15">
      <c r="A556" s="93" t="s">
        <v>732</v>
      </c>
      <c r="B556" s="92" t="s">
        <v>728</v>
      </c>
      <c r="C556" s="92">
        <v>2</v>
      </c>
      <c r="D556" s="125">
        <v>0.010204406632677328</v>
      </c>
      <c r="E556" s="125">
        <v>1.2632414347745815</v>
      </c>
      <c r="F556" s="92" t="s">
        <v>652</v>
      </c>
      <c r="G556" s="92" t="b">
        <v>0</v>
      </c>
      <c r="H556" s="92" t="b">
        <v>0</v>
      </c>
      <c r="I556" s="92" t="b">
        <v>0</v>
      </c>
      <c r="J556" s="92" t="b">
        <v>0</v>
      </c>
      <c r="K556" s="92" t="b">
        <v>0</v>
      </c>
      <c r="L556" s="92" t="b">
        <v>0</v>
      </c>
    </row>
    <row r="557" spans="1:12" ht="15">
      <c r="A557" s="93" t="s">
        <v>729</v>
      </c>
      <c r="B557" s="92" t="s">
        <v>733</v>
      </c>
      <c r="C557" s="92">
        <v>2</v>
      </c>
      <c r="D557" s="125">
        <v>0.010204406632677328</v>
      </c>
      <c r="E557" s="125">
        <v>1.2632414347745815</v>
      </c>
      <c r="F557" s="92" t="s">
        <v>652</v>
      </c>
      <c r="G557" s="92" t="b">
        <v>0</v>
      </c>
      <c r="H557" s="92" t="b">
        <v>0</v>
      </c>
      <c r="I557" s="92" t="b">
        <v>0</v>
      </c>
      <c r="J557" s="92" t="b">
        <v>0</v>
      </c>
      <c r="K557" s="92" t="b">
        <v>0</v>
      </c>
      <c r="L557" s="92" t="b">
        <v>0</v>
      </c>
    </row>
    <row r="558" spans="1:12" ht="15">
      <c r="A558" s="93" t="s">
        <v>733</v>
      </c>
      <c r="B558" s="92" t="s">
        <v>734</v>
      </c>
      <c r="C558" s="92">
        <v>2</v>
      </c>
      <c r="D558" s="125">
        <v>0.010204406632677328</v>
      </c>
      <c r="E558" s="125">
        <v>1.4393326938302626</v>
      </c>
      <c r="F558" s="92" t="s">
        <v>652</v>
      </c>
      <c r="G558" s="92" t="b">
        <v>0</v>
      </c>
      <c r="H558" s="92" t="b">
        <v>0</v>
      </c>
      <c r="I558" s="92" t="b">
        <v>0</v>
      </c>
      <c r="J558" s="92" t="b">
        <v>0</v>
      </c>
      <c r="K558" s="92" t="b">
        <v>0</v>
      </c>
      <c r="L558" s="92" t="b">
        <v>0</v>
      </c>
    </row>
    <row r="559" spans="1:12" ht="15">
      <c r="A559" s="93" t="s">
        <v>734</v>
      </c>
      <c r="B559" s="92" t="s">
        <v>704</v>
      </c>
      <c r="C559" s="92">
        <v>2</v>
      </c>
      <c r="D559" s="125">
        <v>0.010204406632677328</v>
      </c>
      <c r="E559" s="125">
        <v>1.4393326938302626</v>
      </c>
      <c r="F559" s="92" t="s">
        <v>652</v>
      </c>
      <c r="G559" s="92" t="b">
        <v>0</v>
      </c>
      <c r="H559" s="92" t="b">
        <v>0</v>
      </c>
      <c r="I559" s="92" t="b">
        <v>0</v>
      </c>
      <c r="J559" s="92" t="b">
        <v>0</v>
      </c>
      <c r="K559" s="92" t="b">
        <v>0</v>
      </c>
      <c r="L559" s="92" t="b">
        <v>0</v>
      </c>
    </row>
    <row r="560" spans="1:12" ht="15">
      <c r="A560" s="93" t="s">
        <v>704</v>
      </c>
      <c r="B560" s="92" t="s">
        <v>1121</v>
      </c>
      <c r="C560" s="92">
        <v>2</v>
      </c>
      <c r="D560" s="125">
        <v>0.010204406632677328</v>
      </c>
      <c r="E560" s="125">
        <v>1.4393326938302626</v>
      </c>
      <c r="F560" s="92" t="s">
        <v>652</v>
      </c>
      <c r="G560" s="92" t="b">
        <v>0</v>
      </c>
      <c r="H560" s="92" t="b">
        <v>0</v>
      </c>
      <c r="I560" s="92" t="b">
        <v>0</v>
      </c>
      <c r="J560" s="92" t="b">
        <v>0</v>
      </c>
      <c r="K560" s="92" t="b">
        <v>0</v>
      </c>
      <c r="L560" s="92" t="b">
        <v>0</v>
      </c>
    </row>
    <row r="561" spans="1:12" ht="15">
      <c r="A561" s="93" t="s">
        <v>1121</v>
      </c>
      <c r="B561" s="92" t="s">
        <v>1122</v>
      </c>
      <c r="C561" s="92">
        <v>2</v>
      </c>
      <c r="D561" s="125">
        <v>0.010204406632677328</v>
      </c>
      <c r="E561" s="125">
        <v>1.4393326938302626</v>
      </c>
      <c r="F561" s="92" t="s">
        <v>652</v>
      </c>
      <c r="G561" s="92" t="b">
        <v>0</v>
      </c>
      <c r="H561" s="92" t="b">
        <v>0</v>
      </c>
      <c r="I561" s="92" t="b">
        <v>0</v>
      </c>
      <c r="J561" s="92" t="b">
        <v>0</v>
      </c>
      <c r="K561" s="92" t="b">
        <v>0</v>
      </c>
      <c r="L561" s="92" t="b">
        <v>0</v>
      </c>
    </row>
    <row r="562" spans="1:12" ht="15">
      <c r="A562" s="93" t="s">
        <v>1122</v>
      </c>
      <c r="B562" s="92" t="s">
        <v>986</v>
      </c>
      <c r="C562" s="92">
        <v>2</v>
      </c>
      <c r="D562" s="125">
        <v>0.010204406632677328</v>
      </c>
      <c r="E562" s="125">
        <v>1.4393326938302626</v>
      </c>
      <c r="F562" s="92" t="s">
        <v>652</v>
      </c>
      <c r="G562" s="92" t="b">
        <v>0</v>
      </c>
      <c r="H562" s="92" t="b">
        <v>0</v>
      </c>
      <c r="I562" s="92" t="b">
        <v>0</v>
      </c>
      <c r="J562" s="92" t="b">
        <v>0</v>
      </c>
      <c r="K562" s="92" t="b">
        <v>0</v>
      </c>
      <c r="L562" s="92" t="b">
        <v>0</v>
      </c>
    </row>
    <row r="563" spans="1:12" ht="15">
      <c r="A563" s="93" t="s">
        <v>986</v>
      </c>
      <c r="B563" s="92" t="s">
        <v>987</v>
      </c>
      <c r="C563" s="92">
        <v>2</v>
      </c>
      <c r="D563" s="125">
        <v>0.010204406632677328</v>
      </c>
      <c r="E563" s="125">
        <v>1.4393326938302626</v>
      </c>
      <c r="F563" s="92" t="s">
        <v>652</v>
      </c>
      <c r="G563" s="92" t="b">
        <v>0</v>
      </c>
      <c r="H563" s="92" t="b">
        <v>0</v>
      </c>
      <c r="I563" s="92" t="b">
        <v>0</v>
      </c>
      <c r="J563" s="92" t="b">
        <v>1</v>
      </c>
      <c r="K563" s="92" t="b">
        <v>0</v>
      </c>
      <c r="L563" s="92" t="b">
        <v>0</v>
      </c>
    </row>
    <row r="564" spans="1:12" ht="15">
      <c r="A564" s="93" t="s">
        <v>987</v>
      </c>
      <c r="B564" s="92" t="s">
        <v>890</v>
      </c>
      <c r="C564" s="92">
        <v>2</v>
      </c>
      <c r="D564" s="125">
        <v>0.010204406632677328</v>
      </c>
      <c r="E564" s="125">
        <v>1.4393326938302626</v>
      </c>
      <c r="F564" s="92" t="s">
        <v>652</v>
      </c>
      <c r="G564" s="92" t="b">
        <v>1</v>
      </c>
      <c r="H564" s="92" t="b">
        <v>0</v>
      </c>
      <c r="I564" s="92" t="b">
        <v>0</v>
      </c>
      <c r="J564" s="92" t="b">
        <v>0</v>
      </c>
      <c r="K564" s="92" t="b">
        <v>0</v>
      </c>
      <c r="L564" s="92" t="b">
        <v>0</v>
      </c>
    </row>
    <row r="565" spans="1:12" ht="15">
      <c r="A565" s="93" t="s">
        <v>890</v>
      </c>
      <c r="B565" s="92" t="s">
        <v>956</v>
      </c>
      <c r="C565" s="92">
        <v>2</v>
      </c>
      <c r="D565" s="125">
        <v>0.010204406632677328</v>
      </c>
      <c r="E565" s="125">
        <v>1.4393326938302626</v>
      </c>
      <c r="F565" s="92" t="s">
        <v>652</v>
      </c>
      <c r="G565" s="92" t="b">
        <v>0</v>
      </c>
      <c r="H565" s="92" t="b">
        <v>0</v>
      </c>
      <c r="I565" s="92" t="b">
        <v>0</v>
      </c>
      <c r="J565" s="92" t="b">
        <v>0</v>
      </c>
      <c r="K565" s="92" t="b">
        <v>0</v>
      </c>
      <c r="L565" s="92" t="b">
        <v>0</v>
      </c>
    </row>
    <row r="566" spans="1:12" ht="15">
      <c r="A566" s="93" t="s">
        <v>956</v>
      </c>
      <c r="B566" s="92" t="s">
        <v>1123</v>
      </c>
      <c r="C566" s="92">
        <v>2</v>
      </c>
      <c r="D566" s="125">
        <v>0.010204406632677328</v>
      </c>
      <c r="E566" s="125">
        <v>1.4393326938302626</v>
      </c>
      <c r="F566" s="92" t="s">
        <v>652</v>
      </c>
      <c r="G566" s="92" t="b">
        <v>0</v>
      </c>
      <c r="H566" s="92" t="b">
        <v>0</v>
      </c>
      <c r="I566" s="92" t="b">
        <v>0</v>
      </c>
      <c r="J566" s="92" t="b">
        <v>0</v>
      </c>
      <c r="K566" s="92" t="b">
        <v>0</v>
      </c>
      <c r="L566" s="92" t="b">
        <v>0</v>
      </c>
    </row>
    <row r="567" spans="1:12" ht="15">
      <c r="A567" s="93" t="s">
        <v>1123</v>
      </c>
      <c r="B567" s="92" t="s">
        <v>891</v>
      </c>
      <c r="C567" s="92">
        <v>2</v>
      </c>
      <c r="D567" s="125">
        <v>0.010204406632677328</v>
      </c>
      <c r="E567" s="125">
        <v>1.4393326938302626</v>
      </c>
      <c r="F567" s="92" t="s">
        <v>652</v>
      </c>
      <c r="G567" s="92" t="b">
        <v>0</v>
      </c>
      <c r="H567" s="92" t="b">
        <v>0</v>
      </c>
      <c r="I567" s="92" t="b">
        <v>0</v>
      </c>
      <c r="J567" s="92" t="b">
        <v>0</v>
      </c>
      <c r="K567" s="92" t="b">
        <v>0</v>
      </c>
      <c r="L567" s="92" t="b">
        <v>0</v>
      </c>
    </row>
    <row r="568" spans="1:12" ht="15">
      <c r="A568" s="93" t="s">
        <v>891</v>
      </c>
      <c r="B568" s="92" t="s">
        <v>1124</v>
      </c>
      <c r="C568" s="92">
        <v>2</v>
      </c>
      <c r="D568" s="125">
        <v>0.010204406632677328</v>
      </c>
      <c r="E568" s="125">
        <v>1.4393326938302626</v>
      </c>
      <c r="F568" s="92" t="s">
        <v>652</v>
      </c>
      <c r="G568" s="92" t="b">
        <v>0</v>
      </c>
      <c r="H568" s="92" t="b">
        <v>0</v>
      </c>
      <c r="I568" s="92" t="b">
        <v>0</v>
      </c>
      <c r="J568" s="92" t="b">
        <v>0</v>
      </c>
      <c r="K568" s="92" t="b">
        <v>0</v>
      </c>
      <c r="L568" s="92" t="b">
        <v>0</v>
      </c>
    </row>
    <row r="569" spans="1:12" ht="15">
      <c r="A569" s="93" t="s">
        <v>1124</v>
      </c>
      <c r="B569" s="92" t="s">
        <v>1125</v>
      </c>
      <c r="C569" s="92">
        <v>2</v>
      </c>
      <c r="D569" s="125">
        <v>0.010204406632677328</v>
      </c>
      <c r="E569" s="125">
        <v>1.4393326938302626</v>
      </c>
      <c r="F569" s="92" t="s">
        <v>652</v>
      </c>
      <c r="G569" s="92" t="b">
        <v>0</v>
      </c>
      <c r="H569" s="92" t="b">
        <v>0</v>
      </c>
      <c r="I569" s="92" t="b">
        <v>0</v>
      </c>
      <c r="J569" s="92" t="b">
        <v>0</v>
      </c>
      <c r="K569" s="92" t="b">
        <v>0</v>
      </c>
      <c r="L569" s="92" t="b">
        <v>0</v>
      </c>
    </row>
    <row r="570" spans="1:12" ht="15">
      <c r="A570" s="93" t="s">
        <v>1125</v>
      </c>
      <c r="B570" s="92" t="s">
        <v>701</v>
      </c>
      <c r="C570" s="92">
        <v>2</v>
      </c>
      <c r="D570" s="125">
        <v>0.010204406632677328</v>
      </c>
      <c r="E570" s="125">
        <v>1.1383026981662814</v>
      </c>
      <c r="F570" s="92" t="s">
        <v>652</v>
      </c>
      <c r="G570" s="92" t="b">
        <v>0</v>
      </c>
      <c r="H570" s="92" t="b">
        <v>0</v>
      </c>
      <c r="I570" s="92" t="b">
        <v>0</v>
      </c>
      <c r="J570" s="92" t="b">
        <v>0</v>
      </c>
      <c r="K570" s="92" t="b">
        <v>0</v>
      </c>
      <c r="L570"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3A0F6-3E99-4083-92A8-AF6EED6C589D}">
  <dimension ref="A1:C9"/>
  <sheetViews>
    <sheetView workbookViewId="0" topLeftCell="A1"/>
  </sheetViews>
  <sheetFormatPr defaultColWidth="9.140625" defaultRowHeight="15"/>
  <cols>
    <col min="3" max="3" width="11.421875" style="0" bestFit="1" customWidth="1"/>
  </cols>
  <sheetData>
    <row r="1" ht="15">
      <c r="C1" s="35" t="s">
        <v>42</v>
      </c>
    </row>
    <row r="2" spans="1:3" ht="15" customHeight="1">
      <c r="A2" s="13" t="s">
        <v>1161</v>
      </c>
      <c r="B2" s="128" t="s">
        <v>1162</v>
      </c>
      <c r="C2" s="68" t="s">
        <v>1163</v>
      </c>
    </row>
    <row r="3" spans="1:3" ht="15">
      <c r="A3" s="127" t="s">
        <v>649</v>
      </c>
      <c r="B3" s="127" t="s">
        <v>649</v>
      </c>
      <c r="C3" s="36">
        <v>48</v>
      </c>
    </row>
    <row r="4" spans="1:3" ht="15">
      <c r="A4" s="127" t="s">
        <v>649</v>
      </c>
      <c r="B4" s="127" t="s">
        <v>651</v>
      </c>
      <c r="C4" s="36">
        <v>3</v>
      </c>
    </row>
    <row r="5" spans="1:3" ht="15">
      <c r="A5" s="127" t="s">
        <v>650</v>
      </c>
      <c r="B5" s="127" t="s">
        <v>650</v>
      </c>
      <c r="C5" s="36">
        <v>10</v>
      </c>
    </row>
    <row r="6" spans="1:3" ht="15">
      <c r="A6" s="127" t="s">
        <v>651</v>
      </c>
      <c r="B6" s="127" t="s">
        <v>649</v>
      </c>
      <c r="C6" s="36">
        <v>9</v>
      </c>
    </row>
    <row r="7" spans="1:3" ht="15">
      <c r="A7" s="127" t="s">
        <v>651</v>
      </c>
      <c r="B7" s="127" t="s">
        <v>651</v>
      </c>
      <c r="C7" s="36">
        <v>3</v>
      </c>
    </row>
    <row r="8" spans="1:3" ht="15">
      <c r="A8" s="127" t="s">
        <v>652</v>
      </c>
      <c r="B8" s="127" t="s">
        <v>652</v>
      </c>
      <c r="C8" s="36">
        <v>4</v>
      </c>
    </row>
    <row r="9" spans="1:3" ht="15">
      <c r="A9" s="127" t="s">
        <v>653</v>
      </c>
      <c r="B9" s="127" t="s">
        <v>653</v>
      </c>
      <c r="C9"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F2C86-01FA-4C21-99B9-5E7D3EE0751A}">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1181</v>
      </c>
      <c r="B1" s="13" t="s">
        <v>17</v>
      </c>
    </row>
    <row r="2" spans="1:2" ht="15">
      <c r="A2" s="84" t="s">
        <v>1182</v>
      </c>
      <c r="B2" s="84" t="s">
        <v>1188</v>
      </c>
    </row>
    <row r="3" spans="1:2" ht="15">
      <c r="A3" s="85" t="s">
        <v>1183</v>
      </c>
      <c r="B3" s="84" t="s">
        <v>1189</v>
      </c>
    </row>
    <row r="4" spans="1:2" ht="15">
      <c r="A4" s="85" t="s">
        <v>1184</v>
      </c>
      <c r="B4" s="84" t="s">
        <v>1190</v>
      </c>
    </row>
    <row r="5" spans="1:2" ht="15">
      <c r="A5" s="85" t="s">
        <v>1185</v>
      </c>
      <c r="B5" s="84" t="s">
        <v>1191</v>
      </c>
    </row>
    <row r="6" spans="1:2" ht="15">
      <c r="A6" s="85" t="s">
        <v>1186</v>
      </c>
      <c r="B6" s="84" t="s">
        <v>1192</v>
      </c>
    </row>
    <row r="7" spans="1:2" ht="15">
      <c r="A7" s="85" t="s">
        <v>1187</v>
      </c>
      <c r="B7" s="84" t="s">
        <v>1189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61A7-94D1-4653-8B37-2A2267326970}">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1193</v>
      </c>
      <c r="B1" s="13" t="s">
        <v>34</v>
      </c>
    </row>
    <row r="2" spans="1:2" ht="15">
      <c r="A2" s="117" t="s">
        <v>272</v>
      </c>
      <c r="B2" s="84">
        <v>318</v>
      </c>
    </row>
    <row r="3" spans="1:2" ht="15">
      <c r="A3" s="121" t="s">
        <v>259</v>
      </c>
      <c r="B3" s="84">
        <v>44</v>
      </c>
    </row>
    <row r="4" spans="1:2" ht="15">
      <c r="A4" s="121" t="s">
        <v>280</v>
      </c>
      <c r="B4" s="84">
        <v>30</v>
      </c>
    </row>
    <row r="5" spans="1:2" ht="15">
      <c r="A5" s="121" t="s">
        <v>261</v>
      </c>
      <c r="B5" s="84">
        <v>24</v>
      </c>
    </row>
    <row r="6" spans="1:2" ht="15">
      <c r="A6" s="121" t="s">
        <v>266</v>
      </c>
      <c r="B6" s="84">
        <v>14</v>
      </c>
    </row>
    <row r="7" spans="1:2" ht="15">
      <c r="A7" s="121" t="s">
        <v>275</v>
      </c>
      <c r="B7" s="84">
        <v>6</v>
      </c>
    </row>
    <row r="8" spans="1:2" ht="15">
      <c r="A8" s="121" t="s">
        <v>273</v>
      </c>
      <c r="B8" s="84">
        <v>3</v>
      </c>
    </row>
    <row r="9" spans="1:2" ht="15">
      <c r="A9" s="121" t="s">
        <v>281</v>
      </c>
      <c r="B9" s="84">
        <v>1</v>
      </c>
    </row>
    <row r="10" spans="1:2" ht="15">
      <c r="A10" s="121" t="s">
        <v>282</v>
      </c>
      <c r="B10" s="84">
        <v>0</v>
      </c>
    </row>
    <row r="11" spans="1:2" ht="15">
      <c r="A11" s="121" t="s">
        <v>264</v>
      </c>
      <c r="B11" s="84">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8.421875" style="3" customWidth="1"/>
    <col min="33" max="33" width="9.7109375" style="3" customWidth="1"/>
    <col min="34" max="34" width="10.140625" style="3" customWidth="1"/>
    <col min="35" max="35" width="8.28125" style="0" customWidth="1"/>
    <col min="36" max="36" width="8.140625" style="0" customWidth="1"/>
    <col min="37" max="37" width="15.57421875" style="0" customWidth="1"/>
    <col min="38" max="38" width="11.421875" style="0" customWidth="1"/>
    <col min="39" max="39" width="9.28125" style="0" customWidth="1"/>
    <col min="40" max="40" width="6.421875" style="0" customWidth="1"/>
    <col min="41" max="41" width="10.57421875" style="0" customWidth="1"/>
    <col min="42" max="42" width="13.421875" style="0" customWidth="1"/>
    <col min="43" max="43" width="10.8515625" style="0" customWidth="1"/>
    <col min="44" max="44" width="8.421875" style="0" customWidth="1"/>
    <col min="45" max="45" width="13.57421875" style="0" customWidth="1"/>
    <col min="46" max="46" width="8.8515625" style="0" customWidth="1"/>
    <col min="47" max="47" width="10.00390625" style="0" customWidth="1"/>
    <col min="48" max="48" width="7.421875" style="0" customWidth="1"/>
    <col min="49" max="49" width="17.28125" style="0" customWidth="1"/>
    <col min="50" max="50" width="8.7109375" style="0" customWidth="1"/>
    <col min="51" max="52" width="13.57421875" style="0" customWidth="1"/>
    <col min="53" max="53" width="14.7109375" style="0" customWidth="1"/>
    <col min="54" max="54" width="8.140625" style="0" customWidth="1"/>
    <col min="55" max="55" width="14.7109375" style="0" customWidth="1"/>
    <col min="56" max="56" width="16.28125" style="0" customWidth="1"/>
    <col min="57" max="57" width="15.00390625" style="0" customWidth="1"/>
    <col min="58" max="58" width="16.28125" style="0" customWidth="1"/>
    <col min="59" max="59" width="15.28125" style="0" customWidth="1"/>
    <col min="60" max="60" width="16.28125" style="0" customWidth="1"/>
    <col min="61" max="61" width="14.7109375" style="0" customWidth="1"/>
    <col min="62" max="62" width="16.28125" style="0" customWidth="1"/>
    <col min="63" max="64" width="16.57421875" style="0" customWidth="1"/>
    <col min="65" max="65" width="16.7109375" style="0" customWidth="1"/>
    <col min="66" max="66" width="20.7109375" style="0" customWidth="1"/>
    <col min="67" max="67" width="16.7109375" style="0" customWidth="1"/>
    <col min="68" max="68" width="20.7109375" style="0" customWidth="1"/>
    <col min="69" max="69" width="16.7109375" style="0" customWidth="1"/>
    <col min="70" max="70" width="20.7109375" style="0" customWidth="1"/>
    <col min="71" max="71" width="15.8515625" style="0" customWidth="1"/>
    <col min="72" max="72" width="19.140625" style="0" customWidth="1"/>
    <col min="73" max="73" width="14.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1205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480</v>
      </c>
      <c r="AF2" s="13" t="s">
        <v>481</v>
      </c>
      <c r="AG2" s="13" t="s">
        <v>482</v>
      </c>
      <c r="AH2" s="13" t="s">
        <v>483</v>
      </c>
      <c r="AI2" s="13" t="s">
        <v>484</v>
      </c>
      <c r="AJ2" s="13" t="s">
        <v>485</v>
      </c>
      <c r="AK2" s="13" t="s">
        <v>486</v>
      </c>
      <c r="AL2" s="13" t="s">
        <v>487</v>
      </c>
      <c r="AM2" s="13" t="s">
        <v>488</v>
      </c>
      <c r="AN2" s="13" t="s">
        <v>489</v>
      </c>
      <c r="AO2" s="13" t="s">
        <v>490</v>
      </c>
      <c r="AP2" s="13" t="s">
        <v>491</v>
      </c>
      <c r="AQ2" s="13" t="s">
        <v>492</v>
      </c>
      <c r="AR2" s="13" t="s">
        <v>493</v>
      </c>
      <c r="AS2" s="13" t="s">
        <v>494</v>
      </c>
      <c r="AT2" s="13" t="s">
        <v>495</v>
      </c>
      <c r="AU2" s="13" t="s">
        <v>231</v>
      </c>
      <c r="AV2" s="13" t="s">
        <v>496</v>
      </c>
      <c r="AW2" s="13" t="s">
        <v>497</v>
      </c>
      <c r="AX2" s="13" t="s">
        <v>498</v>
      </c>
      <c r="AY2" s="13" t="s">
        <v>499</v>
      </c>
      <c r="AZ2" s="13" t="s">
        <v>500</v>
      </c>
      <c r="BA2" s="13" t="s">
        <v>501</v>
      </c>
      <c r="BB2" s="13" t="s">
        <v>659</v>
      </c>
      <c r="BC2" s="122" t="s">
        <v>818</v>
      </c>
      <c r="BD2" s="122" t="s">
        <v>820</v>
      </c>
      <c r="BE2" s="122" t="s">
        <v>821</v>
      </c>
      <c r="BF2" s="122" t="s">
        <v>823</v>
      </c>
      <c r="BG2" s="122" t="s">
        <v>824</v>
      </c>
      <c r="BH2" s="122" t="s">
        <v>825</v>
      </c>
      <c r="BI2" s="122" t="s">
        <v>828</v>
      </c>
      <c r="BJ2" s="122" t="s">
        <v>848</v>
      </c>
      <c r="BK2" s="122" t="s">
        <v>854</v>
      </c>
      <c r="BL2" s="122" t="s">
        <v>873</v>
      </c>
      <c r="BM2" s="122" t="s">
        <v>1150</v>
      </c>
      <c r="BN2" s="122" t="s">
        <v>1151</v>
      </c>
      <c r="BO2" s="122" t="s">
        <v>1152</v>
      </c>
      <c r="BP2" s="122" t="s">
        <v>1153</v>
      </c>
      <c r="BQ2" s="122" t="s">
        <v>1154</v>
      </c>
      <c r="BR2" s="122" t="s">
        <v>1155</v>
      </c>
      <c r="BS2" s="122" t="s">
        <v>1156</v>
      </c>
      <c r="BT2" s="122" t="s">
        <v>1157</v>
      </c>
      <c r="BU2" s="122" t="s">
        <v>1159</v>
      </c>
      <c r="BV2" s="3"/>
      <c r="BW2" s="3"/>
    </row>
    <row r="3" spans="1:75" ht="41.45" customHeight="1">
      <c r="A3" s="50" t="s">
        <v>274</v>
      </c>
      <c r="C3" s="53"/>
      <c r="D3" s="53" t="s">
        <v>64</v>
      </c>
      <c r="E3" s="54">
        <v>162</v>
      </c>
      <c r="F3" s="55">
        <v>100</v>
      </c>
      <c r="G3" s="113" t="str">
        <f>HYPERLINK("https://pbs.twimg.com/profile_images/1687489535/6_normal.jpeg")</f>
        <v>https://pbs.twimg.com/profile_images/1687489535/6_normal.jpeg</v>
      </c>
      <c r="H3" s="53"/>
      <c r="I3" s="57" t="s">
        <v>274</v>
      </c>
      <c r="J3" s="56"/>
      <c r="K3" s="56"/>
      <c r="L3" s="115" t="s">
        <v>647</v>
      </c>
      <c r="M3" s="59">
        <v>1</v>
      </c>
      <c r="N3" s="60">
        <v>2999.570068359375</v>
      </c>
      <c r="O3" s="60">
        <v>328.5542297363281</v>
      </c>
      <c r="P3" s="58"/>
      <c r="Q3" s="61"/>
      <c r="R3" s="61"/>
      <c r="S3" s="51"/>
      <c r="T3" s="51">
        <v>0</v>
      </c>
      <c r="U3" s="51">
        <v>1</v>
      </c>
      <c r="V3" s="52">
        <v>0</v>
      </c>
      <c r="W3" s="52">
        <v>0.027027</v>
      </c>
      <c r="X3" s="52">
        <v>0.034064</v>
      </c>
      <c r="Y3" s="52">
        <v>0.449926</v>
      </c>
      <c r="Z3" s="52">
        <v>0</v>
      </c>
      <c r="AA3" s="52">
        <v>0</v>
      </c>
      <c r="AB3" s="62">
        <v>3</v>
      </c>
      <c r="AC3" s="62"/>
      <c r="AD3" s="63"/>
      <c r="AE3" s="84" t="s">
        <v>533</v>
      </c>
      <c r="AF3" s="92" t="s">
        <v>563</v>
      </c>
      <c r="AG3" s="84">
        <v>90</v>
      </c>
      <c r="AH3" s="84">
        <v>2</v>
      </c>
      <c r="AI3" s="84">
        <v>247</v>
      </c>
      <c r="AJ3" s="84">
        <v>139</v>
      </c>
      <c r="AK3" s="84"/>
      <c r="AL3" s="84"/>
      <c r="AM3" s="84" t="s">
        <v>614</v>
      </c>
      <c r="AN3" s="84"/>
      <c r="AO3" s="84"/>
      <c r="AP3" s="86">
        <v>40030.434745370374</v>
      </c>
      <c r="AQ3" s="84"/>
      <c r="AR3" s="84" t="b">
        <v>0</v>
      </c>
      <c r="AS3" s="84" t="b">
        <v>0</v>
      </c>
      <c r="AT3" s="84" t="b">
        <v>0</v>
      </c>
      <c r="AU3" s="84"/>
      <c r="AV3" s="84">
        <v>0</v>
      </c>
      <c r="AW3" s="88" t="str">
        <f>HYPERLINK("https://abs.twimg.com/images/themes/theme17/bg.gif")</f>
        <v>https://abs.twimg.com/images/themes/theme17/bg.gif</v>
      </c>
      <c r="AX3" s="84" t="b">
        <v>0</v>
      </c>
      <c r="AY3" s="84" t="s">
        <v>615</v>
      </c>
      <c r="AZ3" s="88" t="str">
        <f>HYPERLINK("https://twitter.com/rahaff")</f>
        <v>https://twitter.com/rahaff</v>
      </c>
      <c r="BA3" s="84" t="s">
        <v>66</v>
      </c>
      <c r="BB3" s="84" t="str">
        <f>REPLACE(INDEX(GroupVertices[Group],MATCH(Vertices[[#This Row],[Vertex]],GroupVertices[Vertex],0)),1,1,"")</f>
        <v>1</v>
      </c>
      <c r="BC3" s="51" t="s">
        <v>664</v>
      </c>
      <c r="BD3" s="51" t="s">
        <v>664</v>
      </c>
      <c r="BE3" s="51" t="s">
        <v>325</v>
      </c>
      <c r="BF3" s="51" t="s">
        <v>325</v>
      </c>
      <c r="BG3" s="51" t="s">
        <v>328</v>
      </c>
      <c r="BH3" s="51" t="s">
        <v>328</v>
      </c>
      <c r="BI3" s="123" t="s">
        <v>829</v>
      </c>
      <c r="BJ3" s="123" t="s">
        <v>829</v>
      </c>
      <c r="BK3" s="123" t="s">
        <v>855</v>
      </c>
      <c r="BL3" s="123" t="s">
        <v>855</v>
      </c>
      <c r="BM3" s="123">
        <v>2</v>
      </c>
      <c r="BN3" s="126">
        <v>4.651162790697675</v>
      </c>
      <c r="BO3" s="123">
        <v>0</v>
      </c>
      <c r="BP3" s="126">
        <v>0</v>
      </c>
      <c r="BQ3" s="123">
        <v>0</v>
      </c>
      <c r="BR3" s="126">
        <v>0</v>
      </c>
      <c r="BS3" s="123">
        <v>41</v>
      </c>
      <c r="BT3" s="126">
        <v>95.34883720930233</v>
      </c>
      <c r="BU3" s="123">
        <v>43</v>
      </c>
      <c r="BV3" s="3"/>
      <c r="BW3" s="3"/>
    </row>
    <row r="4" spans="1:78" ht="41.45" customHeight="1">
      <c r="A4" s="14" t="s">
        <v>272</v>
      </c>
      <c r="C4" s="15"/>
      <c r="D4" s="15" t="s">
        <v>64</v>
      </c>
      <c r="E4" s="94">
        <v>265.7900803023146</v>
      </c>
      <c r="F4" s="80">
        <v>99.59270957386217</v>
      </c>
      <c r="G4" s="113" t="str">
        <f>HYPERLINK("https://pbs.twimg.com/profile_images/774228058844852225/Z_rQuUK2_normal.jpg")</f>
        <v>https://pbs.twimg.com/profile_images/774228058844852225/Z_rQuUK2_normal.jpg</v>
      </c>
      <c r="H4" s="15"/>
      <c r="I4" s="16" t="s">
        <v>272</v>
      </c>
      <c r="J4" s="67"/>
      <c r="K4" s="67"/>
      <c r="L4" s="115" t="s">
        <v>616</v>
      </c>
      <c r="M4" s="95">
        <v>136.73632268420235</v>
      </c>
      <c r="N4" s="96">
        <v>2466.452880859375</v>
      </c>
      <c r="O4" s="96">
        <v>5088.97607421875</v>
      </c>
      <c r="P4" s="78"/>
      <c r="Q4" s="97"/>
      <c r="R4" s="97"/>
      <c r="S4" s="98"/>
      <c r="T4" s="51">
        <v>17</v>
      </c>
      <c r="U4" s="51">
        <v>4</v>
      </c>
      <c r="V4" s="52">
        <v>318</v>
      </c>
      <c r="W4" s="52">
        <v>0.052632</v>
      </c>
      <c r="X4" s="52">
        <v>0.184565</v>
      </c>
      <c r="Y4" s="52">
        <v>7.057114</v>
      </c>
      <c r="Z4" s="52">
        <v>0.02046783625730994</v>
      </c>
      <c r="AA4" s="52">
        <v>0</v>
      </c>
      <c r="AB4" s="81">
        <v>4</v>
      </c>
      <c r="AC4" s="81"/>
      <c r="AD4" s="99"/>
      <c r="AE4" s="84" t="s">
        <v>502</v>
      </c>
      <c r="AF4" s="92" t="s">
        <v>534</v>
      </c>
      <c r="AG4" s="84">
        <v>790</v>
      </c>
      <c r="AH4" s="84">
        <v>1313</v>
      </c>
      <c r="AI4" s="84">
        <v>1202</v>
      </c>
      <c r="AJ4" s="84">
        <v>729</v>
      </c>
      <c r="AK4" s="84"/>
      <c r="AL4" s="84" t="s">
        <v>564</v>
      </c>
      <c r="AM4" s="84"/>
      <c r="AN4" s="88" t="str">
        <f>HYPERLINK("https://t.co/X2tTizZ8hp")</f>
        <v>https://t.co/X2tTizZ8hp</v>
      </c>
      <c r="AO4" s="84"/>
      <c r="AP4" s="86">
        <v>42416.477476851855</v>
      </c>
      <c r="AQ4" s="88" t="str">
        <f>HYPERLINK("https://pbs.twimg.com/profile_banners/4915573046/1538119169")</f>
        <v>https://pbs.twimg.com/profile_banners/4915573046/1538119169</v>
      </c>
      <c r="AR4" s="84" t="b">
        <v>0</v>
      </c>
      <c r="AS4" s="84" t="b">
        <v>0</v>
      </c>
      <c r="AT4" s="84" t="b">
        <v>1</v>
      </c>
      <c r="AU4" s="84"/>
      <c r="AV4" s="84">
        <v>13</v>
      </c>
      <c r="AW4" s="88" t="str">
        <f>HYPERLINK("https://abs.twimg.com/images/themes/theme1/bg.png")</f>
        <v>https://abs.twimg.com/images/themes/theme1/bg.png</v>
      </c>
      <c r="AX4" s="84" t="b">
        <v>0</v>
      </c>
      <c r="AY4" s="84" t="s">
        <v>615</v>
      </c>
      <c r="AZ4" s="88" t="str">
        <f>HYPERLINK("https://twitter.com/rcpedintrainees")</f>
        <v>https://twitter.com/rcpedintrainees</v>
      </c>
      <c r="BA4" s="84" t="s">
        <v>66</v>
      </c>
      <c r="BB4" s="84" t="str">
        <f>REPLACE(INDEX(GroupVertices[Group],MATCH(Vertices[[#This Row],[Vertex]],GroupVertices[Vertex],0)),1,1,"")</f>
        <v>1</v>
      </c>
      <c r="BC4" s="51" t="s">
        <v>819</v>
      </c>
      <c r="BD4" s="51" t="s">
        <v>819</v>
      </c>
      <c r="BE4" s="51" t="s">
        <v>822</v>
      </c>
      <c r="BF4" s="51" t="s">
        <v>822</v>
      </c>
      <c r="BG4" s="51" t="s">
        <v>698</v>
      </c>
      <c r="BH4" s="51" t="s">
        <v>826</v>
      </c>
      <c r="BI4" s="123" t="s">
        <v>830</v>
      </c>
      <c r="BJ4" s="123" t="s">
        <v>849</v>
      </c>
      <c r="BK4" s="123" t="s">
        <v>856</v>
      </c>
      <c r="BL4" s="123" t="s">
        <v>874</v>
      </c>
      <c r="BM4" s="123">
        <v>41</v>
      </c>
      <c r="BN4" s="126">
        <v>5.452127659574468</v>
      </c>
      <c r="BO4" s="123">
        <v>23</v>
      </c>
      <c r="BP4" s="126">
        <v>3.0585106382978724</v>
      </c>
      <c r="BQ4" s="123">
        <v>0</v>
      </c>
      <c r="BR4" s="126">
        <v>0</v>
      </c>
      <c r="BS4" s="123">
        <v>688</v>
      </c>
      <c r="BT4" s="126">
        <v>91.48936170212765</v>
      </c>
      <c r="BU4" s="123">
        <v>752</v>
      </c>
      <c r="BV4" s="2"/>
      <c r="BW4" s="3"/>
      <c r="BX4" s="3"/>
      <c r="BY4" s="3"/>
      <c r="BZ4" s="3"/>
    </row>
    <row r="5" spans="1:78" ht="41.45" customHeight="1">
      <c r="A5" s="14" t="s">
        <v>251</v>
      </c>
      <c r="C5" s="15"/>
      <c r="D5" s="15" t="s">
        <v>64</v>
      </c>
      <c r="E5" s="94">
        <v>175.06282475200754</v>
      </c>
      <c r="F5" s="80">
        <v>99.94873919121835</v>
      </c>
      <c r="G5" s="113" t="str">
        <f>HYPERLINK("https://pbs.twimg.com/profile_images/1098590400225464326/Fqm5elrq_normal.jpg")</f>
        <v>https://pbs.twimg.com/profile_images/1098590400225464326/Fqm5elrq_normal.jpg</v>
      </c>
      <c r="H5" s="15"/>
      <c r="I5" s="16" t="s">
        <v>251</v>
      </c>
      <c r="J5" s="67"/>
      <c r="K5" s="67"/>
      <c r="L5" s="115" t="s">
        <v>617</v>
      </c>
      <c r="M5" s="95">
        <v>18.083518873297777</v>
      </c>
      <c r="N5" s="96">
        <v>4322.99462890625</v>
      </c>
      <c r="O5" s="96">
        <v>1789.6318359375</v>
      </c>
      <c r="P5" s="78"/>
      <c r="Q5" s="97"/>
      <c r="R5" s="97"/>
      <c r="S5" s="98"/>
      <c r="T5" s="51">
        <v>0</v>
      </c>
      <c r="U5" s="51">
        <v>1</v>
      </c>
      <c r="V5" s="52">
        <v>0</v>
      </c>
      <c r="W5" s="52">
        <v>0.027027</v>
      </c>
      <c r="X5" s="52">
        <v>0.034064</v>
      </c>
      <c r="Y5" s="52">
        <v>0.449926</v>
      </c>
      <c r="Z5" s="52">
        <v>0</v>
      </c>
      <c r="AA5" s="52">
        <v>0</v>
      </c>
      <c r="AB5" s="81">
        <v>5</v>
      </c>
      <c r="AC5" s="81"/>
      <c r="AD5" s="99"/>
      <c r="AE5" s="84" t="s">
        <v>503</v>
      </c>
      <c r="AF5" s="92" t="s">
        <v>535</v>
      </c>
      <c r="AG5" s="84">
        <v>36</v>
      </c>
      <c r="AH5" s="84">
        <v>167</v>
      </c>
      <c r="AI5" s="84">
        <v>854</v>
      </c>
      <c r="AJ5" s="84">
        <v>244</v>
      </c>
      <c r="AK5" s="84"/>
      <c r="AL5" s="84" t="s">
        <v>565</v>
      </c>
      <c r="AM5" s="84"/>
      <c r="AN5" s="84"/>
      <c r="AO5" s="84"/>
      <c r="AP5" s="86">
        <v>43517.602789351855</v>
      </c>
      <c r="AQ5" s="88" t="str">
        <f>HYPERLINK("https://pbs.twimg.com/profile_banners/1098590169215782913/1550761620")</f>
        <v>https://pbs.twimg.com/profile_banners/1098590169215782913/1550761620</v>
      </c>
      <c r="AR5" s="84" t="b">
        <v>1</v>
      </c>
      <c r="AS5" s="84" t="b">
        <v>0</v>
      </c>
      <c r="AT5" s="84" t="b">
        <v>0</v>
      </c>
      <c r="AU5" s="84"/>
      <c r="AV5" s="84">
        <v>0</v>
      </c>
      <c r="AW5" s="84"/>
      <c r="AX5" s="84" t="b">
        <v>0</v>
      </c>
      <c r="AY5" s="84" t="s">
        <v>615</v>
      </c>
      <c r="AZ5" s="88" t="str">
        <f>HYPERLINK("https://twitter.com/ses_imt")</f>
        <v>https://twitter.com/ses_imt</v>
      </c>
      <c r="BA5" s="84" t="s">
        <v>66</v>
      </c>
      <c r="BB5" s="84" t="str">
        <f>REPLACE(INDEX(GroupVertices[Group],MATCH(Vertices[[#This Row],[Vertex]],GroupVertices[Vertex],0)),1,1,"")</f>
        <v>1</v>
      </c>
      <c r="BC5" s="51" t="s">
        <v>664</v>
      </c>
      <c r="BD5" s="51" t="s">
        <v>664</v>
      </c>
      <c r="BE5" s="51" t="s">
        <v>325</v>
      </c>
      <c r="BF5" s="51" t="s">
        <v>325</v>
      </c>
      <c r="BG5" s="51" t="s">
        <v>328</v>
      </c>
      <c r="BH5" s="51" t="s">
        <v>328</v>
      </c>
      <c r="BI5" s="123" t="s">
        <v>829</v>
      </c>
      <c r="BJ5" s="123" t="s">
        <v>829</v>
      </c>
      <c r="BK5" s="123" t="s">
        <v>855</v>
      </c>
      <c r="BL5" s="123" t="s">
        <v>855</v>
      </c>
      <c r="BM5" s="123">
        <v>2</v>
      </c>
      <c r="BN5" s="126">
        <v>4.651162790697675</v>
      </c>
      <c r="BO5" s="123">
        <v>0</v>
      </c>
      <c r="BP5" s="126">
        <v>0</v>
      </c>
      <c r="BQ5" s="123">
        <v>0</v>
      </c>
      <c r="BR5" s="126">
        <v>0</v>
      </c>
      <c r="BS5" s="123">
        <v>41</v>
      </c>
      <c r="BT5" s="126">
        <v>95.34883720930233</v>
      </c>
      <c r="BU5" s="123">
        <v>43</v>
      </c>
      <c r="BV5" s="2"/>
      <c r="BW5" s="3"/>
      <c r="BX5" s="3"/>
      <c r="BY5" s="3"/>
      <c r="BZ5" s="3"/>
    </row>
    <row r="6" spans="1:78" ht="41.45" customHeight="1">
      <c r="A6" s="14" t="s">
        <v>252</v>
      </c>
      <c r="C6" s="15"/>
      <c r="D6" s="15" t="s">
        <v>64</v>
      </c>
      <c r="E6" s="94">
        <v>477.1703353802551</v>
      </c>
      <c r="F6" s="80">
        <v>98.76321648630456</v>
      </c>
      <c r="G6" s="113" t="str">
        <f>HYPERLINK("https://pbs.twimg.com/profile_images/1317158576650149893/YGFebG7P_normal.jpg")</f>
        <v>https://pbs.twimg.com/profile_images/1317158576650149893/YGFebG7P_normal.jpg</v>
      </c>
      <c r="H6" s="15"/>
      <c r="I6" s="16" t="s">
        <v>252</v>
      </c>
      <c r="J6" s="67"/>
      <c r="K6" s="67"/>
      <c r="L6" s="115" t="s">
        <v>618</v>
      </c>
      <c r="M6" s="95">
        <v>413.1787189975664</v>
      </c>
      <c r="N6" s="96">
        <v>2696.598876953125</v>
      </c>
      <c r="O6" s="96">
        <v>9670.4453125</v>
      </c>
      <c r="P6" s="78"/>
      <c r="Q6" s="97"/>
      <c r="R6" s="97"/>
      <c r="S6" s="98"/>
      <c r="T6" s="51">
        <v>0</v>
      </c>
      <c r="U6" s="51">
        <v>1</v>
      </c>
      <c r="V6" s="52">
        <v>0</v>
      </c>
      <c r="W6" s="52">
        <v>0.027027</v>
      </c>
      <c r="X6" s="52">
        <v>0.034064</v>
      </c>
      <c r="Y6" s="52">
        <v>0.449926</v>
      </c>
      <c r="Z6" s="52">
        <v>0</v>
      </c>
      <c r="AA6" s="52">
        <v>0</v>
      </c>
      <c r="AB6" s="81">
        <v>6</v>
      </c>
      <c r="AC6" s="81"/>
      <c r="AD6" s="99"/>
      <c r="AE6" s="84" t="s">
        <v>504</v>
      </c>
      <c r="AF6" s="92" t="s">
        <v>536</v>
      </c>
      <c r="AG6" s="84">
        <v>2754</v>
      </c>
      <c r="AH6" s="84">
        <v>3983</v>
      </c>
      <c r="AI6" s="84">
        <v>7102</v>
      </c>
      <c r="AJ6" s="84">
        <v>26033</v>
      </c>
      <c r="AK6" s="84"/>
      <c r="AL6" s="84" t="s">
        <v>566</v>
      </c>
      <c r="AM6" s="84" t="s">
        <v>591</v>
      </c>
      <c r="AN6" s="84"/>
      <c r="AO6" s="84"/>
      <c r="AP6" s="86">
        <v>40706.48795138889</v>
      </c>
      <c r="AQ6" s="88" t="str">
        <f>HYPERLINK("https://pbs.twimg.com/profile_banners/315754544/1601832945")</f>
        <v>https://pbs.twimg.com/profile_banners/315754544/1601832945</v>
      </c>
      <c r="AR6" s="84" t="b">
        <v>0</v>
      </c>
      <c r="AS6" s="84" t="b">
        <v>0</v>
      </c>
      <c r="AT6" s="84" t="b">
        <v>1</v>
      </c>
      <c r="AU6" s="84"/>
      <c r="AV6" s="84">
        <v>19</v>
      </c>
      <c r="AW6" s="88" t="str">
        <f>HYPERLINK("https://abs.twimg.com/images/themes/theme2/bg.gif")</f>
        <v>https://abs.twimg.com/images/themes/theme2/bg.gif</v>
      </c>
      <c r="AX6" s="84" t="b">
        <v>0</v>
      </c>
      <c r="AY6" s="84" t="s">
        <v>615</v>
      </c>
      <c r="AZ6" s="88" t="str">
        <f>HYPERLINK("https://twitter.com/charsquires")</f>
        <v>https://twitter.com/charsquires</v>
      </c>
      <c r="BA6" s="84" t="s">
        <v>66</v>
      </c>
      <c r="BB6" s="84" t="str">
        <f>REPLACE(INDEX(GroupVertices[Group],MATCH(Vertices[[#This Row],[Vertex]],GroupVertices[Vertex],0)),1,1,"")</f>
        <v>1</v>
      </c>
      <c r="BC6" s="51"/>
      <c r="BD6" s="51"/>
      <c r="BE6" s="51"/>
      <c r="BF6" s="51"/>
      <c r="BG6" s="51" t="s">
        <v>328</v>
      </c>
      <c r="BH6" s="51" t="s">
        <v>328</v>
      </c>
      <c r="BI6" s="123" t="s">
        <v>831</v>
      </c>
      <c r="BJ6" s="123" t="s">
        <v>831</v>
      </c>
      <c r="BK6" s="123" t="s">
        <v>857</v>
      </c>
      <c r="BL6" s="123" t="s">
        <v>857</v>
      </c>
      <c r="BM6" s="123">
        <v>3</v>
      </c>
      <c r="BN6" s="126">
        <v>11.538461538461538</v>
      </c>
      <c r="BO6" s="123">
        <v>1</v>
      </c>
      <c r="BP6" s="126">
        <v>3.8461538461538463</v>
      </c>
      <c r="BQ6" s="123">
        <v>0</v>
      </c>
      <c r="BR6" s="126">
        <v>0</v>
      </c>
      <c r="BS6" s="123">
        <v>22</v>
      </c>
      <c r="BT6" s="126">
        <v>84.61538461538461</v>
      </c>
      <c r="BU6" s="123">
        <v>26</v>
      </c>
      <c r="BV6" s="2"/>
      <c r="BW6" s="3"/>
      <c r="BX6" s="3"/>
      <c r="BY6" s="3"/>
      <c r="BZ6" s="3"/>
    </row>
    <row r="7" spans="1:78" ht="41.45" customHeight="1">
      <c r="A7" s="14" t="s">
        <v>253</v>
      </c>
      <c r="C7" s="15"/>
      <c r="D7" s="15" t="s">
        <v>64</v>
      </c>
      <c r="E7" s="94">
        <v>201.58431743032594</v>
      </c>
      <c r="F7" s="80">
        <v>99.84466421581318</v>
      </c>
      <c r="G7" s="113" t="str">
        <f>HYPERLINK("https://pbs.twimg.com/profile_images/1260335097477292036/e7Ve9UW6_normal.jpg")</f>
        <v>https://pbs.twimg.com/profile_images/1260335097477292036/e7Ve9UW6_normal.jpg</v>
      </c>
      <c r="H7" s="15"/>
      <c r="I7" s="16" t="s">
        <v>253</v>
      </c>
      <c r="J7" s="67"/>
      <c r="K7" s="67"/>
      <c r="L7" s="115" t="s">
        <v>619</v>
      </c>
      <c r="M7" s="95">
        <v>52.768239009993266</v>
      </c>
      <c r="N7" s="96">
        <v>3129.39501953125</v>
      </c>
      <c r="O7" s="96">
        <v>2731.745849609375</v>
      </c>
      <c r="P7" s="78"/>
      <c r="Q7" s="97"/>
      <c r="R7" s="97"/>
      <c r="S7" s="98"/>
      <c r="T7" s="51">
        <v>0</v>
      </c>
      <c r="U7" s="51">
        <v>1</v>
      </c>
      <c r="V7" s="52">
        <v>0</v>
      </c>
      <c r="W7" s="52">
        <v>0.027027</v>
      </c>
      <c r="X7" s="52">
        <v>0.034064</v>
      </c>
      <c r="Y7" s="52">
        <v>0.449926</v>
      </c>
      <c r="Z7" s="52">
        <v>0</v>
      </c>
      <c r="AA7" s="52">
        <v>0</v>
      </c>
      <c r="AB7" s="81">
        <v>7</v>
      </c>
      <c r="AC7" s="81"/>
      <c r="AD7" s="99"/>
      <c r="AE7" s="84" t="s">
        <v>505</v>
      </c>
      <c r="AF7" s="92" t="s">
        <v>537</v>
      </c>
      <c r="AG7" s="84">
        <v>756</v>
      </c>
      <c r="AH7" s="84">
        <v>502</v>
      </c>
      <c r="AI7" s="84">
        <v>1324</v>
      </c>
      <c r="AJ7" s="84">
        <v>621</v>
      </c>
      <c r="AK7" s="84"/>
      <c r="AL7" s="84" t="s">
        <v>567</v>
      </c>
      <c r="AM7" s="84" t="s">
        <v>592</v>
      </c>
      <c r="AN7" s="84"/>
      <c r="AO7" s="84"/>
      <c r="AP7" s="86">
        <v>40333.96957175926</v>
      </c>
      <c r="AQ7" s="88" t="str">
        <f>HYPERLINK("https://pbs.twimg.com/profile_banners/152046558/1602926672")</f>
        <v>https://pbs.twimg.com/profile_banners/152046558/1602926672</v>
      </c>
      <c r="AR7" s="84" t="b">
        <v>1</v>
      </c>
      <c r="AS7" s="84" t="b">
        <v>0</v>
      </c>
      <c r="AT7" s="84" t="b">
        <v>0</v>
      </c>
      <c r="AU7" s="84"/>
      <c r="AV7" s="84">
        <v>7</v>
      </c>
      <c r="AW7" s="88" t="str">
        <f>HYPERLINK("https://abs.twimg.com/images/themes/theme1/bg.png")</f>
        <v>https://abs.twimg.com/images/themes/theme1/bg.png</v>
      </c>
      <c r="AX7" s="84" t="b">
        <v>0</v>
      </c>
      <c r="AY7" s="84" t="s">
        <v>615</v>
      </c>
      <c r="AZ7" s="88" t="str">
        <f>HYPERLINK("https://twitter.com/addymcleod")</f>
        <v>https://twitter.com/addymcleod</v>
      </c>
      <c r="BA7" s="84" t="s">
        <v>66</v>
      </c>
      <c r="BB7" s="84" t="str">
        <f>REPLACE(INDEX(GroupVertices[Group],MATCH(Vertices[[#This Row],[Vertex]],GroupVertices[Vertex],0)),1,1,"")</f>
        <v>1</v>
      </c>
      <c r="BC7" s="51"/>
      <c r="BD7" s="51"/>
      <c r="BE7" s="51"/>
      <c r="BF7" s="51"/>
      <c r="BG7" s="51" t="s">
        <v>328</v>
      </c>
      <c r="BH7" s="51" t="s">
        <v>328</v>
      </c>
      <c r="BI7" s="123" t="s">
        <v>831</v>
      </c>
      <c r="BJ7" s="123" t="s">
        <v>831</v>
      </c>
      <c r="BK7" s="123" t="s">
        <v>857</v>
      </c>
      <c r="BL7" s="123" t="s">
        <v>857</v>
      </c>
      <c r="BM7" s="123">
        <v>3</v>
      </c>
      <c r="BN7" s="126">
        <v>11.538461538461538</v>
      </c>
      <c r="BO7" s="123">
        <v>1</v>
      </c>
      <c r="BP7" s="126">
        <v>3.8461538461538463</v>
      </c>
      <c r="BQ7" s="123">
        <v>0</v>
      </c>
      <c r="BR7" s="126">
        <v>0</v>
      </c>
      <c r="BS7" s="123">
        <v>22</v>
      </c>
      <c r="BT7" s="126">
        <v>84.61538461538461</v>
      </c>
      <c r="BU7" s="123">
        <v>26</v>
      </c>
      <c r="BV7" s="2"/>
      <c r="BW7" s="3"/>
      <c r="BX7" s="3"/>
      <c r="BY7" s="3"/>
      <c r="BZ7" s="3"/>
    </row>
    <row r="8" spans="1:78" ht="41.45" customHeight="1">
      <c r="A8" s="14" t="s">
        <v>254</v>
      </c>
      <c r="C8" s="15"/>
      <c r="D8" s="15" t="s">
        <v>64</v>
      </c>
      <c r="E8" s="94">
        <v>170.31270666036843</v>
      </c>
      <c r="F8" s="80">
        <v>99.96737948532076</v>
      </c>
      <c r="G8" s="113" t="str">
        <f>HYPERLINK("https://pbs.twimg.com/profile_images/1109180321176715264/fNTI4GWd_normal.jpg")</f>
        <v>https://pbs.twimg.com/profile_images/1109180321176715264/fNTI4GWd_normal.jpg</v>
      </c>
      <c r="H8" s="15"/>
      <c r="I8" s="16" t="s">
        <v>254</v>
      </c>
      <c r="J8" s="67"/>
      <c r="K8" s="67"/>
      <c r="L8" s="115" t="s">
        <v>620</v>
      </c>
      <c r="M8" s="95">
        <v>11.871330192098586</v>
      </c>
      <c r="N8" s="96">
        <v>3791.05712890625</v>
      </c>
      <c r="O8" s="96">
        <v>6943.4296875</v>
      </c>
      <c r="P8" s="78"/>
      <c r="Q8" s="97"/>
      <c r="R8" s="97"/>
      <c r="S8" s="98"/>
      <c r="T8" s="51">
        <v>0</v>
      </c>
      <c r="U8" s="51">
        <v>1</v>
      </c>
      <c r="V8" s="52">
        <v>0</v>
      </c>
      <c r="W8" s="52">
        <v>0.027027</v>
      </c>
      <c r="X8" s="52">
        <v>0.034064</v>
      </c>
      <c r="Y8" s="52">
        <v>0.449926</v>
      </c>
      <c r="Z8" s="52">
        <v>0</v>
      </c>
      <c r="AA8" s="52">
        <v>0</v>
      </c>
      <c r="AB8" s="81">
        <v>8</v>
      </c>
      <c r="AC8" s="81"/>
      <c r="AD8" s="99"/>
      <c r="AE8" s="84" t="s">
        <v>506</v>
      </c>
      <c r="AF8" s="92" t="s">
        <v>538</v>
      </c>
      <c r="AG8" s="84">
        <v>296</v>
      </c>
      <c r="AH8" s="84">
        <v>107</v>
      </c>
      <c r="AI8" s="84">
        <v>3811</v>
      </c>
      <c r="AJ8" s="84">
        <v>9162</v>
      </c>
      <c r="AK8" s="84"/>
      <c r="AL8" s="84" t="s">
        <v>568</v>
      </c>
      <c r="AM8" s="84" t="s">
        <v>593</v>
      </c>
      <c r="AN8" s="84"/>
      <c r="AO8" s="84"/>
      <c r="AP8" s="86">
        <v>40785.538252314815</v>
      </c>
      <c r="AQ8" s="88" t="str">
        <f>HYPERLINK("https://pbs.twimg.com/profile_banners/364844291/1488735534")</f>
        <v>https://pbs.twimg.com/profile_banners/364844291/1488735534</v>
      </c>
      <c r="AR8" s="84" t="b">
        <v>0</v>
      </c>
      <c r="AS8" s="84" t="b">
        <v>0</v>
      </c>
      <c r="AT8" s="84" t="b">
        <v>0</v>
      </c>
      <c r="AU8" s="84"/>
      <c r="AV8" s="84">
        <v>1</v>
      </c>
      <c r="AW8" s="88" t="str">
        <f>HYPERLINK("https://abs.twimg.com/images/themes/theme14/bg.gif")</f>
        <v>https://abs.twimg.com/images/themes/theme14/bg.gif</v>
      </c>
      <c r="AX8" s="84" t="b">
        <v>0</v>
      </c>
      <c r="AY8" s="84" t="s">
        <v>615</v>
      </c>
      <c r="AZ8" s="88" t="str">
        <f>HYPERLINK("https://twitter.com/haryjalendheria")</f>
        <v>https://twitter.com/haryjalendheria</v>
      </c>
      <c r="BA8" s="84" t="s">
        <v>66</v>
      </c>
      <c r="BB8" s="84" t="str">
        <f>REPLACE(INDEX(GroupVertices[Group],MATCH(Vertices[[#This Row],[Vertex]],GroupVertices[Vertex],0)),1,1,"")</f>
        <v>1</v>
      </c>
      <c r="BC8" s="51"/>
      <c r="BD8" s="51"/>
      <c r="BE8" s="51"/>
      <c r="BF8" s="51"/>
      <c r="BG8" s="51" t="s">
        <v>328</v>
      </c>
      <c r="BH8" s="51" t="s">
        <v>328</v>
      </c>
      <c r="BI8" s="123" t="s">
        <v>832</v>
      </c>
      <c r="BJ8" s="123" t="s">
        <v>832</v>
      </c>
      <c r="BK8" s="123" t="s">
        <v>858</v>
      </c>
      <c r="BL8" s="123" t="s">
        <v>858</v>
      </c>
      <c r="BM8" s="123">
        <v>0</v>
      </c>
      <c r="BN8" s="126">
        <v>0</v>
      </c>
      <c r="BO8" s="123">
        <v>1</v>
      </c>
      <c r="BP8" s="126">
        <v>4.3478260869565215</v>
      </c>
      <c r="BQ8" s="123">
        <v>0</v>
      </c>
      <c r="BR8" s="126">
        <v>0</v>
      </c>
      <c r="BS8" s="123">
        <v>22</v>
      </c>
      <c r="BT8" s="126">
        <v>95.65217391304348</v>
      </c>
      <c r="BU8" s="123">
        <v>23</v>
      </c>
      <c r="BV8" s="2"/>
      <c r="BW8" s="3"/>
      <c r="BX8" s="3"/>
      <c r="BY8" s="3"/>
      <c r="BZ8" s="3"/>
    </row>
    <row r="9" spans="1:78" ht="41.45" customHeight="1">
      <c r="A9" s="14" t="s">
        <v>255</v>
      </c>
      <c r="C9" s="15"/>
      <c r="D9" s="15" t="s">
        <v>64</v>
      </c>
      <c r="E9" s="94">
        <v>185.5130845536136</v>
      </c>
      <c r="F9" s="80">
        <v>99.90773054419303</v>
      </c>
      <c r="G9" s="113" t="str">
        <f>HYPERLINK("https://pbs.twimg.com/profile_images/1303710998134697986/YoTcTLy8_normal.jpg")</f>
        <v>https://pbs.twimg.com/profile_images/1303710998134697986/YoTcTLy8_normal.jpg</v>
      </c>
      <c r="H9" s="15"/>
      <c r="I9" s="16" t="s">
        <v>255</v>
      </c>
      <c r="J9" s="67"/>
      <c r="K9" s="67"/>
      <c r="L9" s="115" t="s">
        <v>621</v>
      </c>
      <c r="M9" s="95">
        <v>31.750333971936</v>
      </c>
      <c r="N9" s="96">
        <v>8484</v>
      </c>
      <c r="O9" s="96">
        <v>3186.975830078125</v>
      </c>
      <c r="P9" s="78"/>
      <c r="Q9" s="97"/>
      <c r="R9" s="97"/>
      <c r="S9" s="98"/>
      <c r="T9" s="51">
        <v>0</v>
      </c>
      <c r="U9" s="51">
        <v>1</v>
      </c>
      <c r="V9" s="52">
        <v>0</v>
      </c>
      <c r="W9" s="52">
        <v>1</v>
      </c>
      <c r="X9" s="52">
        <v>0</v>
      </c>
      <c r="Y9" s="52">
        <v>0.701744</v>
      </c>
      <c r="Z9" s="52">
        <v>0</v>
      </c>
      <c r="AA9" s="52">
        <v>0</v>
      </c>
      <c r="AB9" s="81">
        <v>9</v>
      </c>
      <c r="AC9" s="81"/>
      <c r="AD9" s="99"/>
      <c r="AE9" s="84" t="s">
        <v>507</v>
      </c>
      <c r="AF9" s="92" t="s">
        <v>539</v>
      </c>
      <c r="AG9" s="84">
        <v>2561</v>
      </c>
      <c r="AH9" s="84">
        <v>299</v>
      </c>
      <c r="AI9" s="84">
        <v>24951</v>
      </c>
      <c r="AJ9" s="84">
        <v>23417</v>
      </c>
      <c r="AK9" s="84"/>
      <c r="AL9" s="84" t="s">
        <v>569</v>
      </c>
      <c r="AM9" s="84" t="s">
        <v>594</v>
      </c>
      <c r="AN9" s="88" t="str">
        <f>HYPERLINK("https://t.co/hFpOFdnao0")</f>
        <v>https://t.co/hFpOFdnao0</v>
      </c>
      <c r="AO9" s="84"/>
      <c r="AP9" s="86">
        <v>40488.06854166667</v>
      </c>
      <c r="AQ9" s="88" t="str">
        <f>HYPERLINK("https://pbs.twimg.com/profile_banners/212426926/1560726775")</f>
        <v>https://pbs.twimg.com/profile_banners/212426926/1560726775</v>
      </c>
      <c r="AR9" s="84" t="b">
        <v>1</v>
      </c>
      <c r="AS9" s="84" t="b">
        <v>0</v>
      </c>
      <c r="AT9" s="84" t="b">
        <v>1</v>
      </c>
      <c r="AU9" s="84"/>
      <c r="AV9" s="84">
        <v>5</v>
      </c>
      <c r="AW9" s="88" t="str">
        <f>HYPERLINK("https://abs.twimg.com/images/themes/theme1/bg.png")</f>
        <v>https://abs.twimg.com/images/themes/theme1/bg.png</v>
      </c>
      <c r="AX9" s="84" t="b">
        <v>0</v>
      </c>
      <c r="AY9" s="84" t="s">
        <v>615</v>
      </c>
      <c r="AZ9" s="88" t="str">
        <f>HYPERLINK("https://twitter.com/patchpradeep")</f>
        <v>https://twitter.com/patchpradeep</v>
      </c>
      <c r="BA9" s="84" t="s">
        <v>66</v>
      </c>
      <c r="BB9" s="84" t="str">
        <f>REPLACE(INDEX(GroupVertices[Group],MATCH(Vertices[[#This Row],[Vertex]],GroupVertices[Vertex],0)),1,1,"")</f>
        <v>4</v>
      </c>
      <c r="BC9" s="51"/>
      <c r="BD9" s="51"/>
      <c r="BE9" s="51"/>
      <c r="BF9" s="51"/>
      <c r="BG9" s="51" t="s">
        <v>328</v>
      </c>
      <c r="BH9" s="51" t="s">
        <v>328</v>
      </c>
      <c r="BI9" s="123" t="s">
        <v>833</v>
      </c>
      <c r="BJ9" s="123" t="s">
        <v>833</v>
      </c>
      <c r="BK9" s="123" t="s">
        <v>859</v>
      </c>
      <c r="BL9" s="123" t="s">
        <v>859</v>
      </c>
      <c r="BM9" s="123">
        <v>1</v>
      </c>
      <c r="BN9" s="126">
        <v>3.3333333333333335</v>
      </c>
      <c r="BO9" s="123">
        <v>0</v>
      </c>
      <c r="BP9" s="126">
        <v>0</v>
      </c>
      <c r="BQ9" s="123">
        <v>0</v>
      </c>
      <c r="BR9" s="126">
        <v>0</v>
      </c>
      <c r="BS9" s="123">
        <v>29</v>
      </c>
      <c r="BT9" s="126">
        <v>96.66666666666667</v>
      </c>
      <c r="BU9" s="123">
        <v>30</v>
      </c>
      <c r="BV9" s="2"/>
      <c r="BW9" s="3"/>
      <c r="BX9" s="3"/>
      <c r="BY9" s="3"/>
      <c r="BZ9" s="3"/>
    </row>
    <row r="10" spans="1:78" ht="41.45" customHeight="1">
      <c r="A10" s="14" t="s">
        <v>256</v>
      </c>
      <c r="C10" s="15"/>
      <c r="D10" s="15" t="s">
        <v>64</v>
      </c>
      <c r="E10" s="94">
        <v>239.50609352857816</v>
      </c>
      <c r="F10" s="80">
        <v>99.6958525345622</v>
      </c>
      <c r="G10" s="113" t="str">
        <f>HYPERLINK("https://pbs.twimg.com/profile_images/924914130/CXR_Red_normal.png")</f>
        <v>https://pbs.twimg.com/profile_images/924914130/CXR_Red_normal.png</v>
      </c>
      <c r="H10" s="15"/>
      <c r="I10" s="16" t="s">
        <v>256</v>
      </c>
      <c r="J10" s="67"/>
      <c r="K10" s="67"/>
      <c r="L10" s="115" t="s">
        <v>622</v>
      </c>
      <c r="M10" s="95">
        <v>102.36221198156682</v>
      </c>
      <c r="N10" s="96">
        <v>8484</v>
      </c>
      <c r="O10" s="96">
        <v>1281.3614501953125</v>
      </c>
      <c r="P10" s="78"/>
      <c r="Q10" s="97"/>
      <c r="R10" s="97"/>
      <c r="S10" s="98"/>
      <c r="T10" s="51">
        <v>2</v>
      </c>
      <c r="U10" s="51">
        <v>1</v>
      </c>
      <c r="V10" s="52">
        <v>0</v>
      </c>
      <c r="W10" s="52">
        <v>1</v>
      </c>
      <c r="X10" s="52">
        <v>0</v>
      </c>
      <c r="Y10" s="52">
        <v>1.298225</v>
      </c>
      <c r="Z10" s="52">
        <v>0</v>
      </c>
      <c r="AA10" s="52">
        <v>0</v>
      </c>
      <c r="AB10" s="81">
        <v>10</v>
      </c>
      <c r="AC10" s="81"/>
      <c r="AD10" s="99"/>
      <c r="AE10" s="84" t="s">
        <v>508</v>
      </c>
      <c r="AF10" s="92" t="s">
        <v>540</v>
      </c>
      <c r="AG10" s="84">
        <v>166</v>
      </c>
      <c r="AH10" s="84">
        <v>981</v>
      </c>
      <c r="AI10" s="84">
        <v>1836</v>
      </c>
      <c r="AJ10" s="84">
        <v>127</v>
      </c>
      <c r="AK10" s="84"/>
      <c r="AL10" s="84" t="s">
        <v>570</v>
      </c>
      <c r="AM10" s="84" t="s">
        <v>595</v>
      </c>
      <c r="AN10" s="88" t="str">
        <f>HYPERLINK("https://t.co/U8bZcDi6Mh")</f>
        <v>https://t.co/U8bZcDi6Mh</v>
      </c>
      <c r="AO10" s="84"/>
      <c r="AP10" s="86">
        <v>40079.84135416667</v>
      </c>
      <c r="AQ10" s="84"/>
      <c r="AR10" s="84" t="b">
        <v>1</v>
      </c>
      <c r="AS10" s="84" t="b">
        <v>0</v>
      </c>
      <c r="AT10" s="84" t="b">
        <v>0</v>
      </c>
      <c r="AU10" s="84"/>
      <c r="AV10" s="84">
        <v>14</v>
      </c>
      <c r="AW10" s="88" t="str">
        <f>HYPERLINK("https://abs.twimg.com/images/themes/theme1/bg.png")</f>
        <v>https://abs.twimg.com/images/themes/theme1/bg.png</v>
      </c>
      <c r="AX10" s="84" t="b">
        <v>0</v>
      </c>
      <c r="AY10" s="84" t="s">
        <v>615</v>
      </c>
      <c r="AZ10" s="88" t="str">
        <f>HYPERLINK("https://twitter.com/dundeechest")</f>
        <v>https://twitter.com/dundeechest</v>
      </c>
      <c r="BA10" s="84" t="s">
        <v>66</v>
      </c>
      <c r="BB10" s="84" t="str">
        <f>REPLACE(INDEX(GroupVertices[Group],MATCH(Vertices[[#This Row],[Vertex]],GroupVertices[Vertex],0)),1,1,"")</f>
        <v>4</v>
      </c>
      <c r="BC10" s="51"/>
      <c r="BD10" s="51"/>
      <c r="BE10" s="51"/>
      <c r="BF10" s="51"/>
      <c r="BG10" s="51" t="s">
        <v>328</v>
      </c>
      <c r="BH10" s="51" t="s">
        <v>328</v>
      </c>
      <c r="BI10" s="123" t="s">
        <v>834</v>
      </c>
      <c r="BJ10" s="123" t="s">
        <v>850</v>
      </c>
      <c r="BK10" s="123" t="s">
        <v>860</v>
      </c>
      <c r="BL10" s="123" t="s">
        <v>875</v>
      </c>
      <c r="BM10" s="123">
        <v>4</v>
      </c>
      <c r="BN10" s="126">
        <v>5.633802816901408</v>
      </c>
      <c r="BO10" s="123">
        <v>0</v>
      </c>
      <c r="BP10" s="126">
        <v>0</v>
      </c>
      <c r="BQ10" s="123">
        <v>0</v>
      </c>
      <c r="BR10" s="126">
        <v>0</v>
      </c>
      <c r="BS10" s="123">
        <v>67</v>
      </c>
      <c r="BT10" s="126">
        <v>94.36619718309859</v>
      </c>
      <c r="BU10" s="123">
        <v>71</v>
      </c>
      <c r="BV10" s="2"/>
      <c r="BW10" s="3"/>
      <c r="BX10" s="3"/>
      <c r="BY10" s="3"/>
      <c r="BZ10" s="3"/>
    </row>
    <row r="11" spans="1:78" ht="41.45" customHeight="1">
      <c r="A11" s="14" t="s">
        <v>257</v>
      </c>
      <c r="C11" s="15"/>
      <c r="D11" s="15" t="s">
        <v>64</v>
      </c>
      <c r="E11" s="94">
        <v>176.88370335380256</v>
      </c>
      <c r="F11" s="80">
        <v>99.94159374514575</v>
      </c>
      <c r="G11" s="113" t="str">
        <f>HYPERLINK("https://pbs.twimg.com/profile_images/1010372805781741568/-qNEzhCG_normal.jpg")</f>
        <v>https://pbs.twimg.com/profile_images/1010372805781741568/-qNEzhCG_normal.jpg</v>
      </c>
      <c r="H11" s="15"/>
      <c r="I11" s="16" t="s">
        <v>257</v>
      </c>
      <c r="J11" s="67"/>
      <c r="K11" s="67"/>
      <c r="L11" s="115" t="s">
        <v>623</v>
      </c>
      <c r="M11" s="95">
        <v>20.46485786775747</v>
      </c>
      <c r="N11" s="96">
        <v>178.04483032226562</v>
      </c>
      <c r="O11" s="96">
        <v>7395.8115234375</v>
      </c>
      <c r="P11" s="78"/>
      <c r="Q11" s="97"/>
      <c r="R11" s="97"/>
      <c r="S11" s="98"/>
      <c r="T11" s="51">
        <v>1</v>
      </c>
      <c r="U11" s="51">
        <v>3</v>
      </c>
      <c r="V11" s="52">
        <v>0</v>
      </c>
      <c r="W11" s="52">
        <v>0.027778</v>
      </c>
      <c r="X11" s="52">
        <v>0.058714</v>
      </c>
      <c r="Y11" s="52">
        <v>1.017459</v>
      </c>
      <c r="Z11" s="52">
        <v>0.5</v>
      </c>
      <c r="AA11" s="52">
        <v>0</v>
      </c>
      <c r="AB11" s="81">
        <v>11</v>
      </c>
      <c r="AC11" s="81"/>
      <c r="AD11" s="99"/>
      <c r="AE11" s="84" t="s">
        <v>509</v>
      </c>
      <c r="AF11" s="92" t="s">
        <v>541</v>
      </c>
      <c r="AG11" s="84">
        <v>20</v>
      </c>
      <c r="AH11" s="84">
        <v>190</v>
      </c>
      <c r="AI11" s="84">
        <v>578</v>
      </c>
      <c r="AJ11" s="84">
        <v>24</v>
      </c>
      <c r="AK11" s="84"/>
      <c r="AL11" s="84" t="s">
        <v>571</v>
      </c>
      <c r="AM11" s="84" t="s">
        <v>596</v>
      </c>
      <c r="AN11" s="88" t="str">
        <f>HYPERLINK("https://t.co/dw4T9QCdTo")</f>
        <v>https://t.co/dw4T9QCdTo</v>
      </c>
      <c r="AO11" s="84"/>
      <c r="AP11" s="86">
        <v>41365.489803240744</v>
      </c>
      <c r="AQ11" s="88" t="str">
        <f>HYPERLINK("https://pbs.twimg.com/profile_banners/1320183781/1387257320")</f>
        <v>https://pbs.twimg.com/profile_banners/1320183781/1387257320</v>
      </c>
      <c r="AR11" s="84" t="b">
        <v>0</v>
      </c>
      <c r="AS11" s="84" t="b">
        <v>0</v>
      </c>
      <c r="AT11" s="84" t="b">
        <v>1</v>
      </c>
      <c r="AU11" s="84"/>
      <c r="AV11" s="84">
        <v>4</v>
      </c>
      <c r="AW11" s="88" t="str">
        <f>HYPERLINK("https://abs.twimg.com/images/themes/theme19/bg.gif")</f>
        <v>https://abs.twimg.com/images/themes/theme19/bg.gif</v>
      </c>
      <c r="AX11" s="84" t="b">
        <v>0</v>
      </c>
      <c r="AY11" s="84" t="s">
        <v>615</v>
      </c>
      <c r="AZ11" s="88" t="str">
        <f>HYPERLINK("https://twitter.com/yugant_")</f>
        <v>https://twitter.com/yugant_</v>
      </c>
      <c r="BA11" s="84" t="s">
        <v>66</v>
      </c>
      <c r="BB11" s="84" t="str">
        <f>REPLACE(INDEX(GroupVertices[Group],MATCH(Vertices[[#This Row],[Vertex]],GroupVertices[Vertex],0)),1,1,"")</f>
        <v>1</v>
      </c>
      <c r="BC11" s="51" t="s">
        <v>665</v>
      </c>
      <c r="BD11" s="51" t="s">
        <v>665</v>
      </c>
      <c r="BE11" s="51" t="s">
        <v>326</v>
      </c>
      <c r="BF11" s="51" t="s">
        <v>326</v>
      </c>
      <c r="BG11" s="51" t="s">
        <v>328</v>
      </c>
      <c r="BH11" s="51" t="s">
        <v>328</v>
      </c>
      <c r="BI11" s="123" t="s">
        <v>835</v>
      </c>
      <c r="BJ11" s="123" t="s">
        <v>835</v>
      </c>
      <c r="BK11" s="123" t="s">
        <v>861</v>
      </c>
      <c r="BL11" s="123" t="s">
        <v>861</v>
      </c>
      <c r="BM11" s="123">
        <v>2</v>
      </c>
      <c r="BN11" s="126">
        <v>5.405405405405405</v>
      </c>
      <c r="BO11" s="123">
        <v>0</v>
      </c>
      <c r="BP11" s="126">
        <v>0</v>
      </c>
      <c r="BQ11" s="123">
        <v>0</v>
      </c>
      <c r="BR11" s="126">
        <v>0</v>
      </c>
      <c r="BS11" s="123">
        <v>35</v>
      </c>
      <c r="BT11" s="126">
        <v>94.5945945945946</v>
      </c>
      <c r="BU11" s="123">
        <v>37</v>
      </c>
      <c r="BV11" s="2"/>
      <c r="BW11" s="3"/>
      <c r="BX11" s="3"/>
      <c r="BY11" s="3"/>
      <c r="BZ11" s="3"/>
    </row>
    <row r="12" spans="1:78" ht="41.45" customHeight="1">
      <c r="A12" s="14" t="s">
        <v>275</v>
      </c>
      <c r="C12" s="15"/>
      <c r="D12" s="15" t="s">
        <v>64</v>
      </c>
      <c r="E12" s="94">
        <v>162.39584317430325</v>
      </c>
      <c r="F12" s="80">
        <v>99.99844664215813</v>
      </c>
      <c r="G12" s="113" t="str">
        <f>HYPERLINK("https://pbs.twimg.com/profile_images/956183343229386752/hcqgQ61d_normal.jpg")</f>
        <v>https://pbs.twimg.com/profile_images/956183343229386752/hcqgQ61d_normal.jpg</v>
      </c>
      <c r="H12" s="15"/>
      <c r="I12" s="16" t="s">
        <v>275</v>
      </c>
      <c r="J12" s="67"/>
      <c r="K12" s="67"/>
      <c r="L12" s="115" t="s">
        <v>624</v>
      </c>
      <c r="M12" s="95">
        <v>1.5176823900999326</v>
      </c>
      <c r="N12" s="96">
        <v>413.5084533691406</v>
      </c>
      <c r="O12" s="96">
        <v>5510.2685546875</v>
      </c>
      <c r="P12" s="78"/>
      <c r="Q12" s="97"/>
      <c r="R12" s="97"/>
      <c r="S12" s="98"/>
      <c r="T12" s="51">
        <v>5</v>
      </c>
      <c r="U12" s="51">
        <v>0</v>
      </c>
      <c r="V12" s="52">
        <v>6</v>
      </c>
      <c r="W12" s="52">
        <v>0.030303</v>
      </c>
      <c r="X12" s="52">
        <v>0.074844</v>
      </c>
      <c r="Y12" s="52">
        <v>1.642672</v>
      </c>
      <c r="Z12" s="52">
        <v>0.2</v>
      </c>
      <c r="AA12" s="52">
        <v>0</v>
      </c>
      <c r="AB12" s="81">
        <v>12</v>
      </c>
      <c r="AC12" s="81"/>
      <c r="AD12" s="99"/>
      <c r="AE12" s="84" t="s">
        <v>510</v>
      </c>
      <c r="AF12" s="92" t="s">
        <v>542</v>
      </c>
      <c r="AG12" s="84">
        <v>11</v>
      </c>
      <c r="AH12" s="84">
        <v>7</v>
      </c>
      <c r="AI12" s="84">
        <v>3635</v>
      </c>
      <c r="AJ12" s="84">
        <v>18823</v>
      </c>
      <c r="AK12" s="84"/>
      <c r="AL12" s="84" t="s">
        <v>572</v>
      </c>
      <c r="AM12" s="84"/>
      <c r="AN12" s="84"/>
      <c r="AO12" s="84"/>
      <c r="AP12" s="86">
        <v>40998.25208333333</v>
      </c>
      <c r="AQ12" s="88" t="str">
        <f>HYPERLINK("https://pbs.twimg.com/profile_banners/540569441/1519289357")</f>
        <v>https://pbs.twimg.com/profile_banners/540569441/1519289357</v>
      </c>
      <c r="AR12" s="84" t="b">
        <v>0</v>
      </c>
      <c r="AS12" s="84" t="b">
        <v>0</v>
      </c>
      <c r="AT12" s="84" t="b">
        <v>0</v>
      </c>
      <c r="AU12" s="84"/>
      <c r="AV12" s="84">
        <v>23</v>
      </c>
      <c r="AW12" s="88" t="str">
        <f>HYPERLINK("https://abs.twimg.com/images/themes/theme1/bg.png")</f>
        <v>https://abs.twimg.com/images/themes/theme1/bg.png</v>
      </c>
      <c r="AX12" s="84" t="b">
        <v>0</v>
      </c>
      <c r="AY12" s="84" t="s">
        <v>615</v>
      </c>
      <c r="AZ12" s="88" t="str">
        <f>HYPERLINK("https://twitter.com/bmj")</f>
        <v>https://twitter.com/bmj</v>
      </c>
      <c r="BA12" s="84" t="s">
        <v>65</v>
      </c>
      <c r="BB12" s="84" t="str">
        <f>REPLACE(INDEX(GroupVertices[Group],MATCH(Vertices[[#This Row],[Vertex]],GroupVertices[Vertex],0)),1,1,"")</f>
        <v>1</v>
      </c>
      <c r="BC12" s="51"/>
      <c r="BD12" s="51"/>
      <c r="BE12" s="51"/>
      <c r="BF12" s="51"/>
      <c r="BG12" s="51"/>
      <c r="BH12" s="51"/>
      <c r="BI12" s="51"/>
      <c r="BJ12" s="51"/>
      <c r="BK12" s="51"/>
      <c r="BL12" s="51"/>
      <c r="BM12" s="51"/>
      <c r="BN12" s="52"/>
      <c r="BO12" s="51"/>
      <c r="BP12" s="52"/>
      <c r="BQ12" s="51"/>
      <c r="BR12" s="52"/>
      <c r="BS12" s="51"/>
      <c r="BT12" s="52"/>
      <c r="BU12" s="51"/>
      <c r="BV12" s="2"/>
      <c r="BW12" s="3"/>
      <c r="BX12" s="3"/>
      <c r="BY12" s="3"/>
      <c r="BZ12" s="3"/>
    </row>
    <row r="13" spans="1:78" ht="41.45" customHeight="1">
      <c r="A13" s="14" t="s">
        <v>258</v>
      </c>
      <c r="C13" s="15"/>
      <c r="D13" s="15" t="s">
        <v>64</v>
      </c>
      <c r="E13" s="94">
        <v>426.5815777042985</v>
      </c>
      <c r="F13" s="80">
        <v>98.96173561849531</v>
      </c>
      <c r="G13" s="113" t="str">
        <f>HYPERLINK("https://pbs.twimg.com/profile_images/1253407559060504578/wh-jlsPJ_normal.jpg")</f>
        <v>https://pbs.twimg.com/profile_images/1253407559060504578/wh-jlsPJ_normal.jpg</v>
      </c>
      <c r="H13" s="15"/>
      <c r="I13" s="16" t="s">
        <v>258</v>
      </c>
      <c r="J13" s="67"/>
      <c r="K13" s="67"/>
      <c r="L13" s="115" t="s">
        <v>625</v>
      </c>
      <c r="M13" s="95">
        <v>347.01890954279503</v>
      </c>
      <c r="N13" s="96">
        <v>803.771240234375</v>
      </c>
      <c r="O13" s="96">
        <v>1659.2744140625</v>
      </c>
      <c r="P13" s="78"/>
      <c r="Q13" s="97"/>
      <c r="R13" s="97"/>
      <c r="S13" s="98"/>
      <c r="T13" s="51">
        <v>0</v>
      </c>
      <c r="U13" s="51">
        <v>1</v>
      </c>
      <c r="V13" s="52">
        <v>0</v>
      </c>
      <c r="W13" s="52">
        <v>0.027027</v>
      </c>
      <c r="X13" s="52">
        <v>0.034064</v>
      </c>
      <c r="Y13" s="52">
        <v>0.449926</v>
      </c>
      <c r="Z13" s="52">
        <v>0</v>
      </c>
      <c r="AA13" s="52">
        <v>0</v>
      </c>
      <c r="AB13" s="81">
        <v>13</v>
      </c>
      <c r="AC13" s="81"/>
      <c r="AD13" s="99"/>
      <c r="AE13" s="84" t="s">
        <v>511</v>
      </c>
      <c r="AF13" s="92" t="s">
        <v>543</v>
      </c>
      <c r="AG13" s="84">
        <v>4973</v>
      </c>
      <c r="AH13" s="84">
        <v>3344</v>
      </c>
      <c r="AI13" s="84">
        <v>11867</v>
      </c>
      <c r="AJ13" s="84">
        <v>23205</v>
      </c>
      <c r="AK13" s="84"/>
      <c r="AL13" s="84" t="s">
        <v>573</v>
      </c>
      <c r="AM13" s="84" t="s">
        <v>597</v>
      </c>
      <c r="AN13" s="88" t="str">
        <f>HYPERLINK("https://t.co/QvAwNHtv7l")</f>
        <v>https://t.co/QvAwNHtv7l</v>
      </c>
      <c r="AO13" s="84"/>
      <c r="AP13" s="86">
        <v>40354.94059027778</v>
      </c>
      <c r="AQ13" s="88" t="str">
        <f>HYPERLINK("https://pbs.twimg.com/profile_banners/159626527/1584909680")</f>
        <v>https://pbs.twimg.com/profile_banners/159626527/1584909680</v>
      </c>
      <c r="AR13" s="84" t="b">
        <v>0</v>
      </c>
      <c r="AS13" s="84" t="b">
        <v>0</v>
      </c>
      <c r="AT13" s="84" t="b">
        <v>1</v>
      </c>
      <c r="AU13" s="84"/>
      <c r="AV13" s="84">
        <v>17</v>
      </c>
      <c r="AW13" s="88" t="str">
        <f>HYPERLINK("https://abs.twimg.com/images/themes/theme15/bg.png")</f>
        <v>https://abs.twimg.com/images/themes/theme15/bg.png</v>
      </c>
      <c r="AX13" s="84" t="b">
        <v>0</v>
      </c>
      <c r="AY13" s="84" t="s">
        <v>615</v>
      </c>
      <c r="AZ13" s="88" t="str">
        <f>HYPERLINK("https://twitter.com/jonnygucks")</f>
        <v>https://twitter.com/jonnygucks</v>
      </c>
      <c r="BA13" s="84" t="s">
        <v>66</v>
      </c>
      <c r="BB13" s="84" t="str">
        <f>REPLACE(INDEX(GroupVertices[Group],MATCH(Vertices[[#This Row],[Vertex]],GroupVertices[Vertex],0)),1,1,"")</f>
        <v>1</v>
      </c>
      <c r="BC13" s="51"/>
      <c r="BD13" s="51"/>
      <c r="BE13" s="51"/>
      <c r="BF13" s="51"/>
      <c r="BG13" s="51" t="s">
        <v>328</v>
      </c>
      <c r="BH13" s="51" t="s">
        <v>328</v>
      </c>
      <c r="BI13" s="123" t="s">
        <v>836</v>
      </c>
      <c r="BJ13" s="123" t="s">
        <v>836</v>
      </c>
      <c r="BK13" s="123" t="s">
        <v>862</v>
      </c>
      <c r="BL13" s="123" t="s">
        <v>862</v>
      </c>
      <c r="BM13" s="123">
        <v>2</v>
      </c>
      <c r="BN13" s="126">
        <v>5.882352941176471</v>
      </c>
      <c r="BO13" s="123">
        <v>0</v>
      </c>
      <c r="BP13" s="126">
        <v>0</v>
      </c>
      <c r="BQ13" s="123">
        <v>0</v>
      </c>
      <c r="BR13" s="126">
        <v>0</v>
      </c>
      <c r="BS13" s="123">
        <v>32</v>
      </c>
      <c r="BT13" s="126">
        <v>94.11764705882354</v>
      </c>
      <c r="BU13" s="123">
        <v>34</v>
      </c>
      <c r="BV13" s="2"/>
      <c r="BW13" s="3"/>
      <c r="BX13" s="3"/>
      <c r="BY13" s="3"/>
      <c r="BZ13" s="3"/>
    </row>
    <row r="14" spans="1:78" ht="41.45" customHeight="1">
      <c r="A14" s="14" t="s">
        <v>259</v>
      </c>
      <c r="C14" s="15"/>
      <c r="D14" s="15" t="s">
        <v>64</v>
      </c>
      <c r="E14" s="94">
        <v>206.571941426547</v>
      </c>
      <c r="F14" s="80">
        <v>99.82509190700564</v>
      </c>
      <c r="G14" s="113" t="str">
        <f>HYPERLINK("https://pbs.twimg.com/profile_images/1327657470840467459/LZvw0TTK_normal.jpg")</f>
        <v>https://pbs.twimg.com/profile_images/1327657470840467459/LZvw0TTK_normal.jpg</v>
      </c>
      <c r="H14" s="15"/>
      <c r="I14" s="16" t="s">
        <v>259</v>
      </c>
      <c r="J14" s="67"/>
      <c r="K14" s="67"/>
      <c r="L14" s="115" t="s">
        <v>626</v>
      </c>
      <c r="M14" s="95">
        <v>59.29103712525242</v>
      </c>
      <c r="N14" s="96">
        <v>6932.7431640625</v>
      </c>
      <c r="O14" s="96">
        <v>2733.290771484375</v>
      </c>
      <c r="P14" s="78"/>
      <c r="Q14" s="97"/>
      <c r="R14" s="97"/>
      <c r="S14" s="98"/>
      <c r="T14" s="51">
        <v>0</v>
      </c>
      <c r="U14" s="51">
        <v>5</v>
      </c>
      <c r="V14" s="52">
        <v>44</v>
      </c>
      <c r="W14" s="52">
        <v>0.071429</v>
      </c>
      <c r="X14" s="52">
        <v>0</v>
      </c>
      <c r="Y14" s="52">
        <v>2.585245</v>
      </c>
      <c r="Z14" s="52">
        <v>0</v>
      </c>
      <c r="AA14" s="52">
        <v>0</v>
      </c>
      <c r="AB14" s="81">
        <v>14</v>
      </c>
      <c r="AC14" s="81"/>
      <c r="AD14" s="99"/>
      <c r="AE14" s="84" t="s">
        <v>512</v>
      </c>
      <c r="AF14" s="92" t="s">
        <v>544</v>
      </c>
      <c r="AG14" s="84">
        <v>1124</v>
      </c>
      <c r="AH14" s="84">
        <v>565</v>
      </c>
      <c r="AI14" s="84">
        <v>1387</v>
      </c>
      <c r="AJ14" s="84">
        <v>4169</v>
      </c>
      <c r="AK14" s="84"/>
      <c r="AL14" s="84" t="s">
        <v>574</v>
      </c>
      <c r="AM14" s="84"/>
      <c r="AN14" s="84"/>
      <c r="AO14" s="84"/>
      <c r="AP14" s="86">
        <v>42049.772627314815</v>
      </c>
      <c r="AQ14" s="88" t="str">
        <f>HYPERLINK("https://pbs.twimg.com/profile_banners/3037358518/1582738877")</f>
        <v>https://pbs.twimg.com/profile_banners/3037358518/1582738877</v>
      </c>
      <c r="AR14" s="84" t="b">
        <v>1</v>
      </c>
      <c r="AS14" s="84" t="b">
        <v>0</v>
      </c>
      <c r="AT14" s="84" t="b">
        <v>0</v>
      </c>
      <c r="AU14" s="84"/>
      <c r="AV14" s="84">
        <v>5</v>
      </c>
      <c r="AW14" s="88" t="str">
        <f>HYPERLINK("https://abs.twimg.com/images/themes/theme1/bg.png")</f>
        <v>https://abs.twimg.com/images/themes/theme1/bg.png</v>
      </c>
      <c r="AX14" s="84" t="b">
        <v>0</v>
      </c>
      <c r="AY14" s="84" t="s">
        <v>615</v>
      </c>
      <c r="AZ14" s="88" t="str">
        <f>HYPERLINK("https://twitter.com/michellegyenes")</f>
        <v>https://twitter.com/michellegyenes</v>
      </c>
      <c r="BA14" s="84" t="s">
        <v>66</v>
      </c>
      <c r="BB14" s="84" t="str">
        <f>REPLACE(INDEX(GroupVertices[Group],MATCH(Vertices[[#This Row],[Vertex]],GroupVertices[Vertex],0)),1,1,"")</f>
        <v>2</v>
      </c>
      <c r="BC14" s="51"/>
      <c r="BD14" s="51"/>
      <c r="BE14" s="51"/>
      <c r="BF14" s="51"/>
      <c r="BG14" s="51" t="s">
        <v>328</v>
      </c>
      <c r="BH14" s="51" t="s">
        <v>328</v>
      </c>
      <c r="BI14" s="123" t="s">
        <v>837</v>
      </c>
      <c r="BJ14" s="123" t="s">
        <v>837</v>
      </c>
      <c r="BK14" s="123" t="s">
        <v>863</v>
      </c>
      <c r="BL14" s="123" t="s">
        <v>863</v>
      </c>
      <c r="BM14" s="123">
        <v>3</v>
      </c>
      <c r="BN14" s="126">
        <v>2.9702970297029703</v>
      </c>
      <c r="BO14" s="123">
        <v>1</v>
      </c>
      <c r="BP14" s="126">
        <v>0.9900990099009901</v>
      </c>
      <c r="BQ14" s="123">
        <v>0</v>
      </c>
      <c r="BR14" s="126">
        <v>0</v>
      </c>
      <c r="BS14" s="123">
        <v>97</v>
      </c>
      <c r="BT14" s="126">
        <v>96.03960396039604</v>
      </c>
      <c r="BU14" s="123">
        <v>101</v>
      </c>
      <c r="BV14" s="2"/>
      <c r="BW14" s="3"/>
      <c r="BX14" s="3"/>
      <c r="BY14" s="3"/>
      <c r="BZ14" s="3"/>
    </row>
    <row r="15" spans="1:78" ht="41.45" customHeight="1">
      <c r="A15" s="14" t="s">
        <v>276</v>
      </c>
      <c r="C15" s="15"/>
      <c r="D15" s="15" t="s">
        <v>64</v>
      </c>
      <c r="E15" s="94">
        <v>1000</v>
      </c>
      <c r="F15" s="80">
        <v>96.71154144876508</v>
      </c>
      <c r="G15" s="113" t="str">
        <f>HYPERLINK("https://pbs.twimg.com/profile_images/1255055064084946950/uIW95lAf_normal.jpg")</f>
        <v>https://pbs.twimg.com/profile_images/1255055064084946950/uIW95lAf_normal.jpg</v>
      </c>
      <c r="H15" s="15"/>
      <c r="I15" s="16" t="s">
        <v>276</v>
      </c>
      <c r="J15" s="67"/>
      <c r="K15" s="67"/>
      <c r="L15" s="115" t="s">
        <v>627</v>
      </c>
      <c r="M15" s="95">
        <v>1096.9336198415574</v>
      </c>
      <c r="N15" s="96">
        <v>7675.63818359375</v>
      </c>
      <c r="O15" s="96">
        <v>4153.48095703125</v>
      </c>
      <c r="P15" s="78"/>
      <c r="Q15" s="97"/>
      <c r="R15" s="97"/>
      <c r="S15" s="98"/>
      <c r="T15" s="51">
        <v>1</v>
      </c>
      <c r="U15" s="51">
        <v>0</v>
      </c>
      <c r="V15" s="52">
        <v>0</v>
      </c>
      <c r="W15" s="52">
        <v>0.047619</v>
      </c>
      <c r="X15" s="52">
        <v>0</v>
      </c>
      <c r="Y15" s="52">
        <v>0.58949</v>
      </c>
      <c r="Z15" s="52">
        <v>0</v>
      </c>
      <c r="AA15" s="52">
        <v>0</v>
      </c>
      <c r="AB15" s="81">
        <v>15</v>
      </c>
      <c r="AC15" s="81"/>
      <c r="AD15" s="99"/>
      <c r="AE15" s="84" t="s">
        <v>513</v>
      </c>
      <c r="AF15" s="92" t="s">
        <v>545</v>
      </c>
      <c r="AG15" s="84">
        <v>5919</v>
      </c>
      <c r="AH15" s="84">
        <v>10587</v>
      </c>
      <c r="AI15" s="84">
        <v>53893</v>
      </c>
      <c r="AJ15" s="84">
        <v>7460</v>
      </c>
      <c r="AK15" s="84"/>
      <c r="AL15" s="84" t="s">
        <v>575</v>
      </c>
      <c r="AM15" s="84" t="s">
        <v>598</v>
      </c>
      <c r="AN15" s="88" t="str">
        <f>HYPERLINK("https://t.co/rFpGly1SJx")</f>
        <v>https://t.co/rFpGly1SJx</v>
      </c>
      <c r="AO15" s="84"/>
      <c r="AP15" s="86">
        <v>39939.720046296294</v>
      </c>
      <c r="AQ15" s="88" t="str">
        <f>HYPERLINK("https://pbs.twimg.com/profile_banners/38226816/1487683150")</f>
        <v>https://pbs.twimg.com/profile_banners/38226816/1487683150</v>
      </c>
      <c r="AR15" s="84" t="b">
        <v>0</v>
      </c>
      <c r="AS15" s="84" t="b">
        <v>0</v>
      </c>
      <c r="AT15" s="84" t="b">
        <v>1</v>
      </c>
      <c r="AU15" s="84"/>
      <c r="AV15" s="84">
        <v>261</v>
      </c>
      <c r="AW15" s="88" t="str">
        <f>HYPERLINK("https://abs.twimg.com/images/themes/theme3/bg.gif")</f>
        <v>https://abs.twimg.com/images/themes/theme3/bg.gif</v>
      </c>
      <c r="AX15" s="84" t="b">
        <v>0</v>
      </c>
      <c r="AY15" s="84" t="s">
        <v>615</v>
      </c>
      <c r="AZ15" s="88" t="str">
        <f>HYPERLINK("https://twitter.com/ucdmedicine")</f>
        <v>https://twitter.com/ucdmedicine</v>
      </c>
      <c r="BA15" s="84" t="s">
        <v>65</v>
      </c>
      <c r="BB15" s="84" t="str">
        <f>REPLACE(INDEX(GroupVertices[Group],MATCH(Vertices[[#This Row],[Vertex]],GroupVertices[Vertex],0)),1,1,"")</f>
        <v>2</v>
      </c>
      <c r="BC15" s="51"/>
      <c r="BD15" s="51"/>
      <c r="BE15" s="51"/>
      <c r="BF15" s="51"/>
      <c r="BG15" s="51"/>
      <c r="BH15" s="51"/>
      <c r="BI15" s="51"/>
      <c r="BJ15" s="51"/>
      <c r="BK15" s="51"/>
      <c r="BL15" s="51"/>
      <c r="BM15" s="51"/>
      <c r="BN15" s="52"/>
      <c r="BO15" s="51"/>
      <c r="BP15" s="52"/>
      <c r="BQ15" s="51"/>
      <c r="BR15" s="52"/>
      <c r="BS15" s="51"/>
      <c r="BT15" s="52"/>
      <c r="BU15" s="51"/>
      <c r="BV15" s="2"/>
      <c r="BW15" s="3"/>
      <c r="BX15" s="3"/>
      <c r="BY15" s="3"/>
      <c r="BZ15" s="3"/>
    </row>
    <row r="16" spans="1:78" ht="41.45" customHeight="1">
      <c r="A16" s="14" t="s">
        <v>277</v>
      </c>
      <c r="C16" s="15"/>
      <c r="D16" s="15" t="s">
        <v>64</v>
      </c>
      <c r="E16" s="94">
        <v>189.1548417572036</v>
      </c>
      <c r="F16" s="80">
        <v>99.89343965204785</v>
      </c>
      <c r="G16" s="113" t="str">
        <f>HYPERLINK("https://pbs.twimg.com/profile_images/937790847357202433/FTMuEffc_normal.jpg")</f>
        <v>https://pbs.twimg.com/profile_images/937790847357202433/FTMuEffc_normal.jpg</v>
      </c>
      <c r="H16" s="15"/>
      <c r="I16" s="16" t="s">
        <v>277</v>
      </c>
      <c r="J16" s="67"/>
      <c r="K16" s="67"/>
      <c r="L16" s="115" t="s">
        <v>628</v>
      </c>
      <c r="M16" s="95">
        <v>36.51301196085538</v>
      </c>
      <c r="N16" s="96">
        <v>7686.63134765625</v>
      </c>
      <c r="O16" s="96">
        <v>1890.148681640625</v>
      </c>
      <c r="P16" s="78"/>
      <c r="Q16" s="97"/>
      <c r="R16" s="97"/>
      <c r="S16" s="98"/>
      <c r="T16" s="51">
        <v>1</v>
      </c>
      <c r="U16" s="51">
        <v>0</v>
      </c>
      <c r="V16" s="52">
        <v>0</v>
      </c>
      <c r="W16" s="52">
        <v>0.047619</v>
      </c>
      <c r="X16" s="52">
        <v>0</v>
      </c>
      <c r="Y16" s="52">
        <v>0.58949</v>
      </c>
      <c r="Z16" s="52">
        <v>0</v>
      </c>
      <c r="AA16" s="52">
        <v>0</v>
      </c>
      <c r="AB16" s="81">
        <v>16</v>
      </c>
      <c r="AC16" s="81"/>
      <c r="AD16" s="99"/>
      <c r="AE16" s="84" t="s">
        <v>514</v>
      </c>
      <c r="AF16" s="92" t="s">
        <v>546</v>
      </c>
      <c r="AG16" s="84">
        <v>118</v>
      </c>
      <c r="AH16" s="84">
        <v>345</v>
      </c>
      <c r="AI16" s="84">
        <v>191</v>
      </c>
      <c r="AJ16" s="84">
        <v>255</v>
      </c>
      <c r="AK16" s="84"/>
      <c r="AL16" s="84"/>
      <c r="AM16" s="84"/>
      <c r="AN16" s="84"/>
      <c r="AO16" s="84"/>
      <c r="AP16" s="86">
        <v>42235.58189814815</v>
      </c>
      <c r="AQ16" s="88" t="str">
        <f>HYPERLINK("https://pbs.twimg.com/profile_banners/3431477271/1512421778")</f>
        <v>https://pbs.twimg.com/profile_banners/3431477271/1512421778</v>
      </c>
      <c r="AR16" s="84" t="b">
        <v>1</v>
      </c>
      <c r="AS16" s="84" t="b">
        <v>0</v>
      </c>
      <c r="AT16" s="84" t="b">
        <v>0</v>
      </c>
      <c r="AU16" s="84"/>
      <c r="AV16" s="84">
        <v>1</v>
      </c>
      <c r="AW16" s="88" t="str">
        <f>HYPERLINK("https://abs.twimg.com/images/themes/theme1/bg.png")</f>
        <v>https://abs.twimg.com/images/themes/theme1/bg.png</v>
      </c>
      <c r="AX16" s="84" t="b">
        <v>0</v>
      </c>
      <c r="AY16" s="84" t="s">
        <v>615</v>
      </c>
      <c r="AZ16" s="88" t="str">
        <f>HYPERLINK("https://twitter.com/ingridhoeritza1")</f>
        <v>https://twitter.com/ingridhoeritza1</v>
      </c>
      <c r="BA16" s="84" t="s">
        <v>65</v>
      </c>
      <c r="BB16" s="84" t="str">
        <f>REPLACE(INDEX(GroupVertices[Group],MATCH(Vertices[[#This Row],[Vertex]],GroupVertices[Vertex],0)),1,1,"")</f>
        <v>2</v>
      </c>
      <c r="BC16" s="51"/>
      <c r="BD16" s="51"/>
      <c r="BE16" s="51"/>
      <c r="BF16" s="51"/>
      <c r="BG16" s="51"/>
      <c r="BH16" s="51"/>
      <c r="BI16" s="51"/>
      <c r="BJ16" s="51"/>
      <c r="BK16" s="51"/>
      <c r="BL16" s="51"/>
      <c r="BM16" s="51"/>
      <c r="BN16" s="52"/>
      <c r="BO16" s="51"/>
      <c r="BP16" s="52"/>
      <c r="BQ16" s="51"/>
      <c r="BR16" s="52"/>
      <c r="BS16" s="51"/>
      <c r="BT16" s="52"/>
      <c r="BU16" s="51"/>
      <c r="BV16" s="2"/>
      <c r="BW16" s="3"/>
      <c r="BX16" s="3"/>
      <c r="BY16" s="3"/>
      <c r="BZ16" s="3"/>
    </row>
    <row r="17" spans="1:78" ht="41.45" customHeight="1">
      <c r="A17" s="14" t="s">
        <v>278</v>
      </c>
      <c r="C17" s="15"/>
      <c r="D17" s="15" t="s">
        <v>64</v>
      </c>
      <c r="E17" s="94">
        <v>591.569012753897</v>
      </c>
      <c r="F17" s="80">
        <v>98.31429607000466</v>
      </c>
      <c r="G17" s="113" t="str">
        <f>HYPERLINK("https://pbs.twimg.com/profile_images/1122842407190564864/y_YkVKnX_normal.png")</f>
        <v>https://pbs.twimg.com/profile_images/1122842407190564864/y_YkVKnX_normal.png</v>
      </c>
      <c r="H17" s="15"/>
      <c r="I17" s="16" t="s">
        <v>278</v>
      </c>
      <c r="J17" s="67"/>
      <c r="K17" s="67"/>
      <c r="L17" s="115" t="s">
        <v>629</v>
      </c>
      <c r="M17" s="95">
        <v>562.7889297364469</v>
      </c>
      <c r="N17" s="96">
        <v>7045.37158203125</v>
      </c>
      <c r="O17" s="96">
        <v>328.5542297363281</v>
      </c>
      <c r="P17" s="78"/>
      <c r="Q17" s="97"/>
      <c r="R17" s="97"/>
      <c r="S17" s="98"/>
      <c r="T17" s="51">
        <v>1</v>
      </c>
      <c r="U17" s="51">
        <v>0</v>
      </c>
      <c r="V17" s="52">
        <v>0</v>
      </c>
      <c r="W17" s="52">
        <v>0.047619</v>
      </c>
      <c r="X17" s="52">
        <v>0</v>
      </c>
      <c r="Y17" s="52">
        <v>0.58949</v>
      </c>
      <c r="Z17" s="52">
        <v>0</v>
      </c>
      <c r="AA17" s="52">
        <v>0</v>
      </c>
      <c r="AB17" s="81">
        <v>17</v>
      </c>
      <c r="AC17" s="81"/>
      <c r="AD17" s="99"/>
      <c r="AE17" s="84" t="s">
        <v>515</v>
      </c>
      <c r="AF17" s="92" t="s">
        <v>547</v>
      </c>
      <c r="AG17" s="84">
        <v>448</v>
      </c>
      <c r="AH17" s="84">
        <v>5428</v>
      </c>
      <c r="AI17" s="84">
        <v>5456</v>
      </c>
      <c r="AJ17" s="84">
        <v>4164</v>
      </c>
      <c r="AK17" s="84"/>
      <c r="AL17" s="84" t="s">
        <v>576</v>
      </c>
      <c r="AM17" s="84" t="s">
        <v>599</v>
      </c>
      <c r="AN17" s="88" t="str">
        <f>HYPERLINK("http://t.co/33KVawga1W")</f>
        <v>http://t.co/33KVawga1W</v>
      </c>
      <c r="AO17" s="84"/>
      <c r="AP17" s="86">
        <v>39848.6384375</v>
      </c>
      <c r="AQ17" s="88" t="str">
        <f>HYPERLINK("https://pbs.twimg.com/profile_banners/20060190/1609771319")</f>
        <v>https://pbs.twimg.com/profile_banners/20060190/1609771319</v>
      </c>
      <c r="AR17" s="84" t="b">
        <v>0</v>
      </c>
      <c r="AS17" s="84" t="b">
        <v>0</v>
      </c>
      <c r="AT17" s="84" t="b">
        <v>1</v>
      </c>
      <c r="AU17" s="84"/>
      <c r="AV17" s="84">
        <v>139</v>
      </c>
      <c r="AW17" s="88" t="str">
        <f>HYPERLINK("https://abs.twimg.com/images/themes/theme9/bg.gif")</f>
        <v>https://abs.twimg.com/images/themes/theme9/bg.gif</v>
      </c>
      <c r="AX17" s="84" t="b">
        <v>0</v>
      </c>
      <c r="AY17" s="84" t="s">
        <v>615</v>
      </c>
      <c r="AZ17" s="88" t="str">
        <f>HYPERLINK("https://twitter.com/dalmedschool")</f>
        <v>https://twitter.com/dalmedschool</v>
      </c>
      <c r="BA17" s="84" t="s">
        <v>65</v>
      </c>
      <c r="BB17" s="84" t="str">
        <f>REPLACE(INDEX(GroupVertices[Group],MATCH(Vertices[[#This Row],[Vertex]],GroupVertices[Vertex],0)),1,1,"")</f>
        <v>2</v>
      </c>
      <c r="BC17" s="51"/>
      <c r="BD17" s="51"/>
      <c r="BE17" s="51"/>
      <c r="BF17" s="51"/>
      <c r="BG17" s="51"/>
      <c r="BH17" s="51"/>
      <c r="BI17" s="51"/>
      <c r="BJ17" s="51"/>
      <c r="BK17" s="51"/>
      <c r="BL17" s="51"/>
      <c r="BM17" s="51"/>
      <c r="BN17" s="52"/>
      <c r="BO17" s="51"/>
      <c r="BP17" s="52"/>
      <c r="BQ17" s="51"/>
      <c r="BR17" s="52"/>
      <c r="BS17" s="51"/>
      <c r="BT17" s="52"/>
      <c r="BU17" s="51"/>
      <c r="BV17" s="2"/>
      <c r="BW17" s="3"/>
      <c r="BX17" s="3"/>
      <c r="BY17" s="3"/>
      <c r="BZ17" s="3"/>
    </row>
    <row r="18" spans="1:78" ht="41.45" customHeight="1">
      <c r="A18" s="14" t="s">
        <v>279</v>
      </c>
      <c r="C18" s="15"/>
      <c r="D18" s="15" t="s">
        <v>64</v>
      </c>
      <c r="E18" s="94">
        <v>187.4923004251299</v>
      </c>
      <c r="F18" s="80">
        <v>99.89996375498369</v>
      </c>
      <c r="G18" s="113" t="str">
        <f>HYPERLINK("https://pbs.twimg.com/profile_images/1358282093/pcroskerry_web_normal.jpg")</f>
        <v>https://pbs.twimg.com/profile_images/1358282093/pcroskerry_web_normal.jpg</v>
      </c>
      <c r="H18" s="15"/>
      <c r="I18" s="16" t="s">
        <v>279</v>
      </c>
      <c r="J18" s="67"/>
      <c r="K18" s="67"/>
      <c r="L18" s="115" t="s">
        <v>630</v>
      </c>
      <c r="M18" s="95">
        <v>34.33874592243566</v>
      </c>
      <c r="N18" s="96">
        <v>6315.64404296875</v>
      </c>
      <c r="O18" s="96">
        <v>841.5665893554688</v>
      </c>
      <c r="P18" s="78"/>
      <c r="Q18" s="97"/>
      <c r="R18" s="97"/>
      <c r="S18" s="98"/>
      <c r="T18" s="51">
        <v>1</v>
      </c>
      <c r="U18" s="51">
        <v>0</v>
      </c>
      <c r="V18" s="52">
        <v>0</v>
      </c>
      <c r="W18" s="52">
        <v>0.047619</v>
      </c>
      <c r="X18" s="52">
        <v>0</v>
      </c>
      <c r="Y18" s="52">
        <v>0.58949</v>
      </c>
      <c r="Z18" s="52">
        <v>0</v>
      </c>
      <c r="AA18" s="52">
        <v>0</v>
      </c>
      <c r="AB18" s="81">
        <v>18</v>
      </c>
      <c r="AC18" s="81"/>
      <c r="AD18" s="99"/>
      <c r="AE18" s="84" t="s">
        <v>516</v>
      </c>
      <c r="AF18" s="92" t="s">
        <v>548</v>
      </c>
      <c r="AG18" s="84">
        <v>0</v>
      </c>
      <c r="AH18" s="84">
        <v>324</v>
      </c>
      <c r="AI18" s="84">
        <v>0</v>
      </c>
      <c r="AJ18" s="84">
        <v>0</v>
      </c>
      <c r="AK18" s="84"/>
      <c r="AL18" s="84"/>
      <c r="AM18" s="84" t="s">
        <v>600</v>
      </c>
      <c r="AN18" s="88" t="str">
        <f>HYPERLINK("http://t.co/TgCfLpOWn8")</f>
        <v>http://t.co/TgCfLpOWn8</v>
      </c>
      <c r="AO18" s="84"/>
      <c r="AP18" s="86">
        <v>40680.785625</v>
      </c>
      <c r="AQ18" s="84"/>
      <c r="AR18" s="84" t="b">
        <v>0</v>
      </c>
      <c r="AS18" s="84" t="b">
        <v>0</v>
      </c>
      <c r="AT18" s="84" t="b">
        <v>0</v>
      </c>
      <c r="AU18" s="84"/>
      <c r="AV18" s="84">
        <v>4</v>
      </c>
      <c r="AW18" s="88" t="str">
        <f>HYPERLINK("https://abs.twimg.com/images/themes/theme1/bg.png")</f>
        <v>https://abs.twimg.com/images/themes/theme1/bg.png</v>
      </c>
      <c r="AX18" s="84" t="b">
        <v>0</v>
      </c>
      <c r="AY18" s="84" t="s">
        <v>615</v>
      </c>
      <c r="AZ18" s="88" t="str">
        <f>HYPERLINK("https://twitter.com/patcroskerry")</f>
        <v>https://twitter.com/patcroskerry</v>
      </c>
      <c r="BA18" s="84" t="s">
        <v>65</v>
      </c>
      <c r="BB18" s="84" t="str">
        <f>REPLACE(INDEX(GroupVertices[Group],MATCH(Vertices[[#This Row],[Vertex]],GroupVertices[Vertex],0)),1,1,"")</f>
        <v>2</v>
      </c>
      <c r="BC18" s="51"/>
      <c r="BD18" s="51"/>
      <c r="BE18" s="51"/>
      <c r="BF18" s="51"/>
      <c r="BG18" s="51"/>
      <c r="BH18" s="51"/>
      <c r="BI18" s="51"/>
      <c r="BJ18" s="51"/>
      <c r="BK18" s="51"/>
      <c r="BL18" s="51"/>
      <c r="BM18" s="51"/>
      <c r="BN18" s="52"/>
      <c r="BO18" s="51"/>
      <c r="BP18" s="52"/>
      <c r="BQ18" s="51"/>
      <c r="BR18" s="52"/>
      <c r="BS18" s="51"/>
      <c r="BT18" s="52"/>
      <c r="BU18" s="51"/>
      <c r="BV18" s="2"/>
      <c r="BW18" s="3"/>
      <c r="BX18" s="3"/>
      <c r="BY18" s="3"/>
      <c r="BZ18" s="3"/>
    </row>
    <row r="19" spans="1:78" ht="41.45" customHeight="1">
      <c r="A19" s="14" t="s">
        <v>280</v>
      </c>
      <c r="C19" s="15"/>
      <c r="D19" s="15" t="s">
        <v>64</v>
      </c>
      <c r="E19" s="94">
        <v>171.81691072272082</v>
      </c>
      <c r="F19" s="80">
        <v>99.96147672552166</v>
      </c>
      <c r="G19" s="113" t="str">
        <f>HYPERLINK("https://pbs.twimg.com/profile_images/1012708681664716801/EvMHxhJP_normal.jpg")</f>
        <v>https://pbs.twimg.com/profile_images/1012708681664716801/EvMHxhJP_normal.jpg</v>
      </c>
      <c r="H19" s="15"/>
      <c r="I19" s="16" t="s">
        <v>280</v>
      </c>
      <c r="J19" s="67"/>
      <c r="K19" s="67"/>
      <c r="L19" s="115" t="s">
        <v>631</v>
      </c>
      <c r="M19" s="95">
        <v>13.83852327447833</v>
      </c>
      <c r="N19" s="96">
        <v>6442.0712890625</v>
      </c>
      <c r="O19" s="96">
        <v>4572.41259765625</v>
      </c>
      <c r="P19" s="78"/>
      <c r="Q19" s="97"/>
      <c r="R19" s="97"/>
      <c r="S19" s="98"/>
      <c r="T19" s="51">
        <v>2</v>
      </c>
      <c r="U19" s="51">
        <v>0</v>
      </c>
      <c r="V19" s="52">
        <v>30</v>
      </c>
      <c r="W19" s="52">
        <v>0.066667</v>
      </c>
      <c r="X19" s="52">
        <v>0</v>
      </c>
      <c r="Y19" s="52">
        <v>1.014079</v>
      </c>
      <c r="Z19" s="52">
        <v>0</v>
      </c>
      <c r="AA19" s="52">
        <v>0</v>
      </c>
      <c r="AB19" s="81">
        <v>19</v>
      </c>
      <c r="AC19" s="81"/>
      <c r="AD19" s="99"/>
      <c r="AE19" s="84" t="s">
        <v>517</v>
      </c>
      <c r="AF19" s="92" t="s">
        <v>471</v>
      </c>
      <c r="AG19" s="84">
        <v>147</v>
      </c>
      <c r="AH19" s="84">
        <v>126</v>
      </c>
      <c r="AI19" s="84">
        <v>23</v>
      </c>
      <c r="AJ19" s="84">
        <v>111</v>
      </c>
      <c r="AK19" s="84"/>
      <c r="AL19" s="84" t="s">
        <v>577</v>
      </c>
      <c r="AM19" s="84" t="s">
        <v>601</v>
      </c>
      <c r="AN19" s="84"/>
      <c r="AO19" s="84"/>
      <c r="AP19" s="86">
        <v>43179.636875</v>
      </c>
      <c r="AQ19" s="88" t="str">
        <f>HYPERLINK("https://pbs.twimg.com/profile_banners/976115421458944002/1530283949")</f>
        <v>https://pbs.twimg.com/profile_banners/976115421458944002/1530283949</v>
      </c>
      <c r="AR19" s="84" t="b">
        <v>1</v>
      </c>
      <c r="AS19" s="84" t="b">
        <v>0</v>
      </c>
      <c r="AT19" s="84" t="b">
        <v>0</v>
      </c>
      <c r="AU19" s="84"/>
      <c r="AV19" s="84">
        <v>0</v>
      </c>
      <c r="AW19" s="84"/>
      <c r="AX19" s="84" t="b">
        <v>0</v>
      </c>
      <c r="AY19" s="84" t="s">
        <v>615</v>
      </c>
      <c r="AZ19" s="88" t="str">
        <f>HYPERLINK("https://twitter.com/symptomsofsvd")</f>
        <v>https://twitter.com/symptomsofsvd</v>
      </c>
      <c r="BA19" s="84" t="s">
        <v>65</v>
      </c>
      <c r="BB19" s="84" t="str">
        <f>REPLACE(INDEX(GroupVertices[Group],MATCH(Vertices[[#This Row],[Vertex]],GroupVertices[Vertex],0)),1,1,"")</f>
        <v>2</v>
      </c>
      <c r="BC19" s="51"/>
      <c r="BD19" s="51"/>
      <c r="BE19" s="51"/>
      <c r="BF19" s="51"/>
      <c r="BG19" s="51"/>
      <c r="BH19" s="51"/>
      <c r="BI19" s="51"/>
      <c r="BJ19" s="51"/>
      <c r="BK19" s="51"/>
      <c r="BL19" s="51"/>
      <c r="BM19" s="51"/>
      <c r="BN19" s="52"/>
      <c r="BO19" s="51"/>
      <c r="BP19" s="52"/>
      <c r="BQ19" s="51"/>
      <c r="BR19" s="52"/>
      <c r="BS19" s="51"/>
      <c r="BT19" s="52"/>
      <c r="BU19" s="51"/>
      <c r="BV19" s="2"/>
      <c r="BW19" s="3"/>
      <c r="BX19" s="3"/>
      <c r="BY19" s="3"/>
      <c r="BZ19" s="3"/>
    </row>
    <row r="20" spans="1:78" ht="41.45" customHeight="1">
      <c r="A20" s="14" t="s">
        <v>260</v>
      </c>
      <c r="C20" s="15"/>
      <c r="D20" s="15" t="s">
        <v>64</v>
      </c>
      <c r="E20" s="94">
        <v>164.85007085498347</v>
      </c>
      <c r="F20" s="80">
        <v>99.98881582353854</v>
      </c>
      <c r="G20" s="113" t="str">
        <f>HYPERLINK("https://pbs.twimg.com/profile_images/901168859218161669/3E64vPko_normal.jpg")</f>
        <v>https://pbs.twimg.com/profile_images/901168859218161669/3E64vPko_normal.jpg</v>
      </c>
      <c r="H20" s="15"/>
      <c r="I20" s="16" t="s">
        <v>260</v>
      </c>
      <c r="J20" s="67"/>
      <c r="K20" s="67"/>
      <c r="L20" s="115" t="s">
        <v>632</v>
      </c>
      <c r="M20" s="95">
        <v>4.727313208719515</v>
      </c>
      <c r="N20" s="96">
        <v>159.4736785888672</v>
      </c>
      <c r="O20" s="96">
        <v>3647.412353515625</v>
      </c>
      <c r="P20" s="78"/>
      <c r="Q20" s="97"/>
      <c r="R20" s="97"/>
      <c r="S20" s="98"/>
      <c r="T20" s="51">
        <v>0</v>
      </c>
      <c r="U20" s="51">
        <v>2</v>
      </c>
      <c r="V20" s="52">
        <v>0</v>
      </c>
      <c r="W20" s="52">
        <v>0.027778</v>
      </c>
      <c r="X20" s="52">
        <v>0.047878</v>
      </c>
      <c r="Y20" s="52">
        <v>0.72918</v>
      </c>
      <c r="Z20" s="52">
        <v>0.5</v>
      </c>
      <c r="AA20" s="52">
        <v>0</v>
      </c>
      <c r="AB20" s="81">
        <v>20</v>
      </c>
      <c r="AC20" s="81"/>
      <c r="AD20" s="99"/>
      <c r="AE20" s="84" t="s">
        <v>518</v>
      </c>
      <c r="AF20" s="92" t="s">
        <v>549</v>
      </c>
      <c r="AG20" s="84">
        <v>219</v>
      </c>
      <c r="AH20" s="84">
        <v>38</v>
      </c>
      <c r="AI20" s="84">
        <v>119</v>
      </c>
      <c r="AJ20" s="84">
        <v>762</v>
      </c>
      <c r="AK20" s="84"/>
      <c r="AL20" s="84"/>
      <c r="AM20" s="84" t="s">
        <v>602</v>
      </c>
      <c r="AN20" s="84"/>
      <c r="AO20" s="84"/>
      <c r="AP20" s="86">
        <v>42486.879375</v>
      </c>
      <c r="AQ20" s="88" t="str">
        <f>HYPERLINK("https://pbs.twimg.com/profile_banners/725068509542240258/1503690433")</f>
        <v>https://pbs.twimg.com/profile_banners/725068509542240258/1503690433</v>
      </c>
      <c r="AR20" s="84" t="b">
        <v>1</v>
      </c>
      <c r="AS20" s="84" t="b">
        <v>0</v>
      </c>
      <c r="AT20" s="84" t="b">
        <v>0</v>
      </c>
      <c r="AU20" s="84"/>
      <c r="AV20" s="84">
        <v>0</v>
      </c>
      <c r="AW20" s="84"/>
      <c r="AX20" s="84" t="b">
        <v>0</v>
      </c>
      <c r="AY20" s="84" t="s">
        <v>615</v>
      </c>
      <c r="AZ20" s="88" t="str">
        <f>HYPERLINK("https://twitter.com/victor58110002")</f>
        <v>https://twitter.com/victor58110002</v>
      </c>
      <c r="BA20" s="84" t="s">
        <v>66</v>
      </c>
      <c r="BB20" s="84" t="str">
        <f>REPLACE(INDEX(GroupVertices[Group],MATCH(Vertices[[#This Row],[Vertex]],GroupVertices[Vertex],0)),1,1,"")</f>
        <v>1</v>
      </c>
      <c r="BC20" s="51" t="s">
        <v>664</v>
      </c>
      <c r="BD20" s="51" t="s">
        <v>664</v>
      </c>
      <c r="BE20" s="51" t="s">
        <v>325</v>
      </c>
      <c r="BF20" s="51" t="s">
        <v>325</v>
      </c>
      <c r="BG20" s="51" t="s">
        <v>328</v>
      </c>
      <c r="BH20" s="51" t="s">
        <v>328</v>
      </c>
      <c r="BI20" s="123" t="s">
        <v>838</v>
      </c>
      <c r="BJ20" s="123" t="s">
        <v>838</v>
      </c>
      <c r="BK20" s="123" t="s">
        <v>861</v>
      </c>
      <c r="BL20" s="123" t="s">
        <v>861</v>
      </c>
      <c r="BM20" s="123">
        <v>4</v>
      </c>
      <c r="BN20" s="126">
        <v>5.555555555555555</v>
      </c>
      <c r="BO20" s="123">
        <v>0</v>
      </c>
      <c r="BP20" s="126">
        <v>0</v>
      </c>
      <c r="BQ20" s="123">
        <v>0</v>
      </c>
      <c r="BR20" s="126">
        <v>0</v>
      </c>
      <c r="BS20" s="123">
        <v>68</v>
      </c>
      <c r="BT20" s="126">
        <v>94.44444444444444</v>
      </c>
      <c r="BU20" s="123">
        <v>72</v>
      </c>
      <c r="BV20" s="2"/>
      <c r="BW20" s="3"/>
      <c r="BX20" s="3"/>
      <c r="BY20" s="3"/>
      <c r="BZ20" s="3"/>
    </row>
    <row r="21" spans="1:78" ht="41.45" customHeight="1">
      <c r="A21" s="14" t="s">
        <v>261</v>
      </c>
      <c r="C21" s="15"/>
      <c r="D21" s="15" t="s">
        <v>64</v>
      </c>
      <c r="E21" s="94">
        <v>169.44185167690128</v>
      </c>
      <c r="F21" s="80">
        <v>99.97079687257288</v>
      </c>
      <c r="G21" s="113" t="str">
        <f>HYPERLINK("https://pbs.twimg.com/profile_images/880387782820204544/WWFwN3Hx_normal.jpg")</f>
        <v>https://pbs.twimg.com/profile_images/880387782820204544/WWFwN3Hx_normal.jpg</v>
      </c>
      <c r="H21" s="15"/>
      <c r="I21" s="16" t="s">
        <v>261</v>
      </c>
      <c r="J21" s="67"/>
      <c r="K21" s="67"/>
      <c r="L21" s="115" t="s">
        <v>633</v>
      </c>
      <c r="M21" s="95">
        <v>10.732428933878735</v>
      </c>
      <c r="N21" s="96">
        <v>5978.6943359375</v>
      </c>
      <c r="O21" s="96">
        <v>6309.1943359375</v>
      </c>
      <c r="P21" s="78"/>
      <c r="Q21" s="97"/>
      <c r="R21" s="97"/>
      <c r="S21" s="98"/>
      <c r="T21" s="51">
        <v>0</v>
      </c>
      <c r="U21" s="51">
        <v>2</v>
      </c>
      <c r="V21" s="52">
        <v>24</v>
      </c>
      <c r="W21" s="52">
        <v>0.055556</v>
      </c>
      <c r="X21" s="52">
        <v>0</v>
      </c>
      <c r="Y21" s="52">
        <v>0.999036</v>
      </c>
      <c r="Z21" s="52">
        <v>0</v>
      </c>
      <c r="AA21" s="52">
        <v>0</v>
      </c>
      <c r="AB21" s="81">
        <v>21</v>
      </c>
      <c r="AC21" s="81"/>
      <c r="AD21" s="99"/>
      <c r="AE21" s="84" t="s">
        <v>519</v>
      </c>
      <c r="AF21" s="92" t="s">
        <v>550</v>
      </c>
      <c r="AG21" s="84">
        <v>289</v>
      </c>
      <c r="AH21" s="84">
        <v>96</v>
      </c>
      <c r="AI21" s="84">
        <v>149</v>
      </c>
      <c r="AJ21" s="84">
        <v>598</v>
      </c>
      <c r="AK21" s="84"/>
      <c r="AL21" s="84" t="s">
        <v>578</v>
      </c>
      <c r="AM21" s="84" t="s">
        <v>603</v>
      </c>
      <c r="AN21" s="84"/>
      <c r="AO21" s="84"/>
      <c r="AP21" s="86">
        <v>42314.413773148146</v>
      </c>
      <c r="AQ21" s="88" t="str">
        <f>HYPERLINK("https://pbs.twimg.com/profile_banners/4125932955/1531867518")</f>
        <v>https://pbs.twimg.com/profile_banners/4125932955/1531867518</v>
      </c>
      <c r="AR21" s="84" t="b">
        <v>1</v>
      </c>
      <c r="AS21" s="84" t="b">
        <v>0</v>
      </c>
      <c r="AT21" s="84" t="b">
        <v>1</v>
      </c>
      <c r="AU21" s="84"/>
      <c r="AV21" s="84">
        <v>1</v>
      </c>
      <c r="AW21" s="88" t="str">
        <f>HYPERLINK("https://abs.twimg.com/images/themes/theme1/bg.png")</f>
        <v>https://abs.twimg.com/images/themes/theme1/bg.png</v>
      </c>
      <c r="AX21" s="84" t="b">
        <v>0</v>
      </c>
      <c r="AY21" s="84" t="s">
        <v>615</v>
      </c>
      <c r="AZ21" s="88" t="str">
        <f>HYPERLINK("https://twitter.com/molliejane93")</f>
        <v>https://twitter.com/molliejane93</v>
      </c>
      <c r="BA21" s="84" t="s">
        <v>66</v>
      </c>
      <c r="BB21" s="84" t="str">
        <f>REPLACE(INDEX(GroupVertices[Group],MATCH(Vertices[[#This Row],[Vertex]],GroupVertices[Vertex],0)),1,1,"")</f>
        <v>2</v>
      </c>
      <c r="BC21" s="51"/>
      <c r="BD21" s="51"/>
      <c r="BE21" s="51"/>
      <c r="BF21" s="51"/>
      <c r="BG21" s="51" t="s">
        <v>328</v>
      </c>
      <c r="BH21" s="51" t="s">
        <v>328</v>
      </c>
      <c r="BI21" s="123" t="s">
        <v>839</v>
      </c>
      <c r="BJ21" s="123" t="s">
        <v>851</v>
      </c>
      <c r="BK21" s="123" t="s">
        <v>864</v>
      </c>
      <c r="BL21" s="123" t="s">
        <v>876</v>
      </c>
      <c r="BM21" s="123">
        <v>4</v>
      </c>
      <c r="BN21" s="126">
        <v>6.153846153846154</v>
      </c>
      <c r="BO21" s="123">
        <v>7</v>
      </c>
      <c r="BP21" s="126">
        <v>10.76923076923077</v>
      </c>
      <c r="BQ21" s="123">
        <v>0</v>
      </c>
      <c r="BR21" s="126">
        <v>0</v>
      </c>
      <c r="BS21" s="123">
        <v>54</v>
      </c>
      <c r="BT21" s="126">
        <v>83.07692307692308</v>
      </c>
      <c r="BU21" s="123">
        <v>65</v>
      </c>
      <c r="BV21" s="2"/>
      <c r="BW21" s="3"/>
      <c r="BX21" s="3"/>
      <c r="BY21" s="3"/>
      <c r="BZ21" s="3"/>
    </row>
    <row r="22" spans="1:78" ht="41.45" customHeight="1">
      <c r="A22" s="14" t="s">
        <v>266</v>
      </c>
      <c r="C22" s="15"/>
      <c r="D22" s="15" t="s">
        <v>64</v>
      </c>
      <c r="E22" s="94">
        <v>761.9399149740199</v>
      </c>
      <c r="F22" s="80">
        <v>97.6457308548646</v>
      </c>
      <c r="G22" s="113" t="str">
        <f>HYPERLINK("https://pbs.twimg.com/profile_images/774200422273875968/ABnszuB4_normal.jpg")</f>
        <v>https://pbs.twimg.com/profile_images/774200422273875968/ABnszuB4_normal.jpg</v>
      </c>
      <c r="H22" s="15"/>
      <c r="I22" s="16" t="s">
        <v>266</v>
      </c>
      <c r="J22" s="67"/>
      <c r="K22" s="67"/>
      <c r="L22" s="115" t="s">
        <v>634</v>
      </c>
      <c r="M22" s="95">
        <v>785.599430435458</v>
      </c>
      <c r="N22" s="96">
        <v>5528</v>
      </c>
      <c r="O22" s="96">
        <v>7998.45068359375</v>
      </c>
      <c r="P22" s="78"/>
      <c r="Q22" s="97"/>
      <c r="R22" s="97"/>
      <c r="S22" s="98"/>
      <c r="T22" s="51">
        <v>3</v>
      </c>
      <c r="U22" s="51">
        <v>1</v>
      </c>
      <c r="V22" s="52">
        <v>14</v>
      </c>
      <c r="W22" s="52">
        <v>0.043478</v>
      </c>
      <c r="X22" s="52">
        <v>0</v>
      </c>
      <c r="Y22" s="52">
        <v>1.475486</v>
      </c>
      <c r="Z22" s="52">
        <v>0</v>
      </c>
      <c r="AA22" s="52">
        <v>0</v>
      </c>
      <c r="AB22" s="81">
        <v>22</v>
      </c>
      <c r="AC22" s="81"/>
      <c r="AD22" s="99"/>
      <c r="AE22" s="84" t="s">
        <v>520</v>
      </c>
      <c r="AF22" s="92" t="s">
        <v>472</v>
      </c>
      <c r="AG22" s="84">
        <v>731</v>
      </c>
      <c r="AH22" s="84">
        <v>7580</v>
      </c>
      <c r="AI22" s="84">
        <v>13602</v>
      </c>
      <c r="AJ22" s="84">
        <v>3566</v>
      </c>
      <c r="AK22" s="84"/>
      <c r="AL22" s="84" t="s">
        <v>579</v>
      </c>
      <c r="AM22" s="84" t="s">
        <v>604</v>
      </c>
      <c r="AN22" s="88" t="str">
        <f>HYPERLINK("https://t.co/AY5Onl85Mq")</f>
        <v>https://t.co/AY5Onl85Mq</v>
      </c>
      <c r="AO22" s="84"/>
      <c r="AP22" s="86">
        <v>40220.39439814815</v>
      </c>
      <c r="AQ22" s="88" t="str">
        <f>HYPERLINK("https://pbs.twimg.com/profile_banners/113298824/1595001373")</f>
        <v>https://pbs.twimg.com/profile_banners/113298824/1595001373</v>
      </c>
      <c r="AR22" s="84" t="b">
        <v>0</v>
      </c>
      <c r="AS22" s="84" t="b">
        <v>0</v>
      </c>
      <c r="AT22" s="84" t="b">
        <v>0</v>
      </c>
      <c r="AU22" s="84"/>
      <c r="AV22" s="84">
        <v>121</v>
      </c>
      <c r="AW22" s="88" t="str">
        <f>HYPERLINK("https://abs.twimg.com/images/themes/theme1/bg.png")</f>
        <v>https://abs.twimg.com/images/themes/theme1/bg.png</v>
      </c>
      <c r="AX22" s="84" t="b">
        <v>0</v>
      </c>
      <c r="AY22" s="84" t="s">
        <v>615</v>
      </c>
      <c r="AZ22" s="88" t="str">
        <f>HYPERLINK("https://twitter.com/rcpedin")</f>
        <v>https://twitter.com/rcpedin</v>
      </c>
      <c r="BA22" s="84" t="s">
        <v>66</v>
      </c>
      <c r="BB22" s="84" t="str">
        <f>REPLACE(INDEX(GroupVertices[Group],MATCH(Vertices[[#This Row],[Vertex]],GroupVertices[Vertex],0)),1,1,"")</f>
        <v>2</v>
      </c>
      <c r="BC22" s="51"/>
      <c r="BD22" s="51"/>
      <c r="BE22" s="51"/>
      <c r="BF22" s="51"/>
      <c r="BG22" s="51" t="s">
        <v>328</v>
      </c>
      <c r="BH22" s="51" t="s">
        <v>328</v>
      </c>
      <c r="BI22" s="123" t="s">
        <v>840</v>
      </c>
      <c r="BJ22" s="123" t="s">
        <v>840</v>
      </c>
      <c r="BK22" s="123" t="s">
        <v>865</v>
      </c>
      <c r="BL22" s="123" t="s">
        <v>865</v>
      </c>
      <c r="BM22" s="123">
        <v>4</v>
      </c>
      <c r="BN22" s="126">
        <v>6.25</v>
      </c>
      <c r="BO22" s="123">
        <v>0</v>
      </c>
      <c r="BP22" s="126">
        <v>0</v>
      </c>
      <c r="BQ22" s="123">
        <v>0</v>
      </c>
      <c r="BR22" s="126">
        <v>0</v>
      </c>
      <c r="BS22" s="123">
        <v>60</v>
      </c>
      <c r="BT22" s="126">
        <v>93.75</v>
      </c>
      <c r="BU22" s="123">
        <v>64</v>
      </c>
      <c r="BV22" s="2"/>
      <c r="BW22" s="3"/>
      <c r="BX22" s="3"/>
      <c r="BY22" s="3"/>
      <c r="BZ22" s="3"/>
    </row>
    <row r="23" spans="1:78" ht="41.45" customHeight="1">
      <c r="A23" s="14" t="s">
        <v>262</v>
      </c>
      <c r="C23" s="15"/>
      <c r="D23" s="15" t="s">
        <v>64</v>
      </c>
      <c r="E23" s="94">
        <v>176.17118564005668</v>
      </c>
      <c r="F23" s="80">
        <v>99.94438978926112</v>
      </c>
      <c r="G23" s="113" t="str">
        <f>HYPERLINK("https://pbs.twimg.com/profile_images/1290898665712652288/HBxxOYUY_normal.jpg")</f>
        <v>https://pbs.twimg.com/profile_images/1290898665712652288/HBxxOYUY_normal.jpg</v>
      </c>
      <c r="H23" s="15"/>
      <c r="I23" s="16" t="s">
        <v>262</v>
      </c>
      <c r="J23" s="67"/>
      <c r="K23" s="67"/>
      <c r="L23" s="115" t="s">
        <v>635</v>
      </c>
      <c r="M23" s="95">
        <v>19.53302956557759</v>
      </c>
      <c r="N23" s="96">
        <v>9560.447265625</v>
      </c>
      <c r="O23" s="96">
        <v>2234.168701171875</v>
      </c>
      <c r="P23" s="78"/>
      <c r="Q23" s="97"/>
      <c r="R23" s="97"/>
      <c r="S23" s="98"/>
      <c r="T23" s="51">
        <v>1</v>
      </c>
      <c r="U23" s="51">
        <v>1</v>
      </c>
      <c r="V23" s="52">
        <v>0</v>
      </c>
      <c r="W23" s="52">
        <v>0</v>
      </c>
      <c r="X23" s="52">
        <v>0</v>
      </c>
      <c r="Y23" s="52">
        <v>0.999985</v>
      </c>
      <c r="Z23" s="52">
        <v>0</v>
      </c>
      <c r="AA23" s="52">
        <v>0</v>
      </c>
      <c r="AB23" s="81">
        <v>23</v>
      </c>
      <c r="AC23" s="81"/>
      <c r="AD23" s="99"/>
      <c r="AE23" s="84" t="s">
        <v>521</v>
      </c>
      <c r="AF23" s="92" t="s">
        <v>551</v>
      </c>
      <c r="AG23" s="84">
        <v>660</v>
      </c>
      <c r="AH23" s="84">
        <v>181</v>
      </c>
      <c r="AI23" s="84">
        <v>709</v>
      </c>
      <c r="AJ23" s="84">
        <v>247</v>
      </c>
      <c r="AK23" s="84"/>
      <c r="AL23" s="84" t="s">
        <v>580</v>
      </c>
      <c r="AM23" s="84" t="s">
        <v>605</v>
      </c>
      <c r="AN23" s="88" t="str">
        <f>HYPERLINK("https://t.co/JfdBbsrtYv")</f>
        <v>https://t.co/JfdBbsrtYv</v>
      </c>
      <c r="AO23" s="84"/>
      <c r="AP23" s="86">
        <v>42105.594618055555</v>
      </c>
      <c r="AQ23" s="88" t="str">
        <f>HYPERLINK("https://pbs.twimg.com/profile_banners/3149908802/1561264616")</f>
        <v>https://pbs.twimg.com/profile_banners/3149908802/1561264616</v>
      </c>
      <c r="AR23" s="84" t="b">
        <v>0</v>
      </c>
      <c r="AS23" s="84" t="b">
        <v>0</v>
      </c>
      <c r="AT23" s="84" t="b">
        <v>0</v>
      </c>
      <c r="AU23" s="84"/>
      <c r="AV23" s="84">
        <v>0</v>
      </c>
      <c r="AW23" s="88" t="str">
        <f>HYPERLINK("https://abs.twimg.com/images/themes/theme1/bg.png")</f>
        <v>https://abs.twimg.com/images/themes/theme1/bg.png</v>
      </c>
      <c r="AX23" s="84" t="b">
        <v>0</v>
      </c>
      <c r="AY23" s="84" t="s">
        <v>615</v>
      </c>
      <c r="AZ23" s="88" t="str">
        <f>HYPERLINK("https://twitter.com/datmukherjee")</f>
        <v>https://twitter.com/datmukherjee</v>
      </c>
      <c r="BA23" s="84" t="s">
        <v>66</v>
      </c>
      <c r="BB23" s="84" t="str">
        <f>REPLACE(INDEX(GroupVertices[Group],MATCH(Vertices[[#This Row],[Vertex]],GroupVertices[Vertex],0)),1,1,"")</f>
        <v>5</v>
      </c>
      <c r="BC23" s="51"/>
      <c r="BD23" s="51"/>
      <c r="BE23" s="51"/>
      <c r="BF23" s="51"/>
      <c r="BG23" s="51" t="s">
        <v>329</v>
      </c>
      <c r="BH23" s="51" t="s">
        <v>329</v>
      </c>
      <c r="BI23" s="123" t="s">
        <v>841</v>
      </c>
      <c r="BJ23" s="123" t="s">
        <v>841</v>
      </c>
      <c r="BK23" s="123" t="s">
        <v>866</v>
      </c>
      <c r="BL23" s="123" t="s">
        <v>866</v>
      </c>
      <c r="BM23" s="123">
        <v>1</v>
      </c>
      <c r="BN23" s="126">
        <v>5.555555555555555</v>
      </c>
      <c r="BO23" s="123">
        <v>0</v>
      </c>
      <c r="BP23" s="126">
        <v>0</v>
      </c>
      <c r="BQ23" s="123">
        <v>0</v>
      </c>
      <c r="BR23" s="126">
        <v>0</v>
      </c>
      <c r="BS23" s="123">
        <v>17</v>
      </c>
      <c r="BT23" s="126">
        <v>94.44444444444444</v>
      </c>
      <c r="BU23" s="123">
        <v>18</v>
      </c>
      <c r="BV23" s="2"/>
      <c r="BW23" s="3"/>
      <c r="BX23" s="3"/>
      <c r="BY23" s="3"/>
      <c r="BZ23" s="3"/>
    </row>
    <row r="24" spans="1:78" ht="41.45" customHeight="1">
      <c r="A24" s="14" t="s">
        <v>263</v>
      </c>
      <c r="C24" s="15"/>
      <c r="D24" s="15" t="s">
        <v>64</v>
      </c>
      <c r="E24" s="94">
        <v>469.96598960793574</v>
      </c>
      <c r="F24" s="80">
        <v>98.79148759902657</v>
      </c>
      <c r="G24" s="113" t="str">
        <f>HYPERLINK("https://pbs.twimg.com/profile_images/1183668341745094657/-0Vrdudn_normal.jpg")</f>
        <v>https://pbs.twimg.com/profile_images/1183668341745094657/-0Vrdudn_normal.jpg</v>
      </c>
      <c r="H24" s="15"/>
      <c r="I24" s="16" t="s">
        <v>263</v>
      </c>
      <c r="J24" s="67"/>
      <c r="K24" s="67"/>
      <c r="L24" s="115" t="s">
        <v>636</v>
      </c>
      <c r="M24" s="95">
        <v>403.7568994977476</v>
      </c>
      <c r="N24" s="96">
        <v>1366.009033203125</v>
      </c>
      <c r="O24" s="96">
        <v>6902.3359375</v>
      </c>
      <c r="P24" s="78"/>
      <c r="Q24" s="97"/>
      <c r="R24" s="97"/>
      <c r="S24" s="98"/>
      <c r="T24" s="51">
        <v>0</v>
      </c>
      <c r="U24" s="51">
        <v>2</v>
      </c>
      <c r="V24" s="52">
        <v>0</v>
      </c>
      <c r="W24" s="52">
        <v>0.027778</v>
      </c>
      <c r="X24" s="52">
        <v>0.047878</v>
      </c>
      <c r="Y24" s="52">
        <v>0.72918</v>
      </c>
      <c r="Z24" s="52">
        <v>0.5</v>
      </c>
      <c r="AA24" s="52">
        <v>0</v>
      </c>
      <c r="AB24" s="81">
        <v>24</v>
      </c>
      <c r="AC24" s="81"/>
      <c r="AD24" s="99"/>
      <c r="AE24" s="84" t="s">
        <v>522</v>
      </c>
      <c r="AF24" s="92" t="s">
        <v>552</v>
      </c>
      <c r="AG24" s="84">
        <v>4992</v>
      </c>
      <c r="AH24" s="84">
        <v>3892</v>
      </c>
      <c r="AI24" s="84">
        <v>24057</v>
      </c>
      <c r="AJ24" s="84">
        <v>63399</v>
      </c>
      <c r="AK24" s="84"/>
      <c r="AL24" s="84" t="s">
        <v>581</v>
      </c>
      <c r="AM24" s="84" t="s">
        <v>606</v>
      </c>
      <c r="AN24" s="88" t="str">
        <f>HYPERLINK("https://t.co/C9HqAeKXWa")</f>
        <v>https://t.co/C9HqAeKXWa</v>
      </c>
      <c r="AO24" s="84"/>
      <c r="AP24" s="86">
        <v>40806.66722222222</v>
      </c>
      <c r="AQ24" s="88" t="str">
        <f>HYPERLINK("https://pbs.twimg.com/profile_banners/376846753/1554671660")</f>
        <v>https://pbs.twimg.com/profile_banners/376846753/1554671660</v>
      </c>
      <c r="AR24" s="84" t="b">
        <v>1</v>
      </c>
      <c r="AS24" s="84" t="b">
        <v>0</v>
      </c>
      <c r="AT24" s="84" t="b">
        <v>0</v>
      </c>
      <c r="AU24" s="84"/>
      <c r="AV24" s="84">
        <v>34</v>
      </c>
      <c r="AW24" s="88" t="str">
        <f>HYPERLINK("https://abs.twimg.com/images/themes/theme1/bg.png")</f>
        <v>https://abs.twimg.com/images/themes/theme1/bg.png</v>
      </c>
      <c r="AX24" s="84" t="b">
        <v>0</v>
      </c>
      <c r="AY24" s="84" t="s">
        <v>615</v>
      </c>
      <c r="AZ24" s="88" t="str">
        <f>HYPERLINK("https://twitter.com/lungsatwork")</f>
        <v>https://twitter.com/lungsatwork</v>
      </c>
      <c r="BA24" s="84" t="s">
        <v>66</v>
      </c>
      <c r="BB24" s="84" t="str">
        <f>REPLACE(INDEX(GroupVertices[Group],MATCH(Vertices[[#This Row],[Vertex]],GroupVertices[Vertex],0)),1,1,"")</f>
        <v>1</v>
      </c>
      <c r="BC24" s="51"/>
      <c r="BD24" s="51"/>
      <c r="BE24" s="51"/>
      <c r="BF24" s="51"/>
      <c r="BG24" s="51" t="s">
        <v>330</v>
      </c>
      <c r="BH24" s="51" t="s">
        <v>827</v>
      </c>
      <c r="BI24" s="123" t="s">
        <v>842</v>
      </c>
      <c r="BJ24" s="123" t="s">
        <v>852</v>
      </c>
      <c r="BK24" s="123" t="s">
        <v>867</v>
      </c>
      <c r="BL24" s="123" t="s">
        <v>867</v>
      </c>
      <c r="BM24" s="123">
        <v>13</v>
      </c>
      <c r="BN24" s="126">
        <v>6.701030927835052</v>
      </c>
      <c r="BO24" s="123">
        <v>4</v>
      </c>
      <c r="BP24" s="126">
        <v>2.0618556701030926</v>
      </c>
      <c r="BQ24" s="123">
        <v>0</v>
      </c>
      <c r="BR24" s="126">
        <v>0</v>
      </c>
      <c r="BS24" s="123">
        <v>177</v>
      </c>
      <c r="BT24" s="126">
        <v>91.23711340206185</v>
      </c>
      <c r="BU24" s="123">
        <v>194</v>
      </c>
      <c r="BV24" s="2"/>
      <c r="BW24" s="3"/>
      <c r="BX24" s="3"/>
      <c r="BY24" s="3"/>
      <c r="BZ24" s="3"/>
    </row>
    <row r="25" spans="1:78" ht="41.45" customHeight="1">
      <c r="A25" s="14" t="s">
        <v>264</v>
      </c>
      <c r="C25" s="15"/>
      <c r="D25" s="15" t="s">
        <v>64</v>
      </c>
      <c r="E25" s="94">
        <v>204.98856872933396</v>
      </c>
      <c r="F25" s="80">
        <v>99.83130533837311</v>
      </c>
      <c r="G25" s="113" t="str">
        <f>HYPERLINK("https://pbs.twimg.com/profile_images/1187077999771947008/8f0Fbv6X_normal.jpg")</f>
        <v>https://pbs.twimg.com/profile_images/1187077999771947008/8f0Fbv6X_normal.jpg</v>
      </c>
      <c r="H25" s="15"/>
      <c r="I25" s="16" t="s">
        <v>264</v>
      </c>
      <c r="J25" s="67"/>
      <c r="K25" s="67"/>
      <c r="L25" s="115" t="s">
        <v>637</v>
      </c>
      <c r="M25" s="95">
        <v>57.22030756485269</v>
      </c>
      <c r="N25" s="96">
        <v>1772.218505859375</v>
      </c>
      <c r="O25" s="96">
        <v>698.5139770507812</v>
      </c>
      <c r="P25" s="78"/>
      <c r="Q25" s="97"/>
      <c r="R25" s="97"/>
      <c r="S25" s="98"/>
      <c r="T25" s="51">
        <v>0</v>
      </c>
      <c r="U25" s="51">
        <v>1</v>
      </c>
      <c r="V25" s="52">
        <v>0</v>
      </c>
      <c r="W25" s="52">
        <v>0.027027</v>
      </c>
      <c r="X25" s="52">
        <v>0.034064</v>
      </c>
      <c r="Y25" s="52">
        <v>0.449926</v>
      </c>
      <c r="Z25" s="52">
        <v>0</v>
      </c>
      <c r="AA25" s="52">
        <v>0</v>
      </c>
      <c r="AB25" s="81">
        <v>25</v>
      </c>
      <c r="AC25" s="81"/>
      <c r="AD25" s="99"/>
      <c r="AE25" s="84" t="s">
        <v>523</v>
      </c>
      <c r="AF25" s="92" t="s">
        <v>553</v>
      </c>
      <c r="AG25" s="84">
        <v>313</v>
      </c>
      <c r="AH25" s="84">
        <v>545</v>
      </c>
      <c r="AI25" s="84">
        <v>1966</v>
      </c>
      <c r="AJ25" s="84">
        <v>4303</v>
      </c>
      <c r="AK25" s="84"/>
      <c r="AL25" s="84" t="s">
        <v>582</v>
      </c>
      <c r="AM25" s="84"/>
      <c r="AN25" s="84"/>
      <c r="AO25" s="84"/>
      <c r="AP25" s="86">
        <v>42117.29827546296</v>
      </c>
      <c r="AQ25" s="88" t="str">
        <f>HYPERLINK("https://pbs.twimg.com/profile_banners/3197124886/1592174567")</f>
        <v>https://pbs.twimg.com/profile_banners/3197124886/1592174567</v>
      </c>
      <c r="AR25" s="84" t="b">
        <v>0</v>
      </c>
      <c r="AS25" s="84" t="b">
        <v>0</v>
      </c>
      <c r="AT25" s="84" t="b">
        <v>0</v>
      </c>
      <c r="AU25" s="84"/>
      <c r="AV25" s="84">
        <v>7</v>
      </c>
      <c r="AW25" s="88" t="str">
        <f>HYPERLINK("https://abs.twimg.com/images/themes/theme1/bg.png")</f>
        <v>https://abs.twimg.com/images/themes/theme1/bg.png</v>
      </c>
      <c r="AX25" s="84" t="b">
        <v>0</v>
      </c>
      <c r="AY25" s="84" t="s">
        <v>615</v>
      </c>
      <c r="AZ25" s="88" t="str">
        <f>HYPERLINK("https://twitter.com/labinjohc")</f>
        <v>https://twitter.com/labinjohc</v>
      </c>
      <c r="BA25" s="84" t="s">
        <v>66</v>
      </c>
      <c r="BB25" s="84" t="str">
        <f>REPLACE(INDEX(GroupVertices[Group],MATCH(Vertices[[#This Row],[Vertex]],GroupVertices[Vertex],0)),1,1,"")</f>
        <v>1</v>
      </c>
      <c r="BC25" s="51"/>
      <c r="BD25" s="51"/>
      <c r="BE25" s="51"/>
      <c r="BF25" s="51"/>
      <c r="BG25" s="51" t="s">
        <v>328</v>
      </c>
      <c r="BH25" s="51" t="s">
        <v>328</v>
      </c>
      <c r="BI25" s="123" t="s">
        <v>831</v>
      </c>
      <c r="BJ25" s="123" t="s">
        <v>831</v>
      </c>
      <c r="BK25" s="123" t="s">
        <v>857</v>
      </c>
      <c r="BL25" s="123" t="s">
        <v>857</v>
      </c>
      <c r="BM25" s="123">
        <v>3</v>
      </c>
      <c r="BN25" s="126">
        <v>11.538461538461538</v>
      </c>
      <c r="BO25" s="123">
        <v>1</v>
      </c>
      <c r="BP25" s="126">
        <v>3.8461538461538463</v>
      </c>
      <c r="BQ25" s="123">
        <v>0</v>
      </c>
      <c r="BR25" s="126">
        <v>0</v>
      </c>
      <c r="BS25" s="123">
        <v>22</v>
      </c>
      <c r="BT25" s="126">
        <v>84.61538461538461</v>
      </c>
      <c r="BU25" s="123">
        <v>26</v>
      </c>
      <c r="BV25" s="2"/>
      <c r="BW25" s="3"/>
      <c r="BX25" s="3"/>
      <c r="BY25" s="3"/>
      <c r="BZ25" s="3"/>
    </row>
    <row r="26" spans="1:78" ht="41.45" customHeight="1">
      <c r="A26" s="14" t="s">
        <v>265</v>
      </c>
      <c r="C26" s="15"/>
      <c r="D26" s="15" t="s">
        <v>64</v>
      </c>
      <c r="E26" s="94">
        <v>201.90099196976854</v>
      </c>
      <c r="F26" s="80">
        <v>99.84342152953968</v>
      </c>
      <c r="G26" s="113" t="str">
        <f>HYPERLINK("https://pbs.twimg.com/profile_images/1329560205152178177/E6tTAJ4J_normal.jpg")</f>
        <v>https://pbs.twimg.com/profile_images/1329560205152178177/E6tTAJ4J_normal.jpg</v>
      </c>
      <c r="H26" s="15"/>
      <c r="I26" s="16" t="s">
        <v>265</v>
      </c>
      <c r="J26" s="67"/>
      <c r="K26" s="67"/>
      <c r="L26" s="115" t="s">
        <v>638</v>
      </c>
      <c r="M26" s="95">
        <v>53.18238492207321</v>
      </c>
      <c r="N26" s="96">
        <v>1489.2655029296875</v>
      </c>
      <c r="O26" s="96">
        <v>9614.2060546875</v>
      </c>
      <c r="P26" s="78"/>
      <c r="Q26" s="97"/>
      <c r="R26" s="97"/>
      <c r="S26" s="98"/>
      <c r="T26" s="51">
        <v>0</v>
      </c>
      <c r="U26" s="51">
        <v>1</v>
      </c>
      <c r="V26" s="52">
        <v>0</v>
      </c>
      <c r="W26" s="52">
        <v>0.027027</v>
      </c>
      <c r="X26" s="52">
        <v>0.034064</v>
      </c>
      <c r="Y26" s="52">
        <v>0.449926</v>
      </c>
      <c r="Z26" s="52">
        <v>0</v>
      </c>
      <c r="AA26" s="52">
        <v>0</v>
      </c>
      <c r="AB26" s="81">
        <v>26</v>
      </c>
      <c r="AC26" s="81"/>
      <c r="AD26" s="99"/>
      <c r="AE26" s="84" t="s">
        <v>524</v>
      </c>
      <c r="AF26" s="92" t="s">
        <v>554</v>
      </c>
      <c r="AG26" s="84">
        <v>0</v>
      </c>
      <c r="AH26" s="84">
        <v>506</v>
      </c>
      <c r="AI26" s="84">
        <v>19029</v>
      </c>
      <c r="AJ26" s="84">
        <v>0</v>
      </c>
      <c r="AK26" s="84"/>
      <c r="AL26" s="84" t="s">
        <v>583</v>
      </c>
      <c r="AM26" s="84" t="s">
        <v>607</v>
      </c>
      <c r="AN26" s="84"/>
      <c r="AO26" s="84"/>
      <c r="AP26" s="86">
        <v>44154.953564814816</v>
      </c>
      <c r="AQ26" s="88" t="str">
        <f>HYPERLINK("https://pbs.twimg.com/profile_banners/1329558322744356864/1605831173")</f>
        <v>https://pbs.twimg.com/profile_banners/1329558322744356864/1605831173</v>
      </c>
      <c r="AR26" s="84" t="b">
        <v>1</v>
      </c>
      <c r="AS26" s="84" t="b">
        <v>0</v>
      </c>
      <c r="AT26" s="84" t="b">
        <v>0</v>
      </c>
      <c r="AU26" s="84"/>
      <c r="AV26" s="84">
        <v>4</v>
      </c>
      <c r="AW26" s="84"/>
      <c r="AX26" s="84" t="b">
        <v>0</v>
      </c>
      <c r="AY26" s="84" t="s">
        <v>615</v>
      </c>
      <c r="AZ26" s="88" t="str">
        <f>HYPERLINK("https://twitter.com/telehealthbot")</f>
        <v>https://twitter.com/telehealthbot</v>
      </c>
      <c r="BA26" s="84" t="s">
        <v>66</v>
      </c>
      <c r="BB26" s="84" t="str">
        <f>REPLACE(INDEX(GroupVertices[Group],MATCH(Vertices[[#This Row],[Vertex]],GroupVertices[Vertex],0)),1,1,"")</f>
        <v>1</v>
      </c>
      <c r="BC26" s="51"/>
      <c r="BD26" s="51"/>
      <c r="BE26" s="51"/>
      <c r="BF26" s="51"/>
      <c r="BG26" s="51" t="s">
        <v>330</v>
      </c>
      <c r="BH26" s="51" t="s">
        <v>330</v>
      </c>
      <c r="BI26" s="123" t="s">
        <v>843</v>
      </c>
      <c r="BJ26" s="123" t="s">
        <v>843</v>
      </c>
      <c r="BK26" s="123" t="s">
        <v>868</v>
      </c>
      <c r="BL26" s="123" t="s">
        <v>868</v>
      </c>
      <c r="BM26" s="123">
        <v>1</v>
      </c>
      <c r="BN26" s="126">
        <v>3.125</v>
      </c>
      <c r="BO26" s="123">
        <v>1</v>
      </c>
      <c r="BP26" s="126">
        <v>3.125</v>
      </c>
      <c r="BQ26" s="123">
        <v>0</v>
      </c>
      <c r="BR26" s="126">
        <v>0</v>
      </c>
      <c r="BS26" s="123">
        <v>30</v>
      </c>
      <c r="BT26" s="126">
        <v>93.75</v>
      </c>
      <c r="BU26" s="123">
        <v>32</v>
      </c>
      <c r="BV26" s="2"/>
      <c r="BW26" s="3"/>
      <c r="BX26" s="3"/>
      <c r="BY26" s="3"/>
      <c r="BZ26" s="3"/>
    </row>
    <row r="27" spans="1:78" ht="41.45" customHeight="1">
      <c r="A27" s="14" t="s">
        <v>267</v>
      </c>
      <c r="C27" s="15"/>
      <c r="D27" s="15" t="s">
        <v>64</v>
      </c>
      <c r="E27" s="94">
        <v>648.3329239489844</v>
      </c>
      <c r="F27" s="80">
        <v>98.09154455548077</v>
      </c>
      <c r="G27" s="113" t="str">
        <f>HYPERLINK("https://pbs.twimg.com/profile_images/1293901899368812545/ulOjlgJG_normal.jpg")</f>
        <v>https://pbs.twimg.com/profile_images/1293901899368812545/ulOjlgJG_normal.jpg</v>
      </c>
      <c r="H27" s="15"/>
      <c r="I27" s="16" t="s">
        <v>267</v>
      </c>
      <c r="J27" s="67"/>
      <c r="K27" s="67"/>
      <c r="L27" s="115" t="s">
        <v>639</v>
      </c>
      <c r="M27" s="95">
        <v>637.0245844767772</v>
      </c>
      <c r="N27" s="96">
        <v>5081.89453125</v>
      </c>
      <c r="O27" s="96">
        <v>9670.4453125</v>
      </c>
      <c r="P27" s="78"/>
      <c r="Q27" s="97"/>
      <c r="R27" s="97"/>
      <c r="S27" s="98"/>
      <c r="T27" s="51">
        <v>0</v>
      </c>
      <c r="U27" s="51">
        <v>1</v>
      </c>
      <c r="V27" s="52">
        <v>0</v>
      </c>
      <c r="W27" s="52">
        <v>0.033333</v>
      </c>
      <c r="X27" s="52">
        <v>0</v>
      </c>
      <c r="Y27" s="52">
        <v>0.568053</v>
      </c>
      <c r="Z27" s="52">
        <v>0</v>
      </c>
      <c r="AA27" s="52">
        <v>0</v>
      </c>
      <c r="AB27" s="81">
        <v>27</v>
      </c>
      <c r="AC27" s="81"/>
      <c r="AD27" s="99"/>
      <c r="AE27" s="84" t="s">
        <v>525</v>
      </c>
      <c r="AF27" s="92" t="s">
        <v>555</v>
      </c>
      <c r="AG27" s="84">
        <v>171</v>
      </c>
      <c r="AH27" s="84">
        <v>6145</v>
      </c>
      <c r="AI27" s="84">
        <v>73458</v>
      </c>
      <c r="AJ27" s="84">
        <v>97579</v>
      </c>
      <c r="AK27" s="84"/>
      <c r="AL27" s="84" t="s">
        <v>584</v>
      </c>
      <c r="AM27" s="84" t="s">
        <v>608</v>
      </c>
      <c r="AN27" s="88" t="str">
        <f>HYPERLINK("https://t.co/j4HwGIbr9v")</f>
        <v>https://t.co/j4HwGIbr9v</v>
      </c>
      <c r="AO27" s="84"/>
      <c r="AP27" s="86">
        <v>42162.54107638889</v>
      </c>
      <c r="AQ27" s="88" t="str">
        <f>HYPERLINK("https://pbs.twimg.com/profile_banners/3311856665/1601461411")</f>
        <v>https://pbs.twimg.com/profile_banners/3311856665/1601461411</v>
      </c>
      <c r="AR27" s="84" t="b">
        <v>0</v>
      </c>
      <c r="AS27" s="84" t="b">
        <v>0</v>
      </c>
      <c r="AT27" s="84" t="b">
        <v>0</v>
      </c>
      <c r="AU27" s="84"/>
      <c r="AV27" s="84">
        <v>349</v>
      </c>
      <c r="AW27" s="88" t="str">
        <f>HYPERLINK("https://abs.twimg.com/images/themes/theme1/bg.png")</f>
        <v>https://abs.twimg.com/images/themes/theme1/bg.png</v>
      </c>
      <c r="AX27" s="84" t="b">
        <v>0</v>
      </c>
      <c r="AY27" s="84" t="s">
        <v>615</v>
      </c>
      <c r="AZ27" s="88" t="str">
        <f>HYPERLINK("https://twitter.com/medicinegov")</f>
        <v>https://twitter.com/medicinegov</v>
      </c>
      <c r="BA27" s="84" t="s">
        <v>66</v>
      </c>
      <c r="BB27" s="84" t="str">
        <f>REPLACE(INDEX(GroupVertices[Group],MATCH(Vertices[[#This Row],[Vertex]],GroupVertices[Vertex],0)),1,1,"")</f>
        <v>2</v>
      </c>
      <c r="BC27" s="51"/>
      <c r="BD27" s="51"/>
      <c r="BE27" s="51"/>
      <c r="BF27" s="51"/>
      <c r="BG27" s="51" t="s">
        <v>328</v>
      </c>
      <c r="BH27" s="51" t="s">
        <v>328</v>
      </c>
      <c r="BI27" s="123" t="s">
        <v>844</v>
      </c>
      <c r="BJ27" s="123" t="s">
        <v>844</v>
      </c>
      <c r="BK27" s="123" t="s">
        <v>869</v>
      </c>
      <c r="BL27" s="123" t="s">
        <v>869</v>
      </c>
      <c r="BM27" s="123">
        <v>3</v>
      </c>
      <c r="BN27" s="126">
        <v>9.090909090909092</v>
      </c>
      <c r="BO27" s="123">
        <v>0</v>
      </c>
      <c r="BP27" s="126">
        <v>0</v>
      </c>
      <c r="BQ27" s="123">
        <v>0</v>
      </c>
      <c r="BR27" s="126">
        <v>0</v>
      </c>
      <c r="BS27" s="123">
        <v>30</v>
      </c>
      <c r="BT27" s="126">
        <v>90.9090909090909</v>
      </c>
      <c r="BU27" s="123">
        <v>33</v>
      </c>
      <c r="BV27" s="2"/>
      <c r="BW27" s="3"/>
      <c r="BX27" s="3"/>
      <c r="BY27" s="3"/>
      <c r="BZ27" s="3"/>
    </row>
    <row r="28" spans="1:78" ht="41.45" customHeight="1">
      <c r="A28" s="14" t="s">
        <v>268</v>
      </c>
      <c r="C28" s="15"/>
      <c r="D28" s="15" t="s">
        <v>64</v>
      </c>
      <c r="E28" s="94">
        <v>202.6135096835144</v>
      </c>
      <c r="F28" s="80">
        <v>99.84062548542433</v>
      </c>
      <c r="G28" s="113" t="str">
        <f>HYPERLINK("https://pbs.twimg.com/profile_images/1253187463486402562/Ib9V8tgM_normal.jpg")</f>
        <v>https://pbs.twimg.com/profile_images/1253187463486402562/Ib9V8tgM_normal.jpg</v>
      </c>
      <c r="H28" s="15"/>
      <c r="I28" s="16" t="s">
        <v>268</v>
      </c>
      <c r="J28" s="67"/>
      <c r="K28" s="67"/>
      <c r="L28" s="115" t="s">
        <v>640</v>
      </c>
      <c r="M28" s="95">
        <v>54.11421322425309</v>
      </c>
      <c r="N28" s="96">
        <v>9341.1708984375</v>
      </c>
      <c r="O28" s="96">
        <v>8369.9189453125</v>
      </c>
      <c r="P28" s="78"/>
      <c r="Q28" s="97"/>
      <c r="R28" s="97"/>
      <c r="S28" s="98"/>
      <c r="T28" s="51">
        <v>0</v>
      </c>
      <c r="U28" s="51">
        <v>2</v>
      </c>
      <c r="V28" s="52">
        <v>0</v>
      </c>
      <c r="W28" s="52">
        <v>0.027778</v>
      </c>
      <c r="X28" s="52">
        <v>0.044119</v>
      </c>
      <c r="Y28" s="52">
        <v>0.748149</v>
      </c>
      <c r="Z28" s="52">
        <v>0.5</v>
      </c>
      <c r="AA28" s="52">
        <v>0</v>
      </c>
      <c r="AB28" s="81">
        <v>28</v>
      </c>
      <c r="AC28" s="81"/>
      <c r="AD28" s="99"/>
      <c r="AE28" s="84" t="s">
        <v>526</v>
      </c>
      <c r="AF28" s="92" t="s">
        <v>556</v>
      </c>
      <c r="AG28" s="84">
        <v>564</v>
      </c>
      <c r="AH28" s="84">
        <v>515</v>
      </c>
      <c r="AI28" s="84">
        <v>377</v>
      </c>
      <c r="AJ28" s="84">
        <v>988</v>
      </c>
      <c r="AK28" s="84"/>
      <c r="AL28" s="84" t="s">
        <v>585</v>
      </c>
      <c r="AM28" s="84" t="s">
        <v>609</v>
      </c>
      <c r="AN28" s="88" t="str">
        <f>HYPERLINK("https://t.co/rN9S0Bfxnu")</f>
        <v>https://t.co/rN9S0Bfxnu</v>
      </c>
      <c r="AO28" s="84"/>
      <c r="AP28" s="86">
        <v>40207.70974537037</v>
      </c>
      <c r="AQ28" s="88" t="str">
        <f>HYPERLINK("https://pbs.twimg.com/profile_banners/109609546/1597246929")</f>
        <v>https://pbs.twimg.com/profile_banners/109609546/1597246929</v>
      </c>
      <c r="AR28" s="84" t="b">
        <v>1</v>
      </c>
      <c r="AS28" s="84" t="b">
        <v>0</v>
      </c>
      <c r="AT28" s="84" t="b">
        <v>1</v>
      </c>
      <c r="AU28" s="84"/>
      <c r="AV28" s="84">
        <v>3</v>
      </c>
      <c r="AW28" s="88" t="str">
        <f>HYPERLINK("https://abs.twimg.com/images/themes/theme1/bg.png")</f>
        <v>https://abs.twimg.com/images/themes/theme1/bg.png</v>
      </c>
      <c r="AX28" s="84" t="b">
        <v>0</v>
      </c>
      <c r="AY28" s="84" t="s">
        <v>615</v>
      </c>
      <c r="AZ28" s="88" t="str">
        <f>HYPERLINK("https://twitter.com/vanitarora")</f>
        <v>https://twitter.com/vanitarora</v>
      </c>
      <c r="BA28" s="84" t="s">
        <v>66</v>
      </c>
      <c r="BB28" s="84" t="str">
        <f>REPLACE(INDEX(GroupVertices[Group],MATCH(Vertices[[#This Row],[Vertex]],GroupVertices[Vertex],0)),1,1,"")</f>
        <v>3</v>
      </c>
      <c r="BC28" s="51"/>
      <c r="BD28" s="51"/>
      <c r="BE28" s="51"/>
      <c r="BF28" s="51"/>
      <c r="BG28" s="51" t="s">
        <v>328</v>
      </c>
      <c r="BH28" s="51" t="s">
        <v>328</v>
      </c>
      <c r="BI28" s="123" t="s">
        <v>845</v>
      </c>
      <c r="BJ28" s="123" t="s">
        <v>845</v>
      </c>
      <c r="BK28" s="123" t="s">
        <v>870</v>
      </c>
      <c r="BL28" s="123" t="s">
        <v>870</v>
      </c>
      <c r="BM28" s="123">
        <v>0</v>
      </c>
      <c r="BN28" s="126">
        <v>0</v>
      </c>
      <c r="BO28" s="123">
        <v>1</v>
      </c>
      <c r="BP28" s="126">
        <v>2.9411764705882355</v>
      </c>
      <c r="BQ28" s="123">
        <v>0</v>
      </c>
      <c r="BR28" s="126">
        <v>0</v>
      </c>
      <c r="BS28" s="123">
        <v>33</v>
      </c>
      <c r="BT28" s="126">
        <v>97.05882352941177</v>
      </c>
      <c r="BU28" s="123">
        <v>34</v>
      </c>
      <c r="BV28" s="2"/>
      <c r="BW28" s="3"/>
      <c r="BX28" s="3"/>
      <c r="BY28" s="3"/>
      <c r="BZ28" s="3"/>
    </row>
    <row r="29" spans="1:78" ht="41.45" customHeight="1">
      <c r="A29" s="14" t="s">
        <v>281</v>
      </c>
      <c r="C29" s="15"/>
      <c r="D29" s="15" t="s">
        <v>64</v>
      </c>
      <c r="E29" s="94">
        <v>295.71582427964097</v>
      </c>
      <c r="F29" s="80">
        <v>99.47527572101693</v>
      </c>
      <c r="G29" s="113" t="str">
        <f>HYPERLINK("https://pbs.twimg.com/profile_images/1247511799/image_normal.jpg")</f>
        <v>https://pbs.twimg.com/profile_images/1247511799/image_normal.jpg</v>
      </c>
      <c r="H29" s="15"/>
      <c r="I29" s="16" t="s">
        <v>281</v>
      </c>
      <c r="J29" s="67"/>
      <c r="K29" s="67"/>
      <c r="L29" s="115" t="s">
        <v>641</v>
      </c>
      <c r="M29" s="95">
        <v>175.87311137575728</v>
      </c>
      <c r="N29" s="96">
        <v>8344.4599609375</v>
      </c>
      <c r="O29" s="96">
        <v>5768.8642578125</v>
      </c>
      <c r="P29" s="78"/>
      <c r="Q29" s="97"/>
      <c r="R29" s="97"/>
      <c r="S29" s="98"/>
      <c r="T29" s="51">
        <v>3</v>
      </c>
      <c r="U29" s="51">
        <v>0</v>
      </c>
      <c r="V29" s="52">
        <v>1</v>
      </c>
      <c r="W29" s="52">
        <v>0.028571</v>
      </c>
      <c r="X29" s="52">
        <v>0.054478</v>
      </c>
      <c r="Y29" s="52">
        <v>1.052554</v>
      </c>
      <c r="Z29" s="52">
        <v>0.3333333333333333</v>
      </c>
      <c r="AA29" s="52">
        <v>0</v>
      </c>
      <c r="AB29" s="81">
        <v>29</v>
      </c>
      <c r="AC29" s="81"/>
      <c r="AD29" s="99"/>
      <c r="AE29" s="84" t="s">
        <v>527</v>
      </c>
      <c r="AF29" s="92" t="s">
        <v>557</v>
      </c>
      <c r="AG29" s="84">
        <v>729</v>
      </c>
      <c r="AH29" s="84">
        <v>1691</v>
      </c>
      <c r="AI29" s="84">
        <v>7037</v>
      </c>
      <c r="AJ29" s="84">
        <v>17145</v>
      </c>
      <c r="AK29" s="84"/>
      <c r="AL29" s="84" t="s">
        <v>586</v>
      </c>
      <c r="AM29" s="84" t="s">
        <v>610</v>
      </c>
      <c r="AN29" s="84"/>
      <c r="AO29" s="84"/>
      <c r="AP29" s="86">
        <v>40528.90503472222</v>
      </c>
      <c r="AQ29" s="88" t="str">
        <f>HYPERLINK("https://pbs.twimg.com/profile_banners/227451696/1550995979")</f>
        <v>https://pbs.twimg.com/profile_banners/227451696/1550995979</v>
      </c>
      <c r="AR29" s="84" t="b">
        <v>1</v>
      </c>
      <c r="AS29" s="84" t="b">
        <v>0</v>
      </c>
      <c r="AT29" s="84" t="b">
        <v>0</v>
      </c>
      <c r="AU29" s="84"/>
      <c r="AV29" s="84">
        <v>21</v>
      </c>
      <c r="AW29" s="88" t="str">
        <f>HYPERLINK("https://abs.twimg.com/images/themes/theme1/bg.png")</f>
        <v>https://abs.twimg.com/images/themes/theme1/bg.png</v>
      </c>
      <c r="AX29" s="84" t="b">
        <v>0</v>
      </c>
      <c r="AY29" s="84" t="s">
        <v>615</v>
      </c>
      <c r="AZ29" s="88" t="str">
        <f>HYPERLINK("https://twitter.com/rowan_wallace")</f>
        <v>https://twitter.com/rowan_wallace</v>
      </c>
      <c r="BA29" s="84" t="s">
        <v>65</v>
      </c>
      <c r="BB29" s="84" t="str">
        <f>REPLACE(INDEX(GroupVertices[Group],MATCH(Vertices[[#This Row],[Vertex]],GroupVertices[Vertex],0)),1,1,"")</f>
        <v>3</v>
      </c>
      <c r="BC29" s="51"/>
      <c r="BD29" s="51"/>
      <c r="BE29" s="51"/>
      <c r="BF29" s="51"/>
      <c r="BG29" s="51"/>
      <c r="BH29" s="51"/>
      <c r="BI29" s="51"/>
      <c r="BJ29" s="51"/>
      <c r="BK29" s="51"/>
      <c r="BL29" s="51"/>
      <c r="BM29" s="51"/>
      <c r="BN29" s="52"/>
      <c r="BO29" s="51"/>
      <c r="BP29" s="52"/>
      <c r="BQ29" s="51"/>
      <c r="BR29" s="52"/>
      <c r="BS29" s="51"/>
      <c r="BT29" s="52"/>
      <c r="BU29" s="51"/>
      <c r="BV29" s="2"/>
      <c r="BW29" s="3"/>
      <c r="BX29" s="3"/>
      <c r="BY29" s="3"/>
      <c r="BZ29" s="3"/>
    </row>
    <row r="30" spans="1:78" ht="41.45" customHeight="1">
      <c r="A30" s="14" t="s">
        <v>269</v>
      </c>
      <c r="C30" s="15"/>
      <c r="D30" s="15" t="s">
        <v>64</v>
      </c>
      <c r="E30" s="94">
        <v>370.8468587623996</v>
      </c>
      <c r="F30" s="80">
        <v>99.18044840263035</v>
      </c>
      <c r="G30" s="113" t="str">
        <f>HYPERLINK("https://pbs.twimg.com/profile_images/606446980546576384/IkbaumIT_normal.jpg")</f>
        <v>https://pbs.twimg.com/profile_images/606446980546576384/IkbaumIT_normal.jpg</v>
      </c>
      <c r="H30" s="15"/>
      <c r="I30" s="16" t="s">
        <v>269</v>
      </c>
      <c r="J30" s="67"/>
      <c r="K30" s="67"/>
      <c r="L30" s="115" t="s">
        <v>642</v>
      </c>
      <c r="M30" s="95">
        <v>274.1292290167245</v>
      </c>
      <c r="N30" s="96">
        <v>4922.4208984375</v>
      </c>
      <c r="O30" s="96">
        <v>6419.8349609375</v>
      </c>
      <c r="P30" s="78"/>
      <c r="Q30" s="97"/>
      <c r="R30" s="97"/>
      <c r="S30" s="98"/>
      <c r="T30" s="51">
        <v>0</v>
      </c>
      <c r="U30" s="51">
        <v>1</v>
      </c>
      <c r="V30" s="52">
        <v>0</v>
      </c>
      <c r="W30" s="52">
        <v>0.027027</v>
      </c>
      <c r="X30" s="52">
        <v>0.034064</v>
      </c>
      <c r="Y30" s="52">
        <v>0.449926</v>
      </c>
      <c r="Z30" s="52">
        <v>0</v>
      </c>
      <c r="AA30" s="52">
        <v>0</v>
      </c>
      <c r="AB30" s="81">
        <v>30</v>
      </c>
      <c r="AC30" s="81"/>
      <c r="AD30" s="99"/>
      <c r="AE30" s="84" t="s">
        <v>528</v>
      </c>
      <c r="AF30" s="92" t="s">
        <v>558</v>
      </c>
      <c r="AG30" s="84">
        <v>999</v>
      </c>
      <c r="AH30" s="84">
        <v>2640</v>
      </c>
      <c r="AI30" s="84">
        <v>2168</v>
      </c>
      <c r="AJ30" s="84">
        <v>820</v>
      </c>
      <c r="AK30" s="84"/>
      <c r="AL30" s="84" t="s">
        <v>587</v>
      </c>
      <c r="AM30" s="84" t="s">
        <v>611</v>
      </c>
      <c r="AN30" s="88" t="str">
        <f>HYPERLINK("http://t.co/YPMONaO30l")</f>
        <v>http://t.co/YPMONaO30l</v>
      </c>
      <c r="AO30" s="84"/>
      <c r="AP30" s="86">
        <v>41549.36895833333</v>
      </c>
      <c r="AQ30" s="84"/>
      <c r="AR30" s="84" t="b">
        <v>0</v>
      </c>
      <c r="AS30" s="84" t="b">
        <v>0</v>
      </c>
      <c r="AT30" s="84" t="b">
        <v>0</v>
      </c>
      <c r="AU30" s="84"/>
      <c r="AV30" s="84">
        <v>30</v>
      </c>
      <c r="AW30" s="88" t="str">
        <f>HYPERLINK("https://abs.twimg.com/images/themes/theme1/bg.png")</f>
        <v>https://abs.twimg.com/images/themes/theme1/bg.png</v>
      </c>
      <c r="AX30" s="84" t="b">
        <v>0</v>
      </c>
      <c r="AY30" s="84" t="s">
        <v>615</v>
      </c>
      <c r="AZ30" s="88" t="str">
        <f>HYPERLINK("https://twitter.com/edinburghstroke")</f>
        <v>https://twitter.com/edinburghstroke</v>
      </c>
      <c r="BA30" s="84" t="s">
        <v>66</v>
      </c>
      <c r="BB30" s="84" t="str">
        <f>REPLACE(INDEX(GroupVertices[Group],MATCH(Vertices[[#This Row],[Vertex]],GroupVertices[Vertex],0)),1,1,"")</f>
        <v>1</v>
      </c>
      <c r="BC30" s="51"/>
      <c r="BD30" s="51"/>
      <c r="BE30" s="51"/>
      <c r="BF30" s="51"/>
      <c r="BG30" s="51" t="s">
        <v>328</v>
      </c>
      <c r="BH30" s="51" t="s">
        <v>328</v>
      </c>
      <c r="BI30" s="123" t="s">
        <v>836</v>
      </c>
      <c r="BJ30" s="123" t="s">
        <v>836</v>
      </c>
      <c r="BK30" s="123" t="s">
        <v>862</v>
      </c>
      <c r="BL30" s="123" t="s">
        <v>862</v>
      </c>
      <c r="BM30" s="123">
        <v>2</v>
      </c>
      <c r="BN30" s="126">
        <v>5.882352941176471</v>
      </c>
      <c r="BO30" s="123">
        <v>0</v>
      </c>
      <c r="BP30" s="126">
        <v>0</v>
      </c>
      <c r="BQ30" s="123">
        <v>0</v>
      </c>
      <c r="BR30" s="126">
        <v>0</v>
      </c>
      <c r="BS30" s="123">
        <v>32</v>
      </c>
      <c r="BT30" s="126">
        <v>94.11764705882354</v>
      </c>
      <c r="BU30" s="123">
        <v>34</v>
      </c>
      <c r="BV30" s="2"/>
      <c r="BW30" s="3"/>
      <c r="BX30" s="3"/>
      <c r="BY30" s="3"/>
      <c r="BZ30" s="3"/>
    </row>
    <row r="31" spans="1:78" ht="41.45" customHeight="1">
      <c r="A31" s="14" t="s">
        <v>270</v>
      </c>
      <c r="C31" s="15"/>
      <c r="D31" s="15" t="s">
        <v>64</v>
      </c>
      <c r="E31" s="94">
        <v>162.4750118091639</v>
      </c>
      <c r="F31" s="80">
        <v>99.99813597058976</v>
      </c>
      <c r="G31" s="113" t="str">
        <f>HYPERLINK("https://pbs.twimg.com/profile_images/1283809872123957254/10oO8KFN_normal.jpg")</f>
        <v>https://pbs.twimg.com/profile_images/1283809872123957254/10oO8KFN_normal.jpg</v>
      </c>
      <c r="H31" s="15"/>
      <c r="I31" s="16" t="s">
        <v>270</v>
      </c>
      <c r="J31" s="67"/>
      <c r="K31" s="67"/>
      <c r="L31" s="115" t="s">
        <v>643</v>
      </c>
      <c r="M31" s="95">
        <v>1.6212188681199193</v>
      </c>
      <c r="N31" s="96">
        <v>3920.13525390625</v>
      </c>
      <c r="O31" s="96">
        <v>9146.9443359375</v>
      </c>
      <c r="P31" s="78"/>
      <c r="Q31" s="97"/>
      <c r="R31" s="97"/>
      <c r="S31" s="98"/>
      <c r="T31" s="51">
        <v>0</v>
      </c>
      <c r="U31" s="51">
        <v>1</v>
      </c>
      <c r="V31" s="52">
        <v>0</v>
      </c>
      <c r="W31" s="52">
        <v>0.027027</v>
      </c>
      <c r="X31" s="52">
        <v>0.034064</v>
      </c>
      <c r="Y31" s="52">
        <v>0.449926</v>
      </c>
      <c r="Z31" s="52">
        <v>0</v>
      </c>
      <c r="AA31" s="52">
        <v>0</v>
      </c>
      <c r="AB31" s="81">
        <v>31</v>
      </c>
      <c r="AC31" s="81"/>
      <c r="AD31" s="99"/>
      <c r="AE31" s="84" t="s">
        <v>529</v>
      </c>
      <c r="AF31" s="92" t="s">
        <v>559</v>
      </c>
      <c r="AG31" s="84">
        <v>84</v>
      </c>
      <c r="AH31" s="84">
        <v>8</v>
      </c>
      <c r="AI31" s="84">
        <v>21</v>
      </c>
      <c r="AJ31" s="84">
        <v>6</v>
      </c>
      <c r="AK31" s="84"/>
      <c r="AL31" s="84"/>
      <c r="AM31" s="84" t="s">
        <v>612</v>
      </c>
      <c r="AN31" s="84"/>
      <c r="AO31" s="84"/>
      <c r="AP31" s="86">
        <v>43816.84868055556</v>
      </c>
      <c r="AQ31" s="88" t="str">
        <f>HYPERLINK("https://pbs.twimg.com/profile_banners/1207033214809911302/1576615993")</f>
        <v>https://pbs.twimg.com/profile_banners/1207033214809911302/1576615993</v>
      </c>
      <c r="AR31" s="84" t="b">
        <v>1</v>
      </c>
      <c r="AS31" s="84" t="b">
        <v>0</v>
      </c>
      <c r="AT31" s="84" t="b">
        <v>0</v>
      </c>
      <c r="AU31" s="84"/>
      <c r="AV31" s="84">
        <v>0</v>
      </c>
      <c r="AW31" s="84"/>
      <c r="AX31" s="84" t="b">
        <v>0</v>
      </c>
      <c r="AY31" s="84" t="s">
        <v>615</v>
      </c>
      <c r="AZ31" s="88" t="str">
        <f>HYPERLINK("https://twitter.com/drzakakhan")</f>
        <v>https://twitter.com/drzakakhan</v>
      </c>
      <c r="BA31" s="84" t="s">
        <v>66</v>
      </c>
      <c r="BB31" s="84" t="str">
        <f>REPLACE(INDEX(GroupVertices[Group],MATCH(Vertices[[#This Row],[Vertex]],GroupVertices[Vertex],0)),1,1,"")</f>
        <v>1</v>
      </c>
      <c r="BC31" s="51"/>
      <c r="BD31" s="51"/>
      <c r="BE31" s="51"/>
      <c r="BF31" s="51"/>
      <c r="BG31" s="51" t="s">
        <v>328</v>
      </c>
      <c r="BH31" s="51" t="s">
        <v>328</v>
      </c>
      <c r="BI31" s="123" t="s">
        <v>832</v>
      </c>
      <c r="BJ31" s="123" t="s">
        <v>832</v>
      </c>
      <c r="BK31" s="123" t="s">
        <v>858</v>
      </c>
      <c r="BL31" s="123" t="s">
        <v>858</v>
      </c>
      <c r="BM31" s="123">
        <v>0</v>
      </c>
      <c r="BN31" s="126">
        <v>0</v>
      </c>
      <c r="BO31" s="123">
        <v>1</v>
      </c>
      <c r="BP31" s="126">
        <v>4.3478260869565215</v>
      </c>
      <c r="BQ31" s="123">
        <v>0</v>
      </c>
      <c r="BR31" s="126">
        <v>0</v>
      </c>
      <c r="BS31" s="123">
        <v>22</v>
      </c>
      <c r="BT31" s="126">
        <v>95.65217391304348</v>
      </c>
      <c r="BU31" s="123">
        <v>23</v>
      </c>
      <c r="BV31" s="2"/>
      <c r="BW31" s="3"/>
      <c r="BX31" s="3"/>
      <c r="BY31" s="3"/>
      <c r="BZ31" s="3"/>
    </row>
    <row r="32" spans="1:78" ht="41.45" customHeight="1">
      <c r="A32" s="14" t="s">
        <v>271</v>
      </c>
      <c r="C32" s="15"/>
      <c r="D32" s="15" t="s">
        <v>64</v>
      </c>
      <c r="E32" s="94">
        <v>175.37949929145017</v>
      </c>
      <c r="F32" s="80">
        <v>99.94749650494485</v>
      </c>
      <c r="G32" s="113" t="str">
        <f>HYPERLINK("https://pbs.twimg.com/profile_images/593180271836561408/__kkm07R_normal.jpg")</f>
        <v>https://pbs.twimg.com/profile_images/593180271836561408/__kkm07R_normal.jpg</v>
      </c>
      <c r="H32" s="15"/>
      <c r="I32" s="16" t="s">
        <v>271</v>
      </c>
      <c r="J32" s="67"/>
      <c r="K32" s="67"/>
      <c r="L32" s="115" t="s">
        <v>644</v>
      </c>
      <c r="M32" s="95">
        <v>18.497664785377726</v>
      </c>
      <c r="N32" s="96">
        <v>4801</v>
      </c>
      <c r="O32" s="96">
        <v>4004.287353515625</v>
      </c>
      <c r="P32" s="78"/>
      <c r="Q32" s="97"/>
      <c r="R32" s="97"/>
      <c r="S32" s="98"/>
      <c r="T32" s="51">
        <v>0</v>
      </c>
      <c r="U32" s="51">
        <v>1</v>
      </c>
      <c r="V32" s="52">
        <v>0</v>
      </c>
      <c r="W32" s="52">
        <v>0.027027</v>
      </c>
      <c r="X32" s="52">
        <v>0.034064</v>
      </c>
      <c r="Y32" s="52">
        <v>0.449926</v>
      </c>
      <c r="Z32" s="52">
        <v>0</v>
      </c>
      <c r="AA32" s="52">
        <v>0</v>
      </c>
      <c r="AB32" s="81">
        <v>32</v>
      </c>
      <c r="AC32" s="81"/>
      <c r="AD32" s="99"/>
      <c r="AE32" s="84" t="s">
        <v>530</v>
      </c>
      <c r="AF32" s="92" t="s">
        <v>560</v>
      </c>
      <c r="AG32" s="84">
        <v>345</v>
      </c>
      <c r="AH32" s="84">
        <v>171</v>
      </c>
      <c r="AI32" s="84">
        <v>374</v>
      </c>
      <c r="AJ32" s="84">
        <v>391</v>
      </c>
      <c r="AK32" s="84"/>
      <c r="AL32" s="84" t="s">
        <v>588</v>
      </c>
      <c r="AM32" s="84" t="s">
        <v>613</v>
      </c>
      <c r="AN32" s="84"/>
      <c r="AO32" s="84"/>
      <c r="AP32" s="86">
        <v>42122.935</v>
      </c>
      <c r="AQ32" s="88" t="str">
        <f>HYPERLINK("https://pbs.twimg.com/profile_banners/3219099573/1430260179")</f>
        <v>https://pbs.twimg.com/profile_banners/3219099573/1430260179</v>
      </c>
      <c r="AR32" s="84" t="b">
        <v>1</v>
      </c>
      <c r="AS32" s="84" t="b">
        <v>0</v>
      </c>
      <c r="AT32" s="84" t="b">
        <v>0</v>
      </c>
      <c r="AU32" s="84"/>
      <c r="AV32" s="84">
        <v>1</v>
      </c>
      <c r="AW32" s="88" t="str">
        <f>HYPERLINK("https://abs.twimg.com/images/themes/theme1/bg.png")</f>
        <v>https://abs.twimg.com/images/themes/theme1/bg.png</v>
      </c>
      <c r="AX32" s="84" t="b">
        <v>0</v>
      </c>
      <c r="AY32" s="84" t="s">
        <v>615</v>
      </c>
      <c r="AZ32" s="88" t="str">
        <f>HYPERLINK("https://twitter.com/kemuol")</f>
        <v>https://twitter.com/kemuol</v>
      </c>
      <c r="BA32" s="84" t="s">
        <v>66</v>
      </c>
      <c r="BB32" s="84" t="str">
        <f>REPLACE(INDEX(GroupVertices[Group],MATCH(Vertices[[#This Row],[Vertex]],GroupVertices[Vertex],0)),1,1,"")</f>
        <v>1</v>
      </c>
      <c r="BC32" s="51"/>
      <c r="BD32" s="51"/>
      <c r="BE32" s="51"/>
      <c r="BF32" s="51"/>
      <c r="BG32" s="51" t="s">
        <v>328</v>
      </c>
      <c r="BH32" s="51" t="s">
        <v>328</v>
      </c>
      <c r="BI32" s="123" t="s">
        <v>846</v>
      </c>
      <c r="BJ32" s="123" t="s">
        <v>846</v>
      </c>
      <c r="BK32" s="123" t="s">
        <v>871</v>
      </c>
      <c r="BL32" s="123" t="s">
        <v>871</v>
      </c>
      <c r="BM32" s="123">
        <v>0</v>
      </c>
      <c r="BN32" s="126">
        <v>0</v>
      </c>
      <c r="BO32" s="123">
        <v>1</v>
      </c>
      <c r="BP32" s="126">
        <v>4.166666666666667</v>
      </c>
      <c r="BQ32" s="123">
        <v>0</v>
      </c>
      <c r="BR32" s="126">
        <v>0</v>
      </c>
      <c r="BS32" s="123">
        <v>23</v>
      </c>
      <c r="BT32" s="126">
        <v>95.83333333333333</v>
      </c>
      <c r="BU32" s="123">
        <v>24</v>
      </c>
      <c r="BV32" s="2"/>
      <c r="BW32" s="3"/>
      <c r="BX32" s="3"/>
      <c r="BY32" s="3"/>
      <c r="BZ32" s="3"/>
    </row>
    <row r="33" spans="1:78" ht="41.45" customHeight="1">
      <c r="A33" s="14" t="s">
        <v>273</v>
      </c>
      <c r="C33" s="15"/>
      <c r="D33" s="15" t="s">
        <v>64</v>
      </c>
      <c r="E33" s="94">
        <v>198.57590930562117</v>
      </c>
      <c r="F33" s="80">
        <v>99.85646973541138</v>
      </c>
      <c r="G33" s="113" t="str">
        <f>HYPERLINK("https://pbs.twimg.com/profile_images/763810887023157248/xL7PikMR_normal.jpg")</f>
        <v>https://pbs.twimg.com/profile_images/763810887023157248/xL7PikMR_normal.jpg</v>
      </c>
      <c r="H33" s="15"/>
      <c r="I33" s="16" t="s">
        <v>273</v>
      </c>
      <c r="J33" s="67"/>
      <c r="K33" s="67"/>
      <c r="L33" s="115" t="s">
        <v>645</v>
      </c>
      <c r="M33" s="95">
        <v>48.83385284523378</v>
      </c>
      <c r="N33" s="96">
        <v>8344.4599609375</v>
      </c>
      <c r="O33" s="96">
        <v>8369.9189453125</v>
      </c>
      <c r="P33" s="78"/>
      <c r="Q33" s="97"/>
      <c r="R33" s="97"/>
      <c r="S33" s="98"/>
      <c r="T33" s="51">
        <v>0</v>
      </c>
      <c r="U33" s="51">
        <v>4</v>
      </c>
      <c r="V33" s="52">
        <v>3</v>
      </c>
      <c r="W33" s="52">
        <v>0.029412</v>
      </c>
      <c r="X33" s="52">
        <v>0.066484</v>
      </c>
      <c r="Y33" s="52">
        <v>1.339603</v>
      </c>
      <c r="Z33" s="52">
        <v>0.25</v>
      </c>
      <c r="AA33" s="52">
        <v>0</v>
      </c>
      <c r="AB33" s="81">
        <v>33</v>
      </c>
      <c r="AC33" s="81"/>
      <c r="AD33" s="99"/>
      <c r="AE33" s="84" t="s">
        <v>531</v>
      </c>
      <c r="AF33" s="92" t="s">
        <v>561</v>
      </c>
      <c r="AG33" s="84">
        <v>274</v>
      </c>
      <c r="AH33" s="84">
        <v>464</v>
      </c>
      <c r="AI33" s="84">
        <v>4188</v>
      </c>
      <c r="AJ33" s="84">
        <v>7594</v>
      </c>
      <c r="AK33" s="84"/>
      <c r="AL33" s="84" t="s">
        <v>589</v>
      </c>
      <c r="AM33" s="84"/>
      <c r="AN33" s="84"/>
      <c r="AO33" s="84"/>
      <c r="AP33" s="86">
        <v>41691.781273148146</v>
      </c>
      <c r="AQ33" s="88" t="str">
        <f>HYPERLINK("https://pbs.twimg.com/profile_banners/2357053204/1485762580")</f>
        <v>https://pbs.twimg.com/profile_banners/2357053204/1485762580</v>
      </c>
      <c r="AR33" s="84" t="b">
        <v>0</v>
      </c>
      <c r="AS33" s="84" t="b">
        <v>0</v>
      </c>
      <c r="AT33" s="84" t="b">
        <v>0</v>
      </c>
      <c r="AU33" s="84"/>
      <c r="AV33" s="84">
        <v>11</v>
      </c>
      <c r="AW33" s="88" t="str">
        <f>HYPERLINK("https://abs.twimg.com/images/themes/theme1/bg.png")</f>
        <v>https://abs.twimg.com/images/themes/theme1/bg.png</v>
      </c>
      <c r="AX33" s="84" t="b">
        <v>0</v>
      </c>
      <c r="AY33" s="84" t="s">
        <v>615</v>
      </c>
      <c r="AZ33" s="88" t="str">
        <f>HYPERLINK("https://twitter.com/tinahen08")</f>
        <v>https://twitter.com/tinahen08</v>
      </c>
      <c r="BA33" s="84" t="s">
        <v>66</v>
      </c>
      <c r="BB33" s="84" t="str">
        <f>REPLACE(INDEX(GroupVertices[Group],MATCH(Vertices[[#This Row],[Vertex]],GroupVertices[Vertex],0)),1,1,"")</f>
        <v>3</v>
      </c>
      <c r="BC33" s="51"/>
      <c r="BD33" s="51"/>
      <c r="BE33" s="51"/>
      <c r="BF33" s="51"/>
      <c r="BG33" s="51" t="s">
        <v>699</v>
      </c>
      <c r="BH33" s="51" t="s">
        <v>331</v>
      </c>
      <c r="BI33" s="123" t="s">
        <v>847</v>
      </c>
      <c r="BJ33" s="123" t="s">
        <v>853</v>
      </c>
      <c r="BK33" s="123" t="s">
        <v>872</v>
      </c>
      <c r="BL33" s="123" t="s">
        <v>872</v>
      </c>
      <c r="BM33" s="123">
        <v>13</v>
      </c>
      <c r="BN33" s="126">
        <v>6.132075471698113</v>
      </c>
      <c r="BO33" s="123">
        <v>8</v>
      </c>
      <c r="BP33" s="126">
        <v>3.7735849056603774</v>
      </c>
      <c r="BQ33" s="123">
        <v>0</v>
      </c>
      <c r="BR33" s="126">
        <v>0</v>
      </c>
      <c r="BS33" s="123">
        <v>191</v>
      </c>
      <c r="BT33" s="126">
        <v>90.09433962264151</v>
      </c>
      <c r="BU33" s="123">
        <v>212</v>
      </c>
      <c r="BV33" s="2"/>
      <c r="BW33" s="3"/>
      <c r="BX33" s="3"/>
      <c r="BY33" s="3"/>
      <c r="BZ33" s="3"/>
    </row>
    <row r="34" spans="1:78" ht="41.45" customHeight="1">
      <c r="A34" s="100" t="s">
        <v>282</v>
      </c>
      <c r="C34" s="101"/>
      <c r="D34" s="101" t="s">
        <v>64</v>
      </c>
      <c r="E34" s="102">
        <v>1000</v>
      </c>
      <c r="F34" s="103">
        <v>70</v>
      </c>
      <c r="G34" s="114" t="str">
        <f>HYPERLINK("https://pbs.twimg.com/profile_images/1346049435512545280/3d07sCYg_normal.jpg")</f>
        <v>https://pbs.twimg.com/profile_images/1346049435512545280/3d07sCYg_normal.jpg</v>
      </c>
      <c r="H34" s="101"/>
      <c r="I34" s="104" t="s">
        <v>282</v>
      </c>
      <c r="J34" s="105"/>
      <c r="K34" s="105"/>
      <c r="L34" s="116" t="s">
        <v>646</v>
      </c>
      <c r="M34" s="106">
        <v>9999</v>
      </c>
      <c r="N34" s="107">
        <v>9341.1708984375</v>
      </c>
      <c r="O34" s="107">
        <v>5768.8642578125</v>
      </c>
      <c r="P34" s="108"/>
      <c r="Q34" s="109"/>
      <c r="R34" s="109"/>
      <c r="S34" s="110"/>
      <c r="T34" s="51">
        <v>2</v>
      </c>
      <c r="U34" s="51">
        <v>0</v>
      </c>
      <c r="V34" s="52">
        <v>0</v>
      </c>
      <c r="W34" s="52">
        <v>0.027778</v>
      </c>
      <c r="X34" s="52">
        <v>0.046335</v>
      </c>
      <c r="Y34" s="52">
        <v>0.734591</v>
      </c>
      <c r="Z34" s="52">
        <v>0.5</v>
      </c>
      <c r="AA34" s="52">
        <v>0</v>
      </c>
      <c r="AB34" s="111">
        <v>34</v>
      </c>
      <c r="AC34" s="111"/>
      <c r="AD34" s="112"/>
      <c r="AE34" s="84" t="s">
        <v>532</v>
      </c>
      <c r="AF34" s="92" t="s">
        <v>562</v>
      </c>
      <c r="AG34" s="84">
        <v>4712</v>
      </c>
      <c r="AH34" s="84">
        <v>96567</v>
      </c>
      <c r="AI34" s="84">
        <v>25328</v>
      </c>
      <c r="AJ34" s="84">
        <v>3005</v>
      </c>
      <c r="AK34" s="84"/>
      <c r="AL34" s="84" t="s">
        <v>590</v>
      </c>
      <c r="AM34" s="84"/>
      <c r="AN34" s="88" t="str">
        <f>HYPERLINK("https://t.co/1qYD2Tcois")</f>
        <v>https://t.co/1qYD2Tcois</v>
      </c>
      <c r="AO34" s="84"/>
      <c r="AP34" s="86">
        <v>39631.756319444445</v>
      </c>
      <c r="AQ34" s="88" t="str">
        <f>HYPERLINK("https://pbs.twimg.com/profile_banners/15300222/1604311844")</f>
        <v>https://pbs.twimg.com/profile_banners/15300222/1604311844</v>
      </c>
      <c r="AR34" s="84" t="b">
        <v>1</v>
      </c>
      <c r="AS34" s="84" t="b">
        <v>0</v>
      </c>
      <c r="AT34" s="84" t="b">
        <v>1</v>
      </c>
      <c r="AU34" s="84"/>
      <c r="AV34" s="84">
        <v>1183</v>
      </c>
      <c r="AW34" s="88" t="str">
        <f>HYPERLINK("https://abs.twimg.com/images/themes/theme1/bg.png")</f>
        <v>https://abs.twimg.com/images/themes/theme1/bg.png</v>
      </c>
      <c r="AX34" s="84" t="b">
        <v>1</v>
      </c>
      <c r="AY34" s="84" t="s">
        <v>615</v>
      </c>
      <c r="AZ34" s="88" t="str">
        <f>HYPERLINK("https://twitter.com/rcpsych")</f>
        <v>https://twitter.com/rcpsych</v>
      </c>
      <c r="BA34" s="84" t="s">
        <v>65</v>
      </c>
      <c r="BB34" s="84" t="str">
        <f>REPLACE(INDEX(GroupVertices[Group],MATCH(Vertices[[#This Row],[Vertex]],GroupVertices[Vertex],0)),1,1,"")</f>
        <v>3</v>
      </c>
      <c r="BC34" s="51"/>
      <c r="BD34" s="51"/>
      <c r="BE34" s="51"/>
      <c r="BF34" s="51"/>
      <c r="BG34" s="51"/>
      <c r="BH34" s="51"/>
      <c r="BI34" s="51"/>
      <c r="BJ34" s="51"/>
      <c r="BK34" s="51"/>
      <c r="BL34" s="51"/>
      <c r="BM34" s="51"/>
      <c r="BN34" s="52"/>
      <c r="BO34" s="51"/>
      <c r="BP34" s="52"/>
      <c r="BQ34" s="51"/>
      <c r="BR34" s="52"/>
      <c r="BS34" s="51"/>
      <c r="BT34" s="52"/>
      <c r="BU34" s="51"/>
      <c r="BV34" s="2"/>
      <c r="BW34" s="3"/>
      <c r="BX34" s="3"/>
      <c r="BY34" s="3"/>
      <c r="BZ34" s="3"/>
    </row>
  </sheetData>
  <dataValidations count="20">
    <dataValidation allowBlank="1" showErrorMessage="1" sqref="BV2"/>
    <dataValidation allowBlank="1" showInputMessage="1" showErrorMessage="1" promptTitle="Vertex Name" prompt="Enter the name of the vertex." sqref="A3:A80"/>
    <dataValidation allowBlank="1" errorTitle="Invalid Vertex Visibility" error="You have entered an unrecognized vertex visibility.  Try selecting from the drop-down list instead." sqref="AD35:AD80 BV3:BV34"/>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5:AA80 AB3:AB34"/>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5:O80 P3:P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5:N80 N3:O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5:L80 M3:M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5:P80 Q3:Q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5:Q80 R3:R34"/>
    <dataValidation allowBlank="1" showInputMessage="1" promptTitle="Vertex Tooltip" prompt="Enter optional text that will pop up when the mouse is hovered over the vertex." errorTitle="Invalid Vertex Image Key" sqref="K35:K80 L3:L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5:AB80 AC3:AC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5:G80 H3:H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5:H80 I3:I34"/>
    <dataValidation allowBlank="1" showInputMessage="1" promptTitle="Vertex Label Fill Color" prompt="To select an optional fill color for the Label shape, right-click and select Select Color on the right-click menu." sqref="I35:I80 J3:J34"/>
    <dataValidation allowBlank="1" showInputMessage="1" promptTitle="Vertex Image File" prompt="Enter the path to an image file.  Hover over the column header for examples." errorTitle="Invalid Vertex Image Key" sqref="F35:F80 G3:G34"/>
    <dataValidation allowBlank="1" showInputMessage="1" promptTitle="Vertex Color" prompt="To select an optional vertex color, right-click and select Select Color on the right-click menu." sqref="B35:B80 C3:C34"/>
    <dataValidation allowBlank="1" showInputMessage="1" promptTitle="Vertex Opacity" prompt="Enter an optional vertex opacity between 0 (transparent) and 100 (opaque)." errorTitle="Invalid Vertex Opacity" error="The optional vertex opacity must be a whole number between 0 and 10." sqref="E35:E80 F3:F34"/>
    <dataValidation type="list" allowBlank="1" showInputMessage="1" showErrorMessage="1" promptTitle="Vertex Shape" prompt="Select an optional vertex shape." errorTitle="Invalid Vertex Shape" error="You have entered an invalid vertex shape.  Try selecting from the drop-down list instead." sqref="C35:C80 D3:D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5:D80 E3:E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5:J80 K3:K34">
      <formula1>ValidVertexLabelPositions</formula1>
    </dataValidation>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A33"/>
    <dataValidation allowBlank="1" showInputMessage="1" showErrorMessage="1" promptTitle="Image File Path" prompt="Enter an image file path.  Hover over the column header for examples." sqref="B2:B33"/>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6.7109375" style="0" bestFit="1" customWidth="1"/>
    <col min="34" max="34" width="20.7109375" style="0" bestFit="1" customWidth="1"/>
    <col min="35" max="35" width="16.7109375" style="0" bestFit="1" customWidth="1"/>
    <col min="36" max="36" width="20.7109375" style="0" bestFit="1" customWidth="1"/>
    <col min="37" max="37" width="16.7109375" style="0" bestFit="1" customWidth="1"/>
    <col min="38" max="38" width="20.7109375" style="0" bestFit="1" customWidth="1"/>
    <col min="39" max="39" width="15.8515625" style="0" bestFit="1" customWidth="1"/>
    <col min="40" max="40" width="19.140625" style="0" bestFit="1" customWidth="1"/>
    <col min="41" max="41" width="14.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678</v>
      </c>
      <c r="Z2" s="13" t="s">
        <v>686</v>
      </c>
      <c r="AA2" s="13" t="s">
        <v>697</v>
      </c>
      <c r="AB2" s="13" t="s">
        <v>737</v>
      </c>
      <c r="AC2" s="13" t="s">
        <v>784</v>
      </c>
      <c r="AD2" s="13" t="s">
        <v>801</v>
      </c>
      <c r="AE2" s="13" t="s">
        <v>803</v>
      </c>
      <c r="AF2" s="13" t="s">
        <v>813</v>
      </c>
      <c r="AG2" s="68" t="s">
        <v>1150</v>
      </c>
      <c r="AH2" s="68" t="s">
        <v>1151</v>
      </c>
      <c r="AI2" s="68" t="s">
        <v>1152</v>
      </c>
      <c r="AJ2" s="68" t="s">
        <v>1153</v>
      </c>
      <c r="AK2" s="68" t="s">
        <v>1154</v>
      </c>
      <c r="AL2" s="68" t="s">
        <v>1155</v>
      </c>
      <c r="AM2" s="68" t="s">
        <v>1156</v>
      </c>
      <c r="AN2" s="68" t="s">
        <v>1157</v>
      </c>
      <c r="AO2" s="68" t="s">
        <v>1160</v>
      </c>
    </row>
    <row r="3" spans="1:41" ht="15">
      <c r="A3" s="83" t="s">
        <v>649</v>
      </c>
      <c r="B3" s="120" t="s">
        <v>654</v>
      </c>
      <c r="C3" s="120" t="s">
        <v>56</v>
      </c>
      <c r="D3" s="118"/>
      <c r="E3" s="15"/>
      <c r="F3" s="16" t="s">
        <v>1199</v>
      </c>
      <c r="G3" s="78"/>
      <c r="H3" s="78"/>
      <c r="I3" s="119">
        <v>3</v>
      </c>
      <c r="J3" s="64"/>
      <c r="K3" s="51">
        <v>16</v>
      </c>
      <c r="L3" s="51">
        <v>17</v>
      </c>
      <c r="M3" s="51">
        <v>31</v>
      </c>
      <c r="N3" s="51">
        <v>48</v>
      </c>
      <c r="O3" s="51">
        <v>23</v>
      </c>
      <c r="P3" s="52">
        <v>0</v>
      </c>
      <c r="Q3" s="52">
        <v>0</v>
      </c>
      <c r="R3" s="51">
        <v>1</v>
      </c>
      <c r="S3" s="51">
        <v>0</v>
      </c>
      <c r="T3" s="51">
        <v>16</v>
      </c>
      <c r="U3" s="51">
        <v>48</v>
      </c>
      <c r="V3" s="51">
        <v>2</v>
      </c>
      <c r="W3" s="52">
        <v>1.734375</v>
      </c>
      <c r="X3" s="52">
        <v>0.075</v>
      </c>
      <c r="Y3" s="84" t="s">
        <v>679</v>
      </c>
      <c r="Z3" s="84" t="s">
        <v>687</v>
      </c>
      <c r="AA3" s="84" t="s">
        <v>698</v>
      </c>
      <c r="AB3" s="92" t="s">
        <v>738</v>
      </c>
      <c r="AC3" s="92" t="s">
        <v>785</v>
      </c>
      <c r="AD3" s="92"/>
      <c r="AE3" s="92" t="s">
        <v>804</v>
      </c>
      <c r="AF3" s="92" t="s">
        <v>814</v>
      </c>
      <c r="AG3" s="123">
        <v>78</v>
      </c>
      <c r="AH3" s="126">
        <v>5.615550755939525</v>
      </c>
      <c r="AI3" s="123">
        <v>34</v>
      </c>
      <c r="AJ3" s="126">
        <v>2.4478041756659468</v>
      </c>
      <c r="AK3" s="123">
        <v>0</v>
      </c>
      <c r="AL3" s="126">
        <v>0</v>
      </c>
      <c r="AM3" s="123">
        <v>1277</v>
      </c>
      <c r="AN3" s="126">
        <v>91.93664506839453</v>
      </c>
      <c r="AO3" s="123">
        <v>1389</v>
      </c>
    </row>
    <row r="4" spans="1:41" ht="15">
      <c r="A4" s="83" t="s">
        <v>650</v>
      </c>
      <c r="B4" s="120" t="s">
        <v>655</v>
      </c>
      <c r="C4" s="120" t="s">
        <v>56</v>
      </c>
      <c r="D4" s="118"/>
      <c r="E4" s="15"/>
      <c r="F4" s="16" t="s">
        <v>1200</v>
      </c>
      <c r="G4" s="78"/>
      <c r="H4" s="78"/>
      <c r="I4" s="119">
        <v>4</v>
      </c>
      <c r="J4" s="81"/>
      <c r="K4" s="51">
        <v>9</v>
      </c>
      <c r="L4" s="51">
        <v>8</v>
      </c>
      <c r="M4" s="51">
        <v>2</v>
      </c>
      <c r="N4" s="51">
        <v>10</v>
      </c>
      <c r="O4" s="51">
        <v>2</v>
      </c>
      <c r="P4" s="52">
        <v>0</v>
      </c>
      <c r="Q4" s="52">
        <v>0</v>
      </c>
      <c r="R4" s="51">
        <v>1</v>
      </c>
      <c r="S4" s="51">
        <v>0</v>
      </c>
      <c r="T4" s="51">
        <v>9</v>
      </c>
      <c r="U4" s="51">
        <v>10</v>
      </c>
      <c r="V4" s="51">
        <v>5</v>
      </c>
      <c r="W4" s="52">
        <v>2.271605</v>
      </c>
      <c r="X4" s="52">
        <v>0.1111111111111111</v>
      </c>
      <c r="Y4" s="84"/>
      <c r="Z4" s="84"/>
      <c r="AA4" s="84" t="s">
        <v>328</v>
      </c>
      <c r="AB4" s="92" t="s">
        <v>739</v>
      </c>
      <c r="AC4" s="92" t="s">
        <v>786</v>
      </c>
      <c r="AD4" s="92" t="s">
        <v>802</v>
      </c>
      <c r="AE4" s="92" t="s">
        <v>805</v>
      </c>
      <c r="AF4" s="92" t="s">
        <v>815</v>
      </c>
      <c r="AG4" s="123">
        <v>14</v>
      </c>
      <c r="AH4" s="126">
        <v>5.32319391634981</v>
      </c>
      <c r="AI4" s="123">
        <v>8</v>
      </c>
      <c r="AJ4" s="126">
        <v>3.041825095057034</v>
      </c>
      <c r="AK4" s="123">
        <v>0</v>
      </c>
      <c r="AL4" s="126">
        <v>0</v>
      </c>
      <c r="AM4" s="123">
        <v>241</v>
      </c>
      <c r="AN4" s="126">
        <v>91.63498098859316</v>
      </c>
      <c r="AO4" s="123">
        <v>263</v>
      </c>
    </row>
    <row r="5" spans="1:41" ht="15">
      <c r="A5" s="83" t="s">
        <v>651</v>
      </c>
      <c r="B5" s="120" t="s">
        <v>656</v>
      </c>
      <c r="C5" s="120" t="s">
        <v>56</v>
      </c>
      <c r="D5" s="118"/>
      <c r="E5" s="15"/>
      <c r="F5" s="16" t="s">
        <v>1201</v>
      </c>
      <c r="G5" s="78"/>
      <c r="H5" s="78"/>
      <c r="I5" s="119">
        <v>5</v>
      </c>
      <c r="J5" s="81"/>
      <c r="K5" s="51">
        <v>4</v>
      </c>
      <c r="L5" s="51">
        <v>3</v>
      </c>
      <c r="M5" s="51">
        <v>0</v>
      </c>
      <c r="N5" s="51">
        <v>3</v>
      </c>
      <c r="O5" s="51">
        <v>0</v>
      </c>
      <c r="P5" s="52">
        <v>0</v>
      </c>
      <c r="Q5" s="52">
        <v>0</v>
      </c>
      <c r="R5" s="51">
        <v>1</v>
      </c>
      <c r="S5" s="51">
        <v>0</v>
      </c>
      <c r="T5" s="51">
        <v>4</v>
      </c>
      <c r="U5" s="51">
        <v>3</v>
      </c>
      <c r="V5" s="51">
        <v>3</v>
      </c>
      <c r="W5" s="52">
        <v>1.25</v>
      </c>
      <c r="X5" s="52">
        <v>0.25</v>
      </c>
      <c r="Y5" s="84"/>
      <c r="Z5" s="84"/>
      <c r="AA5" s="84" t="s">
        <v>699</v>
      </c>
      <c r="AB5" s="92" t="s">
        <v>740</v>
      </c>
      <c r="AC5" s="92" t="s">
        <v>745</v>
      </c>
      <c r="AD5" s="92"/>
      <c r="AE5" s="92" t="s">
        <v>806</v>
      </c>
      <c r="AF5" s="92" t="s">
        <v>816</v>
      </c>
      <c r="AG5" s="123">
        <v>13</v>
      </c>
      <c r="AH5" s="126">
        <v>5.284552845528455</v>
      </c>
      <c r="AI5" s="123">
        <v>9</v>
      </c>
      <c r="AJ5" s="126">
        <v>3.658536585365854</v>
      </c>
      <c r="AK5" s="123">
        <v>0</v>
      </c>
      <c r="AL5" s="126">
        <v>0</v>
      </c>
      <c r="AM5" s="123">
        <v>224</v>
      </c>
      <c r="AN5" s="126">
        <v>91.0569105691057</v>
      </c>
      <c r="AO5" s="123">
        <v>246</v>
      </c>
    </row>
    <row r="6" spans="1:41" ht="15">
      <c r="A6" s="83" t="s">
        <v>652</v>
      </c>
      <c r="B6" s="120" t="s">
        <v>657</v>
      </c>
      <c r="C6" s="120" t="s">
        <v>56</v>
      </c>
      <c r="D6" s="118"/>
      <c r="E6" s="15"/>
      <c r="F6" s="16" t="s">
        <v>1202</v>
      </c>
      <c r="G6" s="78"/>
      <c r="H6" s="78"/>
      <c r="I6" s="119">
        <v>6</v>
      </c>
      <c r="J6" s="81"/>
      <c r="K6" s="51">
        <v>2</v>
      </c>
      <c r="L6" s="51">
        <v>1</v>
      </c>
      <c r="M6" s="51">
        <v>3</v>
      </c>
      <c r="N6" s="51">
        <v>4</v>
      </c>
      <c r="O6" s="51">
        <v>3</v>
      </c>
      <c r="P6" s="52">
        <v>0</v>
      </c>
      <c r="Q6" s="52">
        <v>0</v>
      </c>
      <c r="R6" s="51">
        <v>1</v>
      </c>
      <c r="S6" s="51">
        <v>0</v>
      </c>
      <c r="T6" s="51">
        <v>2</v>
      </c>
      <c r="U6" s="51">
        <v>4</v>
      </c>
      <c r="V6" s="51">
        <v>1</v>
      </c>
      <c r="W6" s="52">
        <v>0.5</v>
      </c>
      <c r="X6" s="52">
        <v>0.5</v>
      </c>
      <c r="Y6" s="84"/>
      <c r="Z6" s="84"/>
      <c r="AA6" s="84" t="s">
        <v>328</v>
      </c>
      <c r="AB6" s="92" t="s">
        <v>741</v>
      </c>
      <c r="AC6" s="92" t="s">
        <v>787</v>
      </c>
      <c r="AD6" s="92"/>
      <c r="AE6" s="92" t="s">
        <v>790</v>
      </c>
      <c r="AF6" s="92" t="s">
        <v>817</v>
      </c>
      <c r="AG6" s="123">
        <v>5</v>
      </c>
      <c r="AH6" s="126">
        <v>4.9504950495049505</v>
      </c>
      <c r="AI6" s="123">
        <v>0</v>
      </c>
      <c r="AJ6" s="126">
        <v>0</v>
      </c>
      <c r="AK6" s="123">
        <v>0</v>
      </c>
      <c r="AL6" s="126">
        <v>0</v>
      </c>
      <c r="AM6" s="123">
        <v>96</v>
      </c>
      <c r="AN6" s="126">
        <v>95.04950495049505</v>
      </c>
      <c r="AO6" s="123">
        <v>101</v>
      </c>
    </row>
    <row r="7" spans="1:41" ht="15">
      <c r="A7" s="83" t="s">
        <v>653</v>
      </c>
      <c r="B7" s="120" t="s">
        <v>658</v>
      </c>
      <c r="C7" s="120" t="s">
        <v>56</v>
      </c>
      <c r="D7" s="118"/>
      <c r="E7" s="15"/>
      <c r="F7" s="16" t="s">
        <v>1203</v>
      </c>
      <c r="G7" s="78"/>
      <c r="H7" s="78"/>
      <c r="I7" s="119">
        <v>7</v>
      </c>
      <c r="J7" s="81"/>
      <c r="K7" s="51">
        <v>1</v>
      </c>
      <c r="L7" s="51">
        <v>1</v>
      </c>
      <c r="M7" s="51">
        <v>0</v>
      </c>
      <c r="N7" s="51">
        <v>1</v>
      </c>
      <c r="O7" s="51">
        <v>1</v>
      </c>
      <c r="P7" s="52" t="s">
        <v>662</v>
      </c>
      <c r="Q7" s="52" t="s">
        <v>662</v>
      </c>
      <c r="R7" s="51">
        <v>1</v>
      </c>
      <c r="S7" s="51">
        <v>1</v>
      </c>
      <c r="T7" s="51">
        <v>1</v>
      </c>
      <c r="U7" s="51">
        <v>1</v>
      </c>
      <c r="V7" s="51">
        <v>0</v>
      </c>
      <c r="W7" s="52">
        <v>0</v>
      </c>
      <c r="X7" s="52" t="s">
        <v>662</v>
      </c>
      <c r="Y7" s="84"/>
      <c r="Z7" s="84"/>
      <c r="AA7" s="84" t="s">
        <v>329</v>
      </c>
      <c r="AB7" s="92" t="s">
        <v>736</v>
      </c>
      <c r="AC7" s="92" t="s">
        <v>470</v>
      </c>
      <c r="AD7" s="92"/>
      <c r="AE7" s="92"/>
      <c r="AF7" s="92" t="s">
        <v>262</v>
      </c>
      <c r="AG7" s="123">
        <v>1</v>
      </c>
      <c r="AH7" s="126">
        <v>5.555555555555555</v>
      </c>
      <c r="AI7" s="123">
        <v>0</v>
      </c>
      <c r="AJ7" s="126">
        <v>0</v>
      </c>
      <c r="AK7" s="123">
        <v>0</v>
      </c>
      <c r="AL7" s="126">
        <v>0</v>
      </c>
      <c r="AM7" s="123">
        <v>17</v>
      </c>
      <c r="AN7" s="126">
        <v>94.44444444444444</v>
      </c>
      <c r="AO7" s="123">
        <v>18</v>
      </c>
    </row>
    <row r="10" ht="14.25" customHeight="1"/>
  </sheetData>
  <dataValidations count="8">
    <dataValidation allowBlank="1" showInputMessage="1" promptTitle="Group Vertex Color" prompt="To select a color to use for all vertices in the group, right-click and select Select Color on the right-click menu." sqref="B3:B8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0">
      <formula1>ValidGroupShapes</formula1>
    </dataValidation>
    <dataValidation allowBlank="1" showInputMessage="1" showErrorMessage="1" promptTitle="Group Name" prompt="Enter the name of the group." sqref="A3:A8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0">
      <formula1>ValidBooleansDefaultFalse</formula1>
    </dataValidation>
    <dataValidation allowBlank="1" sqref="K3:K80"/>
    <dataValidation allowBlank="1" showInputMessage="1" showErrorMessage="1" promptTitle="Group Label" prompt="Enter an optional group label." errorTitle="Invalid Group Collapsed" error="You have entered an unrecognized &quot;group collapsed.&quot;  Try selecting from the drop-down list instead." sqref="F3:F8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4" t="s">
        <v>649</v>
      </c>
      <c r="B2" s="92" t="s">
        <v>272</v>
      </c>
      <c r="C2" s="84">
        <f>VLOOKUP(GroupVertices[[#This Row],[Vertex]],Vertices[],MATCH("ID",Vertices[[#Headers],[Vertex]:[Vertex Content Word Count]],0),FALSE)</f>
        <v>4</v>
      </c>
    </row>
    <row r="3" spans="1:3" ht="15">
      <c r="A3" s="85" t="s">
        <v>649</v>
      </c>
      <c r="B3" s="92" t="s">
        <v>275</v>
      </c>
      <c r="C3" s="84">
        <f>VLOOKUP(GroupVertices[[#This Row],[Vertex]],Vertices[],MATCH("ID",Vertices[[#Headers],[Vertex]:[Vertex Content Word Count]],0),FALSE)</f>
        <v>12</v>
      </c>
    </row>
    <row r="4" spans="1:3" ht="15">
      <c r="A4" s="85" t="s">
        <v>649</v>
      </c>
      <c r="B4" s="92" t="s">
        <v>271</v>
      </c>
      <c r="C4" s="84">
        <f>VLOOKUP(GroupVertices[[#This Row],[Vertex]],Vertices[],MATCH("ID",Vertices[[#Headers],[Vertex]:[Vertex Content Word Count]],0),FALSE)</f>
        <v>32</v>
      </c>
    </row>
    <row r="5" spans="1:3" ht="15">
      <c r="A5" s="85" t="s">
        <v>649</v>
      </c>
      <c r="B5" s="92" t="s">
        <v>270</v>
      </c>
      <c r="C5" s="84">
        <f>VLOOKUP(GroupVertices[[#This Row],[Vertex]],Vertices[],MATCH("ID",Vertices[[#Headers],[Vertex]:[Vertex Content Word Count]],0),FALSE)</f>
        <v>31</v>
      </c>
    </row>
    <row r="6" spans="1:3" ht="15">
      <c r="A6" s="85" t="s">
        <v>649</v>
      </c>
      <c r="B6" s="92" t="s">
        <v>269</v>
      </c>
      <c r="C6" s="84">
        <f>VLOOKUP(GroupVertices[[#This Row],[Vertex]],Vertices[],MATCH("ID",Vertices[[#Headers],[Vertex]:[Vertex Content Word Count]],0),FALSE)</f>
        <v>30</v>
      </c>
    </row>
    <row r="7" spans="1:3" ht="15">
      <c r="A7" s="85" t="s">
        <v>649</v>
      </c>
      <c r="B7" s="92" t="s">
        <v>265</v>
      </c>
      <c r="C7" s="84">
        <f>VLOOKUP(GroupVertices[[#This Row],[Vertex]],Vertices[],MATCH("ID",Vertices[[#Headers],[Vertex]:[Vertex Content Word Count]],0),FALSE)</f>
        <v>26</v>
      </c>
    </row>
    <row r="8" spans="1:3" ht="15">
      <c r="A8" s="85" t="s">
        <v>649</v>
      </c>
      <c r="B8" s="92" t="s">
        <v>264</v>
      </c>
      <c r="C8" s="84">
        <f>VLOOKUP(GroupVertices[[#This Row],[Vertex]],Vertices[],MATCH("ID",Vertices[[#Headers],[Vertex]:[Vertex Content Word Count]],0),FALSE)</f>
        <v>25</v>
      </c>
    </row>
    <row r="9" spans="1:3" ht="15">
      <c r="A9" s="85" t="s">
        <v>649</v>
      </c>
      <c r="B9" s="92" t="s">
        <v>263</v>
      </c>
      <c r="C9" s="84">
        <f>VLOOKUP(GroupVertices[[#This Row],[Vertex]],Vertices[],MATCH("ID",Vertices[[#Headers],[Vertex]:[Vertex Content Word Count]],0),FALSE)</f>
        <v>24</v>
      </c>
    </row>
    <row r="10" spans="1:3" ht="15">
      <c r="A10" s="85" t="s">
        <v>649</v>
      </c>
      <c r="B10" s="92" t="s">
        <v>260</v>
      </c>
      <c r="C10" s="84">
        <f>VLOOKUP(GroupVertices[[#This Row],[Vertex]],Vertices[],MATCH("ID",Vertices[[#Headers],[Vertex]:[Vertex Content Word Count]],0),FALSE)</f>
        <v>20</v>
      </c>
    </row>
    <row r="11" spans="1:3" ht="15">
      <c r="A11" s="85" t="s">
        <v>649</v>
      </c>
      <c r="B11" s="92" t="s">
        <v>258</v>
      </c>
      <c r="C11" s="84">
        <f>VLOOKUP(GroupVertices[[#This Row],[Vertex]],Vertices[],MATCH("ID",Vertices[[#Headers],[Vertex]:[Vertex Content Word Count]],0),FALSE)</f>
        <v>13</v>
      </c>
    </row>
    <row r="12" spans="1:3" ht="15">
      <c r="A12" s="85" t="s">
        <v>649</v>
      </c>
      <c r="B12" s="92" t="s">
        <v>257</v>
      </c>
      <c r="C12" s="84">
        <f>VLOOKUP(GroupVertices[[#This Row],[Vertex]],Vertices[],MATCH("ID",Vertices[[#Headers],[Vertex]:[Vertex Content Word Count]],0),FALSE)</f>
        <v>11</v>
      </c>
    </row>
    <row r="13" spans="1:3" ht="15">
      <c r="A13" s="85" t="s">
        <v>649</v>
      </c>
      <c r="B13" s="92" t="s">
        <v>254</v>
      </c>
      <c r="C13" s="84">
        <f>VLOOKUP(GroupVertices[[#This Row],[Vertex]],Vertices[],MATCH("ID",Vertices[[#Headers],[Vertex]:[Vertex Content Word Count]],0),FALSE)</f>
        <v>8</v>
      </c>
    </row>
    <row r="14" spans="1:3" ht="15">
      <c r="A14" s="85" t="s">
        <v>649</v>
      </c>
      <c r="B14" s="92" t="s">
        <v>253</v>
      </c>
      <c r="C14" s="84">
        <f>VLOOKUP(GroupVertices[[#This Row],[Vertex]],Vertices[],MATCH("ID",Vertices[[#Headers],[Vertex]:[Vertex Content Word Count]],0),FALSE)</f>
        <v>7</v>
      </c>
    </row>
    <row r="15" spans="1:3" ht="15">
      <c r="A15" s="85" t="s">
        <v>649</v>
      </c>
      <c r="B15" s="92" t="s">
        <v>252</v>
      </c>
      <c r="C15" s="84">
        <f>VLOOKUP(GroupVertices[[#This Row],[Vertex]],Vertices[],MATCH("ID",Vertices[[#Headers],[Vertex]:[Vertex Content Word Count]],0),FALSE)</f>
        <v>6</v>
      </c>
    </row>
    <row r="16" spans="1:3" ht="15">
      <c r="A16" s="85" t="s">
        <v>649</v>
      </c>
      <c r="B16" s="92" t="s">
        <v>251</v>
      </c>
      <c r="C16" s="84">
        <f>VLOOKUP(GroupVertices[[#This Row],[Vertex]],Vertices[],MATCH("ID",Vertices[[#Headers],[Vertex]:[Vertex Content Word Count]],0),FALSE)</f>
        <v>5</v>
      </c>
    </row>
    <row r="17" spans="1:3" ht="15">
      <c r="A17" s="85" t="s">
        <v>649</v>
      </c>
      <c r="B17" s="92" t="s">
        <v>274</v>
      </c>
      <c r="C17" s="84">
        <f>VLOOKUP(GroupVertices[[#This Row],[Vertex]],Vertices[],MATCH("ID",Vertices[[#Headers],[Vertex]:[Vertex Content Word Count]],0),FALSE)</f>
        <v>3</v>
      </c>
    </row>
    <row r="18" spans="1:3" ht="15">
      <c r="A18" s="85" t="s">
        <v>650</v>
      </c>
      <c r="B18" s="92" t="s">
        <v>267</v>
      </c>
      <c r="C18" s="84">
        <f>VLOOKUP(GroupVertices[[#This Row],[Vertex]],Vertices[],MATCH("ID",Vertices[[#Headers],[Vertex]:[Vertex Content Word Count]],0),FALSE)</f>
        <v>27</v>
      </c>
    </row>
    <row r="19" spans="1:3" ht="15">
      <c r="A19" s="85" t="s">
        <v>650</v>
      </c>
      <c r="B19" s="92" t="s">
        <v>266</v>
      </c>
      <c r="C19" s="84">
        <f>VLOOKUP(GroupVertices[[#This Row],[Vertex]],Vertices[],MATCH("ID",Vertices[[#Headers],[Vertex]:[Vertex Content Word Count]],0),FALSE)</f>
        <v>22</v>
      </c>
    </row>
    <row r="20" spans="1:3" ht="15">
      <c r="A20" s="85" t="s">
        <v>650</v>
      </c>
      <c r="B20" s="92" t="s">
        <v>261</v>
      </c>
      <c r="C20" s="84">
        <f>VLOOKUP(GroupVertices[[#This Row],[Vertex]],Vertices[],MATCH("ID",Vertices[[#Headers],[Vertex]:[Vertex Content Word Count]],0),FALSE)</f>
        <v>21</v>
      </c>
    </row>
    <row r="21" spans="1:3" ht="15">
      <c r="A21" s="85" t="s">
        <v>650</v>
      </c>
      <c r="B21" s="92" t="s">
        <v>280</v>
      </c>
      <c r="C21" s="84">
        <f>VLOOKUP(GroupVertices[[#This Row],[Vertex]],Vertices[],MATCH("ID",Vertices[[#Headers],[Vertex]:[Vertex Content Word Count]],0),FALSE)</f>
        <v>19</v>
      </c>
    </row>
    <row r="22" spans="1:3" ht="15">
      <c r="A22" s="85" t="s">
        <v>650</v>
      </c>
      <c r="B22" s="92" t="s">
        <v>259</v>
      </c>
      <c r="C22" s="84">
        <f>VLOOKUP(GroupVertices[[#This Row],[Vertex]],Vertices[],MATCH("ID",Vertices[[#Headers],[Vertex]:[Vertex Content Word Count]],0),FALSE)</f>
        <v>14</v>
      </c>
    </row>
    <row r="23" spans="1:3" ht="15">
      <c r="A23" s="85" t="s">
        <v>650</v>
      </c>
      <c r="B23" s="92" t="s">
        <v>279</v>
      </c>
      <c r="C23" s="84">
        <f>VLOOKUP(GroupVertices[[#This Row],[Vertex]],Vertices[],MATCH("ID",Vertices[[#Headers],[Vertex]:[Vertex Content Word Count]],0),FALSE)</f>
        <v>18</v>
      </c>
    </row>
    <row r="24" spans="1:3" ht="15">
      <c r="A24" s="85" t="s">
        <v>650</v>
      </c>
      <c r="B24" s="92" t="s">
        <v>278</v>
      </c>
      <c r="C24" s="84">
        <f>VLOOKUP(GroupVertices[[#This Row],[Vertex]],Vertices[],MATCH("ID",Vertices[[#Headers],[Vertex]:[Vertex Content Word Count]],0),FALSE)</f>
        <v>17</v>
      </c>
    </row>
    <row r="25" spans="1:3" ht="15">
      <c r="A25" s="85" t="s">
        <v>650</v>
      </c>
      <c r="B25" s="92" t="s">
        <v>277</v>
      </c>
      <c r="C25" s="84">
        <f>VLOOKUP(GroupVertices[[#This Row],[Vertex]],Vertices[],MATCH("ID",Vertices[[#Headers],[Vertex]:[Vertex Content Word Count]],0),FALSE)</f>
        <v>16</v>
      </c>
    </row>
    <row r="26" spans="1:3" ht="15">
      <c r="A26" s="85" t="s">
        <v>650</v>
      </c>
      <c r="B26" s="92" t="s">
        <v>276</v>
      </c>
      <c r="C26" s="84">
        <f>VLOOKUP(GroupVertices[[#This Row],[Vertex]],Vertices[],MATCH("ID",Vertices[[#Headers],[Vertex]:[Vertex Content Word Count]],0),FALSE)</f>
        <v>15</v>
      </c>
    </row>
    <row r="27" spans="1:3" ht="15">
      <c r="A27" s="85" t="s">
        <v>651</v>
      </c>
      <c r="B27" s="92" t="s">
        <v>273</v>
      </c>
      <c r="C27" s="84">
        <f>VLOOKUP(GroupVertices[[#This Row],[Vertex]],Vertices[],MATCH("ID",Vertices[[#Headers],[Vertex]:[Vertex Content Word Count]],0),FALSE)</f>
        <v>33</v>
      </c>
    </row>
    <row r="28" spans="1:3" ht="15">
      <c r="A28" s="85" t="s">
        <v>651</v>
      </c>
      <c r="B28" s="92" t="s">
        <v>282</v>
      </c>
      <c r="C28" s="84">
        <f>VLOOKUP(GroupVertices[[#This Row],[Vertex]],Vertices[],MATCH("ID",Vertices[[#Headers],[Vertex]:[Vertex Content Word Count]],0),FALSE)</f>
        <v>34</v>
      </c>
    </row>
    <row r="29" spans="1:3" ht="15">
      <c r="A29" s="85" t="s">
        <v>651</v>
      </c>
      <c r="B29" s="92" t="s">
        <v>281</v>
      </c>
      <c r="C29" s="84">
        <f>VLOOKUP(GroupVertices[[#This Row],[Vertex]],Vertices[],MATCH("ID",Vertices[[#Headers],[Vertex]:[Vertex Content Word Count]],0),FALSE)</f>
        <v>29</v>
      </c>
    </row>
    <row r="30" spans="1:3" ht="15">
      <c r="A30" s="85" t="s">
        <v>651</v>
      </c>
      <c r="B30" s="92" t="s">
        <v>268</v>
      </c>
      <c r="C30" s="84">
        <f>VLOOKUP(GroupVertices[[#This Row],[Vertex]],Vertices[],MATCH("ID",Vertices[[#Headers],[Vertex]:[Vertex Content Word Count]],0),FALSE)</f>
        <v>28</v>
      </c>
    </row>
    <row r="31" spans="1:3" ht="15">
      <c r="A31" s="85" t="s">
        <v>652</v>
      </c>
      <c r="B31" s="92" t="s">
        <v>256</v>
      </c>
      <c r="C31" s="84">
        <f>VLOOKUP(GroupVertices[[#This Row],[Vertex]],Vertices[],MATCH("ID",Vertices[[#Headers],[Vertex]:[Vertex Content Word Count]],0),FALSE)</f>
        <v>10</v>
      </c>
    </row>
    <row r="32" spans="1:3" ht="15">
      <c r="A32" s="85" t="s">
        <v>652</v>
      </c>
      <c r="B32" s="92" t="s">
        <v>255</v>
      </c>
      <c r="C32" s="84">
        <f>VLOOKUP(GroupVertices[[#This Row],[Vertex]],Vertices[],MATCH("ID",Vertices[[#Headers],[Vertex]:[Vertex Content Word Count]],0),FALSE)</f>
        <v>9</v>
      </c>
    </row>
    <row r="33" spans="1:3" ht="15">
      <c r="A33" s="85" t="s">
        <v>653</v>
      </c>
      <c r="B33" s="92" t="s">
        <v>262</v>
      </c>
      <c r="C33" s="84">
        <f>VLOOKUP(GroupVertices[[#This Row],[Vertex]],Vertices[],MATCH("ID",Vertices[[#Headers],[Vertex]:[Vertex Content Word Count]],0),FALSE)</f>
        <v>23</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1164</v>
      </c>
      <c r="B2" s="36" t="s">
        <v>192</v>
      </c>
      <c r="D2" s="33">
        <f>MIN(Vertices[Degree])</f>
        <v>0</v>
      </c>
      <c r="E2" s="3">
        <f>COUNTIF(Vertices[Degree],"&gt;= "&amp;D2)-COUNTIF(Vertices[Degree],"&gt;="&amp;D3)</f>
        <v>0</v>
      </c>
      <c r="F2" s="39">
        <f>MIN(Vertices[In-Degree])</f>
        <v>0</v>
      </c>
      <c r="G2" s="40">
        <f>COUNTIF(Vertices[In-Degree],"&gt;= "&amp;F2)-COUNTIF(Vertices[In-Degree],"&gt;="&amp;F3)</f>
        <v>19</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18</v>
      </c>
      <c r="N2" s="39">
        <f>MIN(Vertices[Eigenvector Centrality])</f>
        <v>0</v>
      </c>
      <c r="O2" s="40">
        <f>COUNTIF(Vertices[Eigenvector Centrality],"&gt;= "&amp;N2)-COUNTIF(Vertices[Eigenvector Centrality],"&gt;="&amp;N3)</f>
        <v>12</v>
      </c>
      <c r="P2" s="39">
        <f>MIN(Vertices[PageRank])</f>
        <v>0.449926</v>
      </c>
      <c r="Q2" s="40">
        <f>COUNTIF(Vertices[PageRank],"&gt;= "&amp;P2)-COUNTIF(Vertices[PageRank],"&gt;="&amp;P3)</f>
        <v>16</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9"/>
      <c r="B3" s="129"/>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9.352941176470589</v>
      </c>
      <c r="K3" s="42">
        <f>COUNTIF(Vertices[Betweenness Centrality],"&gt;= "&amp;J3)-COUNTIF(Vertices[Betweenness Centrality],"&gt;="&amp;J4)</f>
        <v>1</v>
      </c>
      <c r="L3" s="41">
        <f aca="true" t="shared" si="5" ref="L3:L35">L2+($L$36-$L$2)/BinDivisor</f>
        <v>0.029411764705882353</v>
      </c>
      <c r="M3" s="42">
        <f>COUNTIF(Vertices[Closeness Centrality],"&gt;= "&amp;L3)-COUNTIF(Vertices[Closeness Centrality],"&gt;="&amp;L4)</f>
        <v>10</v>
      </c>
      <c r="N3" s="41">
        <f aca="true" t="shared" si="6" ref="N3:N35">N2+($N$36-$N$2)/BinDivisor</f>
        <v>0.005428382352941177</v>
      </c>
      <c r="O3" s="42">
        <f>COUNTIF(Vertices[Eigenvector Centrality],"&gt;= "&amp;N3)-COUNTIF(Vertices[Eigenvector Centrality],"&gt;="&amp;N4)</f>
        <v>0</v>
      </c>
      <c r="P3" s="41">
        <f aca="true" t="shared" si="7" ref="P3:P35">P2+($P$36-$P$2)/BinDivisor</f>
        <v>0.6442550588235294</v>
      </c>
      <c r="Q3" s="42">
        <f>COUNTIF(Vertices[PageRank],"&gt;= "&amp;P3)-COUNTIF(Vertices[PageRank],"&gt;="&amp;P4)</f>
        <v>5</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1</v>
      </c>
      <c r="G4" s="40">
        <f>COUNTIF(Vertices[In-Degree],"&gt;= "&amp;F4)-COUNTIF(Vertices[In-Degree],"&gt;="&amp;F5)</f>
        <v>6</v>
      </c>
      <c r="H4" s="39">
        <f t="shared" si="3"/>
        <v>0.29411764705882354</v>
      </c>
      <c r="I4" s="40">
        <f>COUNTIF(Vertices[Out-Degree],"&gt;= "&amp;H4)-COUNTIF(Vertices[Out-Degree],"&gt;="&amp;H5)</f>
        <v>0</v>
      </c>
      <c r="J4" s="39">
        <f t="shared" si="4"/>
        <v>18.705882352941178</v>
      </c>
      <c r="K4" s="40">
        <f>COUNTIF(Vertices[Betweenness Centrality],"&gt;= "&amp;J4)-COUNTIF(Vertices[Betweenness Centrality],"&gt;="&amp;J5)</f>
        <v>1</v>
      </c>
      <c r="L4" s="39">
        <f t="shared" si="5"/>
        <v>0.058823529411764705</v>
      </c>
      <c r="M4" s="40">
        <f>COUNTIF(Vertices[Closeness Centrality],"&gt;= "&amp;L4)-COUNTIF(Vertices[Closeness Centrality],"&gt;="&amp;L5)</f>
        <v>2</v>
      </c>
      <c r="N4" s="39">
        <f t="shared" si="6"/>
        <v>0.010856764705882354</v>
      </c>
      <c r="O4" s="40">
        <f>COUNTIF(Vertices[Eigenvector Centrality],"&gt;= "&amp;N4)-COUNTIF(Vertices[Eigenvector Centrality],"&gt;="&amp;N5)</f>
        <v>0</v>
      </c>
      <c r="P4" s="39">
        <f t="shared" si="7"/>
        <v>0.8385841176470589</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1.5</v>
      </c>
      <c r="G5" s="42">
        <f>COUNTIF(Vertices[In-Degree],"&gt;= "&amp;F5)-COUNTIF(Vertices[In-Degree],"&gt;="&amp;F6)</f>
        <v>0</v>
      </c>
      <c r="H5" s="41">
        <f t="shared" si="3"/>
        <v>0.4411764705882353</v>
      </c>
      <c r="I5" s="42">
        <f>COUNTIF(Vertices[Out-Degree],"&gt;= "&amp;H5)-COUNTIF(Vertices[Out-Degree],"&gt;="&amp;H6)</f>
        <v>0</v>
      </c>
      <c r="J5" s="41">
        <f t="shared" si="4"/>
        <v>28.058823529411768</v>
      </c>
      <c r="K5" s="42">
        <f>COUNTIF(Vertices[Betweenness Centrality],"&gt;= "&amp;J5)-COUNTIF(Vertices[Betweenness Centrality],"&gt;="&amp;J6)</f>
        <v>1</v>
      </c>
      <c r="L5" s="41">
        <f t="shared" si="5"/>
        <v>0.08823529411764705</v>
      </c>
      <c r="M5" s="42">
        <f>COUNTIF(Vertices[Closeness Centrality],"&gt;= "&amp;L5)-COUNTIF(Vertices[Closeness Centrality],"&gt;="&amp;L6)</f>
        <v>0</v>
      </c>
      <c r="N5" s="41">
        <f t="shared" si="6"/>
        <v>0.01628514705882353</v>
      </c>
      <c r="O5" s="42">
        <f>COUNTIF(Vertices[Eigenvector Centrality],"&gt;= "&amp;N5)-COUNTIF(Vertices[Eigenvector Centrality],"&gt;="&amp;N6)</f>
        <v>0</v>
      </c>
      <c r="P5" s="41">
        <f t="shared" si="7"/>
        <v>1.0329131764705883</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33</v>
      </c>
      <c r="D6" s="34">
        <f t="shared" si="1"/>
        <v>0</v>
      </c>
      <c r="E6" s="3">
        <f>COUNTIF(Vertices[Degree],"&gt;= "&amp;D6)-COUNTIF(Vertices[Degree],"&gt;="&amp;D7)</f>
        <v>0</v>
      </c>
      <c r="F6" s="39">
        <f t="shared" si="2"/>
        <v>2</v>
      </c>
      <c r="G6" s="40">
        <f>COUNTIF(Vertices[In-Degree],"&gt;= "&amp;F6)-COUNTIF(Vertices[In-Degree],"&gt;="&amp;F7)</f>
        <v>3</v>
      </c>
      <c r="H6" s="39">
        <f t="shared" si="3"/>
        <v>0.5882352941176471</v>
      </c>
      <c r="I6" s="40">
        <f>COUNTIF(Vertices[Out-Degree],"&gt;= "&amp;H6)-COUNTIF(Vertices[Out-Degree],"&gt;="&amp;H7)</f>
        <v>0</v>
      </c>
      <c r="J6" s="39">
        <f t="shared" si="4"/>
        <v>37.411764705882355</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0.021713529411764708</v>
      </c>
      <c r="O6" s="40">
        <f>COUNTIF(Vertices[Eigenvector Centrality],"&gt;= "&amp;N6)-COUNTIF(Vertices[Eigenvector Centrality],"&gt;="&amp;N7)</f>
        <v>0</v>
      </c>
      <c r="P6" s="39">
        <f t="shared" si="7"/>
        <v>1.2272422352941177</v>
      </c>
      <c r="Q6" s="40">
        <f>COUNTIF(Vertices[PageRank],"&gt;= "&amp;P6)-COUNTIF(Vertices[PageRank],"&gt;="&amp;P7)</f>
        <v>2</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2.5</v>
      </c>
      <c r="G7" s="42">
        <f>COUNTIF(Vertices[In-Degree],"&gt;= "&amp;F7)-COUNTIF(Vertices[In-Degree],"&gt;="&amp;F8)</f>
        <v>0</v>
      </c>
      <c r="H7" s="41">
        <f t="shared" si="3"/>
        <v>0.7352941176470589</v>
      </c>
      <c r="I7" s="42">
        <f>COUNTIF(Vertices[Out-Degree],"&gt;= "&amp;H7)-COUNTIF(Vertices[Out-Degree],"&gt;="&amp;H8)</f>
        <v>0</v>
      </c>
      <c r="J7" s="41">
        <f t="shared" si="4"/>
        <v>46.76470588235294</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0.027141911764705887</v>
      </c>
      <c r="O7" s="42">
        <f>COUNTIF(Vertices[Eigenvector Centrality],"&gt;= "&amp;N7)-COUNTIF(Vertices[Eigenvector Centrality],"&gt;="&amp;N8)</f>
        <v>0</v>
      </c>
      <c r="P7" s="41">
        <f t="shared" si="7"/>
        <v>1.421571294117647</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78</v>
      </c>
      <c r="D8" s="34">
        <f t="shared" si="1"/>
        <v>0</v>
      </c>
      <c r="E8" s="3">
        <f>COUNTIF(Vertices[Degree],"&gt;= "&amp;D8)-COUNTIF(Vertices[Degree],"&gt;="&amp;D9)</f>
        <v>0</v>
      </c>
      <c r="F8" s="39">
        <f t="shared" si="2"/>
        <v>3</v>
      </c>
      <c r="G8" s="40">
        <f>COUNTIF(Vertices[In-Degree],"&gt;= "&amp;F8)-COUNTIF(Vertices[In-Degree],"&gt;="&amp;F9)</f>
        <v>2</v>
      </c>
      <c r="H8" s="39">
        <f t="shared" si="3"/>
        <v>0.8823529411764707</v>
      </c>
      <c r="I8" s="40">
        <f>COUNTIF(Vertices[Out-Degree],"&gt;= "&amp;H8)-COUNTIF(Vertices[Out-Degree],"&gt;="&amp;H9)</f>
        <v>16</v>
      </c>
      <c r="J8" s="39">
        <f t="shared" si="4"/>
        <v>56.11764705882353</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0.032570294117647065</v>
      </c>
      <c r="O8" s="40">
        <f>COUNTIF(Vertices[Eigenvector Centrality],"&gt;= "&amp;N8)-COUNTIF(Vertices[Eigenvector Centrality],"&gt;="&amp;N9)</f>
        <v>11</v>
      </c>
      <c r="P8" s="39">
        <f t="shared" si="7"/>
        <v>1.6159003529411764</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3.5</v>
      </c>
      <c r="G9" s="42">
        <f>COUNTIF(Vertices[In-Degree],"&gt;= "&amp;F9)-COUNTIF(Vertices[In-Degree],"&gt;="&amp;F10)</f>
        <v>0</v>
      </c>
      <c r="H9" s="41">
        <f t="shared" si="3"/>
        <v>1.0294117647058825</v>
      </c>
      <c r="I9" s="42">
        <f>COUNTIF(Vertices[Out-Degree],"&gt;= "&amp;H9)-COUNTIF(Vertices[Out-Degree],"&gt;="&amp;H10)</f>
        <v>0</v>
      </c>
      <c r="J9" s="41">
        <f t="shared" si="4"/>
        <v>65.47058823529412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0.037998676470588244</v>
      </c>
      <c r="O9" s="42">
        <f>COUNTIF(Vertices[Eigenvector Centrality],"&gt;= "&amp;N9)-COUNTIF(Vertices[Eigenvector Centrality],"&gt;="&amp;N10)</f>
        <v>0</v>
      </c>
      <c r="P9" s="41">
        <f t="shared" si="7"/>
        <v>1.8102294117647058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151</v>
      </c>
      <c r="B10" s="36">
        <v>29</v>
      </c>
      <c r="D10" s="34">
        <f t="shared" si="1"/>
        <v>0</v>
      </c>
      <c r="E10" s="3">
        <f>COUNTIF(Vertices[Degree],"&gt;= "&amp;D10)-COUNTIF(Vertices[Degree],"&gt;="&amp;D11)</f>
        <v>0</v>
      </c>
      <c r="F10" s="39">
        <f t="shared" si="2"/>
        <v>4</v>
      </c>
      <c r="G10" s="40">
        <f>COUNTIF(Vertices[In-Degree],"&gt;= "&amp;F10)-COUNTIF(Vertices[In-Degree],"&gt;="&amp;F11)</f>
        <v>0</v>
      </c>
      <c r="H10" s="39">
        <f t="shared" si="3"/>
        <v>1.1764705882352942</v>
      </c>
      <c r="I10" s="40">
        <f>COUNTIF(Vertices[Out-Degree],"&gt;= "&amp;H10)-COUNTIF(Vertices[Out-Degree],"&gt;="&amp;H11)</f>
        <v>0</v>
      </c>
      <c r="J10" s="39">
        <f t="shared" si="4"/>
        <v>74.82352941176471</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0.04342705882352942</v>
      </c>
      <c r="O10" s="40">
        <f>COUNTIF(Vertices[Eigenvector Centrality],"&gt;= "&amp;N10)-COUNTIF(Vertices[Eigenvector Centrality],"&gt;="&amp;N11)</f>
        <v>4</v>
      </c>
      <c r="P10" s="39">
        <f t="shared" si="7"/>
        <v>2.0045584705882353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4.5</v>
      </c>
      <c r="G11" s="42">
        <f>COUNTIF(Vertices[In-Degree],"&gt;= "&amp;F11)-COUNTIF(Vertices[In-Degree],"&gt;="&amp;F12)</f>
        <v>0</v>
      </c>
      <c r="H11" s="41">
        <f t="shared" si="3"/>
        <v>1.3235294117647058</v>
      </c>
      <c r="I11" s="42">
        <f>COUNTIF(Vertices[Out-Degree],"&gt;= "&amp;H11)-COUNTIF(Vertices[Out-Degree],"&gt;="&amp;H12)</f>
        <v>0</v>
      </c>
      <c r="J11" s="41">
        <f t="shared" si="4"/>
        <v>84.1764705882353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0.0488554411764706</v>
      </c>
      <c r="O11" s="42">
        <f>COUNTIF(Vertices[Eigenvector Centrality],"&gt;= "&amp;N11)-COUNTIF(Vertices[Eigenvector Centrality],"&gt;="&amp;N12)</f>
        <v>0</v>
      </c>
      <c r="P11" s="41">
        <f t="shared" si="7"/>
        <v>2.1988875294117647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5</v>
      </c>
      <c r="G12" s="40">
        <f>COUNTIF(Vertices[In-Degree],"&gt;= "&amp;F12)-COUNTIF(Vertices[In-Degree],"&gt;="&amp;F13)</f>
        <v>1</v>
      </c>
      <c r="H12" s="39">
        <f t="shared" si="3"/>
        <v>1.4705882352941175</v>
      </c>
      <c r="I12" s="40">
        <f>COUNTIF(Vertices[Out-Degree],"&gt;= "&amp;H12)-COUNTIF(Vertices[Out-Degree],"&gt;="&amp;H13)</f>
        <v>0</v>
      </c>
      <c r="J12" s="39">
        <f t="shared" si="4"/>
        <v>93.5294117647059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0.05428382352941178</v>
      </c>
      <c r="O12" s="40">
        <f>COUNTIF(Vertices[Eigenvector Centrality],"&gt;= "&amp;N12)-COUNTIF(Vertices[Eigenvector Centrality],"&gt;="&amp;N13)</f>
        <v>2</v>
      </c>
      <c r="P12" s="39">
        <f t="shared" si="7"/>
        <v>2.393216588235294</v>
      </c>
      <c r="Q12" s="40">
        <f>COUNTIF(Vertices[PageRank],"&gt;= "&amp;P12)-COUNTIF(Vertices[PageRank],"&gt;="&amp;P13)</f>
        <v>1</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5.5</v>
      </c>
      <c r="G13" s="42">
        <f>COUNTIF(Vertices[In-Degree],"&gt;= "&amp;F13)-COUNTIF(Vertices[In-Degree],"&gt;="&amp;F14)</f>
        <v>0</v>
      </c>
      <c r="H13" s="41">
        <f t="shared" si="3"/>
        <v>1.6176470588235292</v>
      </c>
      <c r="I13" s="42">
        <f>COUNTIF(Vertices[Out-Degree],"&gt;= "&amp;H13)-COUNTIF(Vertices[Out-Degree],"&gt;="&amp;H14)</f>
        <v>0</v>
      </c>
      <c r="J13" s="41">
        <f t="shared" si="4"/>
        <v>102.88235294117649</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0.05971220588235296</v>
      </c>
      <c r="O13" s="42">
        <f>COUNTIF(Vertices[Eigenvector Centrality],"&gt;= "&amp;N13)-COUNTIF(Vertices[Eigenvector Centrality],"&gt;="&amp;N14)</f>
        <v>0</v>
      </c>
      <c r="P13" s="41">
        <f t="shared" si="7"/>
        <v>2.5875456470588234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6</v>
      </c>
      <c r="G14" s="40">
        <f>COUNTIF(Vertices[In-Degree],"&gt;= "&amp;F14)-COUNTIF(Vertices[In-Degree],"&gt;="&amp;F15)</f>
        <v>0</v>
      </c>
      <c r="H14" s="39">
        <f t="shared" si="3"/>
        <v>1.764705882352941</v>
      </c>
      <c r="I14" s="40">
        <f>COUNTIF(Vertices[Out-Degree],"&gt;= "&amp;H14)-COUNTIF(Vertices[Out-Degree],"&gt;="&amp;H15)</f>
        <v>0</v>
      </c>
      <c r="J14" s="39">
        <f t="shared" si="4"/>
        <v>112.23529411764709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0.06514058823529413</v>
      </c>
      <c r="O14" s="40">
        <f>COUNTIF(Vertices[Eigenvector Centrality],"&gt;= "&amp;N14)-COUNTIF(Vertices[Eigenvector Centrality],"&gt;="&amp;N15)</f>
        <v>1</v>
      </c>
      <c r="P14" s="39">
        <f t="shared" si="7"/>
        <v>2.7818747058823527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152</v>
      </c>
      <c r="B15" s="36">
        <v>4</v>
      </c>
      <c r="D15" s="34">
        <f t="shared" si="1"/>
        <v>0</v>
      </c>
      <c r="E15" s="3">
        <f>COUNTIF(Vertices[Degree],"&gt;= "&amp;D15)-COUNTIF(Vertices[Degree],"&gt;="&amp;D16)</f>
        <v>0</v>
      </c>
      <c r="F15" s="41">
        <f t="shared" si="2"/>
        <v>6.5</v>
      </c>
      <c r="G15" s="42">
        <f>COUNTIF(Vertices[In-Degree],"&gt;= "&amp;F15)-COUNTIF(Vertices[In-Degree],"&gt;="&amp;F16)</f>
        <v>0</v>
      </c>
      <c r="H15" s="41">
        <f t="shared" si="3"/>
        <v>1.9117647058823526</v>
      </c>
      <c r="I15" s="42">
        <f>COUNTIF(Vertices[Out-Degree],"&gt;= "&amp;H15)-COUNTIF(Vertices[Out-Degree],"&gt;="&amp;H16)</f>
        <v>4</v>
      </c>
      <c r="J15" s="41">
        <f t="shared" si="4"/>
        <v>121.58823529411768</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0.0705689705882353</v>
      </c>
      <c r="O15" s="42">
        <f>COUNTIF(Vertices[Eigenvector Centrality],"&gt;= "&amp;N15)-COUNTIF(Vertices[Eigenvector Centrality],"&gt;="&amp;N16)</f>
        <v>1</v>
      </c>
      <c r="P15" s="41">
        <f t="shared" si="7"/>
        <v>2.976203764705882</v>
      </c>
      <c r="Q15" s="42">
        <f>COUNTIF(Vertices[PageRank],"&gt;= "&amp;P15)-COUNTIF(Vertices[PageRank],"&gt;="&amp;P16)</f>
        <v>0</v>
      </c>
      <c r="R15" s="41">
        <f t="shared" si="8"/>
        <v>0.1911764705882353</v>
      </c>
      <c r="S15" s="46">
        <f>COUNTIF(Vertices[Clustering Coefficient],"&gt;= "&amp;R15)-COUNTIF(Vertices[Clustering Coefficient],"&gt;="&amp;R16)</f>
        <v>1</v>
      </c>
      <c r="T15" s="41" t="e">
        <f ca="1" t="shared" si="9"/>
        <v>#REF!</v>
      </c>
      <c r="U15" s="42" t="e">
        <f ca="1" t="shared" si="0"/>
        <v>#REF!</v>
      </c>
    </row>
    <row r="16" spans="1:21" ht="15">
      <c r="A16" s="36" t="s">
        <v>153</v>
      </c>
      <c r="B16" s="36">
        <v>1</v>
      </c>
      <c r="D16" s="34">
        <f t="shared" si="1"/>
        <v>0</v>
      </c>
      <c r="E16" s="3">
        <f>COUNTIF(Vertices[Degree],"&gt;= "&amp;D16)-COUNTIF(Vertices[Degree],"&gt;="&amp;D17)</f>
        <v>0</v>
      </c>
      <c r="F16" s="39">
        <f t="shared" si="2"/>
        <v>7</v>
      </c>
      <c r="G16" s="40">
        <f>COUNTIF(Vertices[In-Degree],"&gt;= "&amp;F16)-COUNTIF(Vertices[In-Degree],"&gt;="&amp;F17)</f>
        <v>0</v>
      </c>
      <c r="H16" s="39">
        <f t="shared" si="3"/>
        <v>2.0588235294117645</v>
      </c>
      <c r="I16" s="40">
        <f>COUNTIF(Vertices[Out-Degree],"&gt;= "&amp;H16)-COUNTIF(Vertices[Out-Degree],"&gt;="&amp;H17)</f>
        <v>0</v>
      </c>
      <c r="J16" s="39">
        <f t="shared" si="4"/>
        <v>130.94117647058826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0.07599735294117647</v>
      </c>
      <c r="O16" s="40">
        <f>COUNTIF(Vertices[Eigenvector Centrality],"&gt;= "&amp;N16)-COUNTIF(Vertices[Eigenvector Centrality],"&gt;="&amp;N17)</f>
        <v>0</v>
      </c>
      <c r="P16" s="39">
        <f t="shared" si="7"/>
        <v>3.1705328235294115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154</v>
      </c>
      <c r="B17" s="36">
        <v>20</v>
      </c>
      <c r="D17" s="34">
        <f t="shared" si="1"/>
        <v>0</v>
      </c>
      <c r="E17" s="3">
        <f>COUNTIF(Vertices[Degree],"&gt;= "&amp;D17)-COUNTIF(Vertices[Degree],"&gt;="&amp;D18)</f>
        <v>0</v>
      </c>
      <c r="F17" s="41">
        <f t="shared" si="2"/>
        <v>7.5</v>
      </c>
      <c r="G17" s="42">
        <f>COUNTIF(Vertices[In-Degree],"&gt;= "&amp;F17)-COUNTIF(Vertices[In-Degree],"&gt;="&amp;F18)</f>
        <v>0</v>
      </c>
      <c r="H17" s="41">
        <f t="shared" si="3"/>
        <v>2.205882352941176</v>
      </c>
      <c r="I17" s="42">
        <f>COUNTIF(Vertices[Out-Degree],"&gt;= "&amp;H17)-COUNTIF(Vertices[Out-Degree],"&gt;="&amp;H18)</f>
        <v>0</v>
      </c>
      <c r="J17" s="41">
        <f t="shared" si="4"/>
        <v>140.29411764705884</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0.08142573529411765</v>
      </c>
      <c r="O17" s="42">
        <f>COUNTIF(Vertices[Eigenvector Centrality],"&gt;= "&amp;N17)-COUNTIF(Vertices[Eigenvector Centrality],"&gt;="&amp;N18)</f>
        <v>0</v>
      </c>
      <c r="P17" s="41">
        <f t="shared" si="7"/>
        <v>3.364861882352941</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155</v>
      </c>
      <c r="B18" s="36">
        <v>63</v>
      </c>
      <c r="D18" s="34">
        <f t="shared" si="1"/>
        <v>0</v>
      </c>
      <c r="E18" s="3">
        <f>COUNTIF(Vertices[Degree],"&gt;= "&amp;D18)-COUNTIF(Vertices[Degree],"&gt;="&amp;D19)</f>
        <v>0</v>
      </c>
      <c r="F18" s="39">
        <f t="shared" si="2"/>
        <v>8</v>
      </c>
      <c r="G18" s="40">
        <f>COUNTIF(Vertices[In-Degree],"&gt;= "&amp;F18)-COUNTIF(Vertices[In-Degree],"&gt;="&amp;F19)</f>
        <v>0</v>
      </c>
      <c r="H18" s="39">
        <f t="shared" si="3"/>
        <v>2.352941176470588</v>
      </c>
      <c r="I18" s="40">
        <f>COUNTIF(Vertices[Out-Degree],"&gt;= "&amp;H18)-COUNTIF(Vertices[Out-Degree],"&gt;="&amp;H19)</f>
        <v>0</v>
      </c>
      <c r="J18" s="39">
        <f t="shared" si="4"/>
        <v>149.64705882352942</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0.08685411764705882</v>
      </c>
      <c r="O18" s="40">
        <f>COUNTIF(Vertices[Eigenvector Centrality],"&gt;= "&amp;N18)-COUNTIF(Vertices[Eigenvector Centrality],"&gt;="&amp;N19)</f>
        <v>0</v>
      </c>
      <c r="P18" s="39">
        <f t="shared" si="7"/>
        <v>3.55919094117647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8.5</v>
      </c>
      <c r="G19" s="42">
        <f>COUNTIF(Vertices[In-Degree],"&gt;= "&amp;F19)-COUNTIF(Vertices[In-Degree],"&gt;="&amp;F20)</f>
        <v>0</v>
      </c>
      <c r="H19" s="41">
        <f t="shared" si="3"/>
        <v>2.4999999999999996</v>
      </c>
      <c r="I19" s="42">
        <f>COUNTIF(Vertices[Out-Degree],"&gt;= "&amp;H19)-COUNTIF(Vertices[Out-Degree],"&gt;="&amp;H20)</f>
        <v>0</v>
      </c>
      <c r="J19" s="41">
        <f t="shared" si="4"/>
        <v>159</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0.09228249999999999</v>
      </c>
      <c r="O19" s="42">
        <f>COUNTIF(Vertices[Eigenvector Centrality],"&gt;= "&amp;N19)-COUNTIF(Vertices[Eigenvector Centrality],"&gt;="&amp;N20)</f>
        <v>0</v>
      </c>
      <c r="P19" s="41">
        <f t="shared" si="7"/>
        <v>3.7535199999999995</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156</v>
      </c>
      <c r="B20" s="36">
        <v>5</v>
      </c>
      <c r="D20" s="34">
        <f t="shared" si="1"/>
        <v>0</v>
      </c>
      <c r="E20" s="3">
        <f>COUNTIF(Vertices[Degree],"&gt;= "&amp;D20)-COUNTIF(Vertices[Degree],"&gt;="&amp;D21)</f>
        <v>0</v>
      </c>
      <c r="F20" s="39">
        <f t="shared" si="2"/>
        <v>9</v>
      </c>
      <c r="G20" s="40">
        <f>COUNTIF(Vertices[In-Degree],"&gt;= "&amp;F20)-COUNTIF(Vertices[In-Degree],"&gt;="&amp;F21)</f>
        <v>0</v>
      </c>
      <c r="H20" s="39">
        <f t="shared" si="3"/>
        <v>2.6470588235294112</v>
      </c>
      <c r="I20" s="40">
        <f>COUNTIF(Vertices[Out-Degree],"&gt;= "&amp;H20)-COUNTIF(Vertices[Out-Degree],"&gt;="&amp;H21)</f>
        <v>0</v>
      </c>
      <c r="J20" s="39">
        <f t="shared" si="4"/>
        <v>168.35294117647058</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0.09771088235294116</v>
      </c>
      <c r="O20" s="40">
        <f>COUNTIF(Vertices[Eigenvector Centrality],"&gt;= "&amp;N20)-COUNTIF(Vertices[Eigenvector Centrality],"&gt;="&amp;N21)</f>
        <v>0</v>
      </c>
      <c r="P20" s="39">
        <f t="shared" si="7"/>
        <v>3.947849058823529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157</v>
      </c>
      <c r="B21" s="36">
        <v>1.839506</v>
      </c>
      <c r="D21" s="34">
        <f t="shared" si="1"/>
        <v>0</v>
      </c>
      <c r="E21" s="3">
        <f>COUNTIF(Vertices[Degree],"&gt;= "&amp;D21)-COUNTIF(Vertices[Degree],"&gt;="&amp;D22)</f>
        <v>0</v>
      </c>
      <c r="F21" s="41">
        <f t="shared" si="2"/>
        <v>9.5</v>
      </c>
      <c r="G21" s="42">
        <f>COUNTIF(Vertices[In-Degree],"&gt;= "&amp;F21)-COUNTIF(Vertices[In-Degree],"&gt;="&amp;F22)</f>
        <v>0</v>
      </c>
      <c r="H21" s="41">
        <f t="shared" si="3"/>
        <v>2.794117647058823</v>
      </c>
      <c r="I21" s="42">
        <f>COUNTIF(Vertices[Out-Degree],"&gt;= "&amp;H21)-COUNTIF(Vertices[Out-Degree],"&gt;="&amp;H22)</f>
        <v>0</v>
      </c>
      <c r="J21" s="41">
        <f t="shared" si="4"/>
        <v>177.70588235294116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0.10313926470588233</v>
      </c>
      <c r="O21" s="42">
        <f>COUNTIF(Vertices[Eigenvector Centrality],"&gt;= "&amp;N21)-COUNTIF(Vertices[Eigenvector Centrality],"&gt;="&amp;N22)</f>
        <v>0</v>
      </c>
      <c r="P21" s="41">
        <f t="shared" si="7"/>
        <v>4.142178117647059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9"/>
      <c r="B22" s="129"/>
      <c r="D22" s="34">
        <f t="shared" si="1"/>
        <v>0</v>
      </c>
      <c r="E22" s="3">
        <f>COUNTIF(Vertices[Degree],"&gt;= "&amp;D22)-COUNTIF(Vertices[Degree],"&gt;="&amp;D23)</f>
        <v>0</v>
      </c>
      <c r="F22" s="39">
        <f t="shared" si="2"/>
        <v>10</v>
      </c>
      <c r="G22" s="40">
        <f>COUNTIF(Vertices[In-Degree],"&gt;= "&amp;F22)-COUNTIF(Vertices[In-Degree],"&gt;="&amp;F23)</f>
        <v>0</v>
      </c>
      <c r="H22" s="39">
        <f t="shared" si="3"/>
        <v>2.9411764705882346</v>
      </c>
      <c r="I22" s="40">
        <f>COUNTIF(Vertices[Out-Degree],"&gt;= "&amp;H22)-COUNTIF(Vertices[Out-Degree],"&gt;="&amp;H23)</f>
        <v>1</v>
      </c>
      <c r="J22" s="39">
        <f t="shared" si="4"/>
        <v>187.05882352941174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0.1085676470588235</v>
      </c>
      <c r="O22" s="40">
        <f>COUNTIF(Vertices[Eigenvector Centrality],"&gt;= "&amp;N22)-COUNTIF(Vertices[Eigenvector Centrality],"&gt;="&amp;N23)</f>
        <v>0</v>
      </c>
      <c r="P22" s="39">
        <f t="shared" si="7"/>
        <v>4.3365071764705885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158</v>
      </c>
      <c r="B23" s="36">
        <v>0.03528225806451613</v>
      </c>
      <c r="D23" s="34">
        <f t="shared" si="1"/>
        <v>0</v>
      </c>
      <c r="E23" s="3">
        <f>COUNTIF(Vertices[Degree],"&gt;= "&amp;D23)-COUNTIF(Vertices[Degree],"&gt;="&amp;D24)</f>
        <v>0</v>
      </c>
      <c r="F23" s="41">
        <f t="shared" si="2"/>
        <v>10.5</v>
      </c>
      <c r="G23" s="42">
        <f>COUNTIF(Vertices[In-Degree],"&gt;= "&amp;F23)-COUNTIF(Vertices[In-Degree],"&gt;="&amp;F24)</f>
        <v>0</v>
      </c>
      <c r="H23" s="41">
        <f t="shared" si="3"/>
        <v>3.0882352941176463</v>
      </c>
      <c r="I23" s="42">
        <f>COUNTIF(Vertices[Out-Degree],"&gt;= "&amp;H23)-COUNTIF(Vertices[Out-Degree],"&gt;="&amp;H24)</f>
        <v>0</v>
      </c>
      <c r="J23" s="41">
        <f t="shared" si="4"/>
        <v>196.41176470588232</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0.11399602941176468</v>
      </c>
      <c r="O23" s="42">
        <f>COUNTIF(Vertices[Eigenvector Centrality],"&gt;= "&amp;N23)-COUNTIF(Vertices[Eigenvector Centrality],"&gt;="&amp;N24)</f>
        <v>0</v>
      </c>
      <c r="P23" s="41">
        <f t="shared" si="7"/>
        <v>4.530836235294118</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1165</v>
      </c>
      <c r="B24" s="36">
        <v>0.32343</v>
      </c>
      <c r="D24" s="34">
        <f t="shared" si="1"/>
        <v>0</v>
      </c>
      <c r="E24" s="3">
        <f>COUNTIF(Vertices[Degree],"&gt;= "&amp;D24)-COUNTIF(Vertices[Degree],"&gt;="&amp;D25)</f>
        <v>0</v>
      </c>
      <c r="F24" s="39">
        <f t="shared" si="2"/>
        <v>11</v>
      </c>
      <c r="G24" s="40">
        <f>COUNTIF(Vertices[In-Degree],"&gt;= "&amp;F24)-COUNTIF(Vertices[In-Degree],"&gt;="&amp;F25)</f>
        <v>0</v>
      </c>
      <c r="H24" s="39">
        <f t="shared" si="3"/>
        <v>3.235294117647058</v>
      </c>
      <c r="I24" s="40">
        <f>COUNTIF(Vertices[Out-Degree],"&gt;= "&amp;H24)-COUNTIF(Vertices[Out-Degree],"&gt;="&amp;H25)</f>
        <v>0</v>
      </c>
      <c r="J24" s="39">
        <f t="shared" si="4"/>
        <v>205.7647058823529</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0.11942441176470585</v>
      </c>
      <c r="O24" s="40">
        <f>COUNTIF(Vertices[Eigenvector Centrality],"&gt;= "&amp;N24)-COUNTIF(Vertices[Eigenvector Centrality],"&gt;="&amp;N25)</f>
        <v>0</v>
      </c>
      <c r="P24" s="39">
        <f t="shared" si="7"/>
        <v>4.725165294117648</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129"/>
      <c r="B25" s="129"/>
      <c r="D25" s="34">
        <f t="shared" si="1"/>
        <v>0</v>
      </c>
      <c r="E25" s="3">
        <f>COUNTIF(Vertices[Degree],"&gt;= "&amp;D25)-COUNTIF(Vertices[Degree],"&gt;="&amp;D26)</f>
        <v>0</v>
      </c>
      <c r="F25" s="41">
        <f t="shared" si="2"/>
        <v>11.5</v>
      </c>
      <c r="G25" s="42">
        <f>COUNTIF(Vertices[In-Degree],"&gt;= "&amp;F25)-COUNTIF(Vertices[In-Degree],"&gt;="&amp;F26)</f>
        <v>0</v>
      </c>
      <c r="H25" s="41">
        <f t="shared" si="3"/>
        <v>3.3823529411764697</v>
      </c>
      <c r="I25" s="42">
        <f>COUNTIF(Vertices[Out-Degree],"&gt;= "&amp;H25)-COUNTIF(Vertices[Out-Degree],"&gt;="&amp;H26)</f>
        <v>0</v>
      </c>
      <c r="J25" s="41">
        <f t="shared" si="4"/>
        <v>215.11764705882348</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0.12485279411764702</v>
      </c>
      <c r="O25" s="42">
        <f>COUNTIF(Vertices[Eigenvector Centrality],"&gt;= "&amp;N25)-COUNTIF(Vertices[Eigenvector Centrality],"&gt;="&amp;N26)</f>
        <v>0</v>
      </c>
      <c r="P25" s="41">
        <f t="shared" si="7"/>
        <v>4.919494352941178</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1166</v>
      </c>
      <c r="B26" s="36" t="s">
        <v>1180</v>
      </c>
      <c r="D26" s="34">
        <f t="shared" si="1"/>
        <v>0</v>
      </c>
      <c r="E26" s="3">
        <f>COUNTIF(Vertices[Degree],"&gt;= "&amp;D26)-COUNTIF(Vertices[Degree],"&gt;="&amp;D27)</f>
        <v>0</v>
      </c>
      <c r="F26" s="39">
        <f t="shared" si="2"/>
        <v>12</v>
      </c>
      <c r="G26" s="40">
        <f>COUNTIF(Vertices[In-Degree],"&gt;= "&amp;F26)-COUNTIF(Vertices[In-Degree],"&gt;="&amp;F27)</f>
        <v>0</v>
      </c>
      <c r="H26" s="39">
        <f t="shared" si="3"/>
        <v>3.5294117647058814</v>
      </c>
      <c r="I26" s="40">
        <f>COUNTIF(Vertices[Out-Degree],"&gt;= "&amp;H26)-COUNTIF(Vertices[Out-Degree],"&gt;="&amp;H27)</f>
        <v>0</v>
      </c>
      <c r="J26" s="39">
        <f t="shared" si="4"/>
        <v>224.47058823529406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0.1302811764705882</v>
      </c>
      <c r="O26" s="40">
        <f>COUNTIF(Vertices[Eigenvector Centrality],"&gt;= "&amp;N26)-COUNTIF(Vertices[Eigenvector Centrality],"&gt;="&amp;N27)</f>
        <v>0</v>
      </c>
      <c r="P26" s="39">
        <f t="shared" si="7"/>
        <v>5.113823411764708</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9"/>
      <c r="B27" s="129"/>
      <c r="D27" s="34">
        <f t="shared" si="1"/>
        <v>0</v>
      </c>
      <c r="E27" s="3">
        <f>COUNTIF(Vertices[Degree],"&gt;= "&amp;D27)-COUNTIF(Vertices[Degree],"&gt;="&amp;D28)</f>
        <v>0</v>
      </c>
      <c r="F27" s="41">
        <f t="shared" si="2"/>
        <v>12.5</v>
      </c>
      <c r="G27" s="42">
        <f>COUNTIF(Vertices[In-Degree],"&gt;= "&amp;F27)-COUNTIF(Vertices[In-Degree],"&gt;="&amp;F28)</f>
        <v>0</v>
      </c>
      <c r="H27" s="41">
        <f t="shared" si="3"/>
        <v>3.676470588235293</v>
      </c>
      <c r="I27" s="42">
        <f>COUNTIF(Vertices[Out-Degree],"&gt;= "&amp;H27)-COUNTIF(Vertices[Out-Degree],"&gt;="&amp;H28)</f>
        <v>0</v>
      </c>
      <c r="J27" s="41">
        <f t="shared" si="4"/>
        <v>233.82352941176464</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0.1357095588235294</v>
      </c>
      <c r="O27" s="42">
        <f>COUNTIF(Vertices[Eigenvector Centrality],"&gt;= "&amp;N27)-COUNTIF(Vertices[Eigenvector Centrality],"&gt;="&amp;N28)</f>
        <v>0</v>
      </c>
      <c r="P27" s="41">
        <f t="shared" si="7"/>
        <v>5.3081524705882375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1167</v>
      </c>
      <c r="B28" s="36" t="s">
        <v>1213</v>
      </c>
      <c r="D28" s="34">
        <f t="shared" si="1"/>
        <v>0</v>
      </c>
      <c r="E28" s="3">
        <f>COUNTIF(Vertices[Degree],"&gt;= "&amp;D28)-COUNTIF(Vertices[Degree],"&gt;="&amp;D29)</f>
        <v>0</v>
      </c>
      <c r="F28" s="39">
        <f t="shared" si="2"/>
        <v>13</v>
      </c>
      <c r="G28" s="40">
        <f>COUNTIF(Vertices[In-Degree],"&gt;= "&amp;F28)-COUNTIF(Vertices[In-Degree],"&gt;="&amp;F29)</f>
        <v>0</v>
      </c>
      <c r="H28" s="39">
        <f t="shared" si="3"/>
        <v>3.8235294117647047</v>
      </c>
      <c r="I28" s="40">
        <f>COUNTIF(Vertices[Out-Degree],"&gt;= "&amp;H28)-COUNTIF(Vertices[Out-Degree],"&gt;="&amp;H29)</f>
        <v>0</v>
      </c>
      <c r="J28" s="39">
        <f t="shared" si="4"/>
        <v>243.17647058823522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0.14113794117647058</v>
      </c>
      <c r="O28" s="40">
        <f>COUNTIF(Vertices[Eigenvector Centrality],"&gt;= "&amp;N28)-COUNTIF(Vertices[Eigenvector Centrality],"&gt;="&amp;N29)</f>
        <v>0</v>
      </c>
      <c r="P28" s="39">
        <f t="shared" si="7"/>
        <v>5.502481529411767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9"/>
      <c r="B29" s="129"/>
      <c r="D29" s="34">
        <f t="shared" si="1"/>
        <v>0</v>
      </c>
      <c r="E29" s="3">
        <f>COUNTIF(Vertices[Degree],"&gt;= "&amp;D29)-COUNTIF(Vertices[Degree],"&gt;="&amp;D30)</f>
        <v>0</v>
      </c>
      <c r="F29" s="41">
        <f t="shared" si="2"/>
        <v>13.5</v>
      </c>
      <c r="G29" s="42">
        <f>COUNTIF(Vertices[In-Degree],"&gt;= "&amp;F29)-COUNTIF(Vertices[In-Degree],"&gt;="&amp;F30)</f>
        <v>0</v>
      </c>
      <c r="H29" s="41">
        <f t="shared" si="3"/>
        <v>3.9705882352941164</v>
      </c>
      <c r="I29" s="42">
        <f>COUNTIF(Vertices[Out-Degree],"&gt;= "&amp;H29)-COUNTIF(Vertices[Out-Degree],"&gt;="&amp;H30)</f>
        <v>2</v>
      </c>
      <c r="J29" s="41">
        <f t="shared" si="4"/>
        <v>252.5294117647058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0.14656632352941176</v>
      </c>
      <c r="O29" s="42">
        <f>COUNTIF(Vertices[Eigenvector Centrality],"&gt;= "&amp;N29)-COUNTIF(Vertices[Eigenvector Centrality],"&gt;="&amp;N30)</f>
        <v>0</v>
      </c>
      <c r="P29" s="41">
        <f t="shared" si="7"/>
        <v>5.696810588235297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1168</v>
      </c>
      <c r="B30" s="36" t="s">
        <v>1208</v>
      </c>
      <c r="D30" s="34">
        <f t="shared" si="1"/>
        <v>0</v>
      </c>
      <c r="E30" s="3">
        <f>COUNTIF(Vertices[Degree],"&gt;= "&amp;D30)-COUNTIF(Vertices[Degree],"&gt;="&amp;D31)</f>
        <v>0</v>
      </c>
      <c r="F30" s="39">
        <f t="shared" si="2"/>
        <v>14</v>
      </c>
      <c r="G30" s="40">
        <f>COUNTIF(Vertices[In-Degree],"&gt;= "&amp;F30)-COUNTIF(Vertices[In-Degree],"&gt;="&amp;F31)</f>
        <v>0</v>
      </c>
      <c r="H30" s="39">
        <f t="shared" si="3"/>
        <v>4.117647058823528</v>
      </c>
      <c r="I30" s="40">
        <f>COUNTIF(Vertices[Out-Degree],"&gt;= "&amp;H30)-COUNTIF(Vertices[Out-Degree],"&gt;="&amp;H31)</f>
        <v>0</v>
      </c>
      <c r="J30" s="39">
        <f t="shared" si="4"/>
        <v>261.8823529411764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0.15199470588235295</v>
      </c>
      <c r="O30" s="40">
        <f>COUNTIF(Vertices[Eigenvector Centrality],"&gt;= "&amp;N30)-COUNTIF(Vertices[Eigenvector Centrality],"&gt;="&amp;N31)</f>
        <v>0</v>
      </c>
      <c r="P30" s="39">
        <f t="shared" si="7"/>
        <v>5.891139647058827</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1169</v>
      </c>
      <c r="B31" s="36" t="s">
        <v>1209</v>
      </c>
      <c r="D31" s="34">
        <f t="shared" si="1"/>
        <v>0</v>
      </c>
      <c r="E31" s="3">
        <f>COUNTIF(Vertices[Degree],"&gt;= "&amp;D31)-COUNTIF(Vertices[Degree],"&gt;="&amp;D32)</f>
        <v>0</v>
      </c>
      <c r="F31" s="41">
        <f t="shared" si="2"/>
        <v>14.5</v>
      </c>
      <c r="G31" s="42">
        <f>COUNTIF(Vertices[In-Degree],"&gt;= "&amp;F31)-COUNTIF(Vertices[In-Degree],"&gt;="&amp;F32)</f>
        <v>0</v>
      </c>
      <c r="H31" s="41">
        <f t="shared" si="3"/>
        <v>4.26470588235294</v>
      </c>
      <c r="I31" s="42">
        <f>COUNTIF(Vertices[Out-Degree],"&gt;= "&amp;H31)-COUNTIF(Vertices[Out-Degree],"&gt;="&amp;H32)</f>
        <v>0</v>
      </c>
      <c r="J31" s="41">
        <f t="shared" si="4"/>
        <v>271.235294117647</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0.15742308823529413</v>
      </c>
      <c r="O31" s="42">
        <f>COUNTIF(Vertices[Eigenvector Centrality],"&gt;= "&amp;N31)-COUNTIF(Vertices[Eigenvector Centrality],"&gt;="&amp;N32)</f>
        <v>0</v>
      </c>
      <c r="P31" s="41">
        <f t="shared" si="7"/>
        <v>6.085468705882357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409.5">
      <c r="A32" s="36" t="s">
        <v>1170</v>
      </c>
      <c r="B32" s="68" t="s">
        <v>1210</v>
      </c>
      <c r="D32" s="34">
        <f t="shared" si="1"/>
        <v>0</v>
      </c>
      <c r="E32" s="3">
        <f>COUNTIF(Vertices[Degree],"&gt;= "&amp;D32)-COUNTIF(Vertices[Degree],"&gt;="&amp;D33)</f>
        <v>0</v>
      </c>
      <c r="F32" s="39">
        <f t="shared" si="2"/>
        <v>15</v>
      </c>
      <c r="G32" s="40">
        <f>COUNTIF(Vertices[In-Degree],"&gt;= "&amp;F32)-COUNTIF(Vertices[In-Degree],"&gt;="&amp;F33)</f>
        <v>0</v>
      </c>
      <c r="H32" s="39">
        <f t="shared" si="3"/>
        <v>4.411764705882352</v>
      </c>
      <c r="I32" s="40">
        <f>COUNTIF(Vertices[Out-Degree],"&gt;= "&amp;H32)-COUNTIF(Vertices[Out-Degree],"&gt;="&amp;H33)</f>
        <v>0</v>
      </c>
      <c r="J32" s="39">
        <f t="shared" si="4"/>
        <v>280.5882352941176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0.16285147058823532</v>
      </c>
      <c r="O32" s="40">
        <f>COUNTIF(Vertices[Eigenvector Centrality],"&gt;= "&amp;N32)-COUNTIF(Vertices[Eigenvector Centrality],"&gt;="&amp;N33)</f>
        <v>0</v>
      </c>
      <c r="P32" s="39">
        <f t="shared" si="7"/>
        <v>6.2797977647058865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1171</v>
      </c>
      <c r="B33" s="36" t="s">
        <v>1211</v>
      </c>
      <c r="D33" s="34">
        <f t="shared" si="1"/>
        <v>0</v>
      </c>
      <c r="E33" s="3">
        <f>COUNTIF(Vertices[Degree],"&gt;= "&amp;D33)-COUNTIF(Vertices[Degree],"&gt;="&amp;D34)</f>
        <v>0</v>
      </c>
      <c r="F33" s="41">
        <f t="shared" si="2"/>
        <v>15.5</v>
      </c>
      <c r="G33" s="42">
        <f>COUNTIF(Vertices[In-Degree],"&gt;= "&amp;F33)-COUNTIF(Vertices[In-Degree],"&gt;="&amp;F34)</f>
        <v>0</v>
      </c>
      <c r="H33" s="41">
        <f t="shared" si="3"/>
        <v>4.5588235294117645</v>
      </c>
      <c r="I33" s="42">
        <f>COUNTIF(Vertices[Out-Degree],"&gt;= "&amp;H33)-COUNTIF(Vertices[Out-Degree],"&gt;="&amp;H34)</f>
        <v>0</v>
      </c>
      <c r="J33" s="41">
        <f t="shared" si="4"/>
        <v>289.94117647058823</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0.1682798529411765</v>
      </c>
      <c r="O33" s="42">
        <f>COUNTIF(Vertices[Eigenvector Centrality],"&gt;= "&amp;N33)-COUNTIF(Vertices[Eigenvector Centrality],"&gt;="&amp;N34)</f>
        <v>0</v>
      </c>
      <c r="P33" s="41">
        <f t="shared" si="7"/>
        <v>6.474126823529416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1172</v>
      </c>
      <c r="B34" s="36" t="s">
        <v>1212</v>
      </c>
      <c r="D34" s="34">
        <f t="shared" si="1"/>
        <v>0</v>
      </c>
      <c r="E34" s="3">
        <f>COUNTIF(Vertices[Degree],"&gt;= "&amp;D34)-COUNTIF(Vertices[Degree],"&gt;="&amp;D35)</f>
        <v>0</v>
      </c>
      <c r="F34" s="39">
        <f t="shared" si="2"/>
        <v>16</v>
      </c>
      <c r="G34" s="40">
        <f>COUNTIF(Vertices[In-Degree],"&gt;= "&amp;F34)-COUNTIF(Vertices[In-Degree],"&gt;="&amp;F35)</f>
        <v>0</v>
      </c>
      <c r="H34" s="39">
        <f t="shared" si="3"/>
        <v>4.705882352941177</v>
      </c>
      <c r="I34" s="40">
        <f>COUNTIF(Vertices[Out-Degree],"&gt;= "&amp;H34)-COUNTIF(Vertices[Out-Degree],"&gt;="&amp;H35)</f>
        <v>0</v>
      </c>
      <c r="J34" s="39">
        <f t="shared" si="4"/>
        <v>299.29411764705884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0.1737082352941177</v>
      </c>
      <c r="O34" s="40">
        <f>COUNTIF(Vertices[Eigenvector Centrality],"&gt;= "&amp;N34)-COUNTIF(Vertices[Eigenvector Centrality],"&gt;="&amp;N35)</f>
        <v>0</v>
      </c>
      <c r="P34" s="39">
        <f t="shared" si="7"/>
        <v>6.668455882352946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1173</v>
      </c>
      <c r="B35" s="36" t="s">
        <v>648</v>
      </c>
      <c r="D35" s="34">
        <f t="shared" si="1"/>
        <v>0</v>
      </c>
      <c r="E35" s="3">
        <f>COUNTIF(Vertices[Degree],"&gt;= "&amp;D35)-COUNTIF(Vertices[Degree],"&gt;="&amp;D36)</f>
        <v>0</v>
      </c>
      <c r="F35" s="41">
        <f t="shared" si="2"/>
        <v>16.5</v>
      </c>
      <c r="G35" s="42">
        <f>COUNTIF(Vertices[In-Degree],"&gt;= "&amp;F35)-COUNTIF(Vertices[In-Degree],"&gt;="&amp;F36)</f>
        <v>0</v>
      </c>
      <c r="H35" s="41">
        <f t="shared" si="3"/>
        <v>4.852941176470589</v>
      </c>
      <c r="I35" s="42">
        <f>COUNTIF(Vertices[Out-Degree],"&gt;= "&amp;H35)-COUNTIF(Vertices[Out-Degree],"&gt;="&amp;H36)</f>
        <v>0</v>
      </c>
      <c r="J35" s="41">
        <f t="shared" si="4"/>
        <v>308.64705882352945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0.17913661764705888</v>
      </c>
      <c r="O35" s="42">
        <f>COUNTIF(Vertices[Eigenvector Centrality],"&gt;= "&amp;N35)-COUNTIF(Vertices[Eigenvector Centrality],"&gt;="&amp;N36)</f>
        <v>0</v>
      </c>
      <c r="P35" s="41">
        <f t="shared" si="7"/>
        <v>6.862784941176476</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1174</v>
      </c>
      <c r="B36" s="36" t="s">
        <v>648</v>
      </c>
      <c r="D36" s="34">
        <f>MAX(Vertices[Degree])</f>
        <v>0</v>
      </c>
      <c r="E36" s="3">
        <f>COUNTIF(Vertices[Degree],"&gt;= "&amp;D36)-COUNTIF(Vertices[Degree],"&gt;="&amp;#REF!)</f>
        <v>0</v>
      </c>
      <c r="F36" s="43">
        <f>MAX(Vertices[In-Degree])</f>
        <v>17</v>
      </c>
      <c r="G36" s="44">
        <f>COUNTIF(Vertices[In-Degree],"&gt;= "&amp;F36)-COUNTIF(Vertices[In-Degree],"&gt;="&amp;#REF!)</f>
        <v>1</v>
      </c>
      <c r="H36" s="43">
        <f>MAX(Vertices[Out-Degree])</f>
        <v>5</v>
      </c>
      <c r="I36" s="44">
        <f>COUNTIF(Vertices[Out-Degree],"&gt;= "&amp;H36)-COUNTIF(Vertices[Out-Degree],"&gt;="&amp;#REF!)</f>
        <v>1</v>
      </c>
      <c r="J36" s="43">
        <f>MAX(Vertices[Betweenness Centrality])</f>
        <v>318</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0.184565</v>
      </c>
      <c r="O36" s="44">
        <f>COUNTIF(Vertices[Eigenvector Centrality],"&gt;= "&amp;N36)-COUNTIF(Vertices[Eigenvector Centrality],"&gt;="&amp;#REF!)</f>
        <v>1</v>
      </c>
      <c r="P36" s="43">
        <f>MAX(Vertices[PageRank])</f>
        <v>7.057114</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1175</v>
      </c>
      <c r="B37" s="36" t="s">
        <v>648</v>
      </c>
    </row>
    <row r="38" spans="1:2" ht="15">
      <c r="A38" s="36" t="s">
        <v>1176</v>
      </c>
      <c r="B38" s="36" t="s">
        <v>483</v>
      </c>
    </row>
    <row r="39" spans="1:2" ht="15">
      <c r="A39" s="36" t="s">
        <v>21</v>
      </c>
      <c r="B39" s="36"/>
    </row>
    <row r="40" spans="1:2" ht="15">
      <c r="A40" s="36" t="s">
        <v>1177</v>
      </c>
      <c r="B40" s="36" t="s">
        <v>483</v>
      </c>
    </row>
    <row r="41" spans="1:2" ht="15">
      <c r="A41" s="36" t="s">
        <v>1178</v>
      </c>
      <c r="B41" s="36"/>
    </row>
    <row r="42" spans="1:2" ht="15">
      <c r="A42" s="36" t="s">
        <v>1179</v>
      </c>
      <c r="B42"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17</v>
      </c>
    </row>
    <row r="82" spans="1:2" ht="15">
      <c r="A82" s="35" t="s">
        <v>90</v>
      </c>
      <c r="B82" s="49">
        <f>_xlfn.IFERROR(AVERAGE(Vertices[In-Degree]),NoMetricMessage)</f>
        <v>1.25</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5</v>
      </c>
    </row>
    <row r="96" spans="1:2" ht="15">
      <c r="A96" s="35" t="s">
        <v>96</v>
      </c>
      <c r="B96" s="49">
        <f>_xlfn.IFERROR(AVERAGE(Vertices[Out-Degree]),NoMetricMessage)</f>
        <v>1.25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318</v>
      </c>
    </row>
    <row r="110" spans="1:2" ht="15">
      <c r="A110" s="35" t="s">
        <v>102</v>
      </c>
      <c r="B110" s="49">
        <f>_xlfn.IFERROR(AVERAGE(Vertices[Betweenness Centrality]),NoMetricMessage)</f>
        <v>13.75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1</v>
      </c>
    </row>
    <row r="124" spans="1:2" ht="15">
      <c r="A124" s="35" t="s">
        <v>108</v>
      </c>
      <c r="B124" s="49">
        <f>_xlfn.IFERROR(AVERAGE(Vertices[Closeness Centrality]),NoMetricMessage)</f>
        <v>0.094938875</v>
      </c>
    </row>
    <row r="125" spans="1:2" ht="15">
      <c r="A125" s="35" t="s">
        <v>109</v>
      </c>
      <c r="B125" s="49">
        <f>_xlfn.IFERROR(MEDIAN(Vertices[Closeness Centrality]),NoMetricMessage)</f>
        <v>0.027778</v>
      </c>
    </row>
    <row r="136" spans="1:2" ht="15">
      <c r="A136" s="35" t="s">
        <v>112</v>
      </c>
      <c r="B136" s="49">
        <f>IF(COUNT(Vertices[Eigenvector Centrality])&gt;0,N2,NoMetricMessage)</f>
        <v>0</v>
      </c>
    </row>
    <row r="137" spans="1:2" ht="15">
      <c r="A137" s="35" t="s">
        <v>113</v>
      </c>
      <c r="B137" s="49">
        <f>IF(COUNT(Vertices[Eigenvector Centrality])&gt;0,N36,NoMetricMessage)</f>
        <v>0.184565</v>
      </c>
    </row>
    <row r="138" spans="1:2" ht="15">
      <c r="A138" s="35" t="s">
        <v>114</v>
      </c>
      <c r="B138" s="49">
        <f>_xlfn.IFERROR(AVERAGE(Vertices[Eigenvector Centrality]),NoMetricMessage)</f>
        <v>0.031249968749999996</v>
      </c>
    </row>
    <row r="139" spans="1:2" ht="15">
      <c r="A139" s="35" t="s">
        <v>115</v>
      </c>
      <c r="B139" s="49">
        <f>_xlfn.IFERROR(MEDIAN(Vertices[Eigenvector Centrality]),NoMetricMessage)</f>
        <v>0.034064</v>
      </c>
    </row>
    <row r="150" spans="1:2" ht="15">
      <c r="A150" s="35" t="s">
        <v>140</v>
      </c>
      <c r="B150" s="49">
        <f>IF(COUNT(Vertices[PageRank])&gt;0,P2,NoMetricMessage)</f>
        <v>0.449926</v>
      </c>
    </row>
    <row r="151" spans="1:2" ht="15">
      <c r="A151" s="35" t="s">
        <v>141</v>
      </c>
      <c r="B151" s="49">
        <f>IF(COUNT(Vertices[PageRank])&gt;0,P36,NoMetricMessage)</f>
        <v>7.057114</v>
      </c>
    </row>
    <row r="152" spans="1:2" ht="15">
      <c r="A152" s="35" t="s">
        <v>142</v>
      </c>
      <c r="B152" s="49">
        <f>_xlfn.IFERROR(AVERAGE(Vertices[PageRank]),NoMetricMessage)</f>
        <v>0.9999844062500003</v>
      </c>
    </row>
    <row r="153" spans="1:2" ht="15">
      <c r="A153" s="35" t="s">
        <v>143</v>
      </c>
      <c r="B153" s="49">
        <f>_xlfn.IFERROR(MEDIAN(Vertices[PageRank]),NoMetricMessage)</f>
        <v>0.645617</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0.1032437865497076</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79"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409.5">
      <c r="D20">
        <v>8</v>
      </c>
      <c r="H20">
        <v>8</v>
      </c>
      <c r="J20" t="s">
        <v>187</v>
      </c>
      <c r="K20" s="13" t="s">
        <v>208</v>
      </c>
    </row>
    <row r="21" spans="4:11" ht="409.5">
      <c r="D21">
        <v>9</v>
      </c>
      <c r="H21">
        <v>9</v>
      </c>
      <c r="J21" t="s">
        <v>188</v>
      </c>
      <c r="K21" s="13" t="s">
        <v>1207</v>
      </c>
    </row>
    <row r="22" spans="4:11" ht="409.5">
      <c r="D22">
        <v>10</v>
      </c>
      <c r="J22" t="s">
        <v>189</v>
      </c>
      <c r="K22" s="13" t="s">
        <v>190</v>
      </c>
    </row>
    <row r="23" spans="4:11" ht="15">
      <c r="D23">
        <v>11</v>
      </c>
      <c r="J23" t="s">
        <v>191</v>
      </c>
      <c r="K23">
        <v>18</v>
      </c>
    </row>
    <row r="24" spans="10:11" ht="15">
      <c r="J24" t="s">
        <v>209</v>
      </c>
      <c r="K24" t="s">
        <v>1204</v>
      </c>
    </row>
    <row r="25" spans="10:11" ht="409.5">
      <c r="J25" t="s">
        <v>210</v>
      </c>
      <c r="K25" s="13" t="s">
        <v>1206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D03FD-54C0-4C04-80EC-16D6C8FCF5EE}">
  <dimension ref="A1:L73"/>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s>
  <sheetData>
    <row r="1" spans="1:12" ht="15" customHeight="1">
      <c r="A1" s="13" t="s">
        <v>663</v>
      </c>
      <c r="B1" s="13" t="s">
        <v>667</v>
      </c>
      <c r="C1" s="13" t="s">
        <v>668</v>
      </c>
      <c r="D1" s="13" t="s">
        <v>670</v>
      </c>
      <c r="E1" s="84" t="s">
        <v>669</v>
      </c>
      <c r="F1" s="84" t="s">
        <v>672</v>
      </c>
      <c r="G1" s="84" t="s">
        <v>671</v>
      </c>
      <c r="H1" s="84" t="s">
        <v>674</v>
      </c>
      <c r="I1" s="84" t="s">
        <v>673</v>
      </c>
      <c r="J1" s="84" t="s">
        <v>676</v>
      </c>
      <c r="K1" s="84" t="s">
        <v>675</v>
      </c>
      <c r="L1" s="84" t="s">
        <v>677</v>
      </c>
    </row>
    <row r="2" spans="1:12" ht="15">
      <c r="A2" s="88" t="s">
        <v>664</v>
      </c>
      <c r="B2" s="84">
        <v>4</v>
      </c>
      <c r="C2" s="88" t="s">
        <v>664</v>
      </c>
      <c r="D2" s="84">
        <v>4</v>
      </c>
      <c r="E2" s="84"/>
      <c r="F2" s="84"/>
      <c r="G2" s="84"/>
      <c r="H2" s="84"/>
      <c r="I2" s="84"/>
      <c r="J2" s="84"/>
      <c r="K2" s="84"/>
      <c r="L2" s="84"/>
    </row>
    <row r="3" spans="1:12" ht="15">
      <c r="A3" s="89" t="s">
        <v>665</v>
      </c>
      <c r="B3" s="84">
        <v>1</v>
      </c>
      <c r="C3" s="88" t="s">
        <v>666</v>
      </c>
      <c r="D3" s="84">
        <v>1</v>
      </c>
      <c r="E3" s="84"/>
      <c r="F3" s="84"/>
      <c r="G3" s="84"/>
      <c r="H3" s="84"/>
      <c r="I3" s="84"/>
      <c r="J3" s="84"/>
      <c r="K3" s="84"/>
      <c r="L3" s="84"/>
    </row>
    <row r="4" spans="1:12" ht="15">
      <c r="A4" s="89" t="s">
        <v>666</v>
      </c>
      <c r="B4" s="84">
        <v>1</v>
      </c>
      <c r="C4" s="88" t="s">
        <v>665</v>
      </c>
      <c r="D4" s="84">
        <v>1</v>
      </c>
      <c r="E4" s="84"/>
      <c r="F4" s="84"/>
      <c r="G4" s="84"/>
      <c r="H4" s="84"/>
      <c r="I4" s="84"/>
      <c r="J4" s="84"/>
      <c r="K4" s="84"/>
      <c r="L4" s="84"/>
    </row>
    <row r="7" spans="1:12" ht="15" customHeight="1">
      <c r="A7" s="13" t="s">
        <v>680</v>
      </c>
      <c r="B7" s="13" t="s">
        <v>667</v>
      </c>
      <c r="C7" s="13" t="s">
        <v>681</v>
      </c>
      <c r="D7" s="13" t="s">
        <v>670</v>
      </c>
      <c r="E7" s="84" t="s">
        <v>682</v>
      </c>
      <c r="F7" s="84" t="s">
        <v>672</v>
      </c>
      <c r="G7" s="84" t="s">
        <v>683</v>
      </c>
      <c r="H7" s="84" t="s">
        <v>674</v>
      </c>
      <c r="I7" s="84" t="s">
        <v>684</v>
      </c>
      <c r="J7" s="84" t="s">
        <v>676</v>
      </c>
      <c r="K7" s="84" t="s">
        <v>685</v>
      </c>
      <c r="L7" s="84" t="s">
        <v>677</v>
      </c>
    </row>
    <row r="8" spans="1:12" ht="15">
      <c r="A8" s="84" t="s">
        <v>325</v>
      </c>
      <c r="B8" s="84">
        <v>4</v>
      </c>
      <c r="C8" s="84" t="s">
        <v>325</v>
      </c>
      <c r="D8" s="84">
        <v>4</v>
      </c>
      <c r="E8" s="84"/>
      <c r="F8" s="84"/>
      <c r="G8" s="84"/>
      <c r="H8" s="84"/>
      <c r="I8" s="84"/>
      <c r="J8" s="84"/>
      <c r="K8" s="84"/>
      <c r="L8" s="84"/>
    </row>
    <row r="9" spans="1:12" ht="15">
      <c r="A9" s="85" t="s">
        <v>326</v>
      </c>
      <c r="B9" s="84">
        <v>1</v>
      </c>
      <c r="C9" s="84" t="s">
        <v>327</v>
      </c>
      <c r="D9" s="84">
        <v>1</v>
      </c>
      <c r="E9" s="84"/>
      <c r="F9" s="84"/>
      <c r="G9" s="84"/>
      <c r="H9" s="84"/>
      <c r="I9" s="84"/>
      <c r="J9" s="84"/>
      <c r="K9" s="84"/>
      <c r="L9" s="84"/>
    </row>
    <row r="10" spans="1:12" ht="15">
      <c r="A10" s="85" t="s">
        <v>327</v>
      </c>
      <c r="B10" s="84">
        <v>1</v>
      </c>
      <c r="C10" s="84" t="s">
        <v>326</v>
      </c>
      <c r="D10" s="84">
        <v>1</v>
      </c>
      <c r="E10" s="84"/>
      <c r="F10" s="84"/>
      <c r="G10" s="84"/>
      <c r="H10" s="84"/>
      <c r="I10" s="84"/>
      <c r="J10" s="84"/>
      <c r="K10" s="84"/>
      <c r="L10" s="84"/>
    </row>
    <row r="13" spans="1:12" ht="15" customHeight="1">
      <c r="A13" s="13" t="s">
        <v>688</v>
      </c>
      <c r="B13" s="13" t="s">
        <v>667</v>
      </c>
      <c r="C13" s="13" t="s">
        <v>692</v>
      </c>
      <c r="D13" s="13" t="s">
        <v>670</v>
      </c>
      <c r="E13" s="13" t="s">
        <v>693</v>
      </c>
      <c r="F13" s="13" t="s">
        <v>672</v>
      </c>
      <c r="G13" s="13" t="s">
        <v>694</v>
      </c>
      <c r="H13" s="13" t="s">
        <v>674</v>
      </c>
      <c r="I13" s="13" t="s">
        <v>695</v>
      </c>
      <c r="J13" s="13" t="s">
        <v>676</v>
      </c>
      <c r="K13" s="13" t="s">
        <v>696</v>
      </c>
      <c r="L13" s="13" t="s">
        <v>677</v>
      </c>
    </row>
    <row r="14" spans="1:12" ht="15">
      <c r="A14" s="84" t="s">
        <v>328</v>
      </c>
      <c r="B14" s="84">
        <v>69</v>
      </c>
      <c r="C14" s="84" t="s">
        <v>328</v>
      </c>
      <c r="D14" s="84">
        <v>48</v>
      </c>
      <c r="E14" s="84" t="s">
        <v>328</v>
      </c>
      <c r="F14" s="84">
        <v>8</v>
      </c>
      <c r="G14" s="84" t="s">
        <v>328</v>
      </c>
      <c r="H14" s="84">
        <v>8</v>
      </c>
      <c r="I14" s="84" t="s">
        <v>328</v>
      </c>
      <c r="J14" s="84">
        <v>4</v>
      </c>
      <c r="K14" s="84" t="s">
        <v>691</v>
      </c>
      <c r="L14" s="84">
        <v>1</v>
      </c>
    </row>
    <row r="15" spans="1:12" ht="15">
      <c r="A15" s="85" t="s">
        <v>689</v>
      </c>
      <c r="B15" s="84">
        <v>4</v>
      </c>
      <c r="C15" s="84" t="s">
        <v>689</v>
      </c>
      <c r="D15" s="84">
        <v>4</v>
      </c>
      <c r="E15" s="84"/>
      <c r="F15" s="84"/>
      <c r="G15" s="84" t="s">
        <v>690</v>
      </c>
      <c r="H15" s="84">
        <v>1</v>
      </c>
      <c r="I15" s="84"/>
      <c r="J15" s="84"/>
      <c r="K15" s="84" t="s">
        <v>328</v>
      </c>
      <c r="L15" s="84">
        <v>1</v>
      </c>
    </row>
    <row r="16" spans="1:12" ht="15">
      <c r="A16" s="85" t="s">
        <v>690</v>
      </c>
      <c r="B16" s="84">
        <v>2</v>
      </c>
      <c r="C16" s="84" t="s">
        <v>690</v>
      </c>
      <c r="D16" s="84">
        <v>1</v>
      </c>
      <c r="E16" s="84"/>
      <c r="F16" s="84"/>
      <c r="G16" s="84"/>
      <c r="H16" s="84"/>
      <c r="I16" s="84"/>
      <c r="J16" s="84"/>
      <c r="K16" s="84"/>
      <c r="L16" s="84"/>
    </row>
    <row r="17" spans="1:12" ht="15">
      <c r="A17" s="85" t="s">
        <v>691</v>
      </c>
      <c r="B17" s="84">
        <v>1</v>
      </c>
      <c r="C17" s="84"/>
      <c r="D17" s="84"/>
      <c r="E17" s="84"/>
      <c r="F17" s="84"/>
      <c r="G17" s="84"/>
      <c r="H17" s="84"/>
      <c r="I17" s="84"/>
      <c r="J17" s="84"/>
      <c r="K17" s="84"/>
      <c r="L17" s="84"/>
    </row>
    <row r="20" spans="1:12" ht="15" customHeight="1">
      <c r="A20" s="13" t="s">
        <v>700</v>
      </c>
      <c r="B20" s="13" t="s">
        <v>667</v>
      </c>
      <c r="C20" s="13" t="s">
        <v>711</v>
      </c>
      <c r="D20" s="13" t="s">
        <v>670</v>
      </c>
      <c r="E20" s="13" t="s">
        <v>714</v>
      </c>
      <c r="F20" s="13" t="s">
        <v>672</v>
      </c>
      <c r="G20" s="13" t="s">
        <v>721</v>
      </c>
      <c r="H20" s="13" t="s">
        <v>674</v>
      </c>
      <c r="I20" s="13" t="s">
        <v>727</v>
      </c>
      <c r="J20" s="13" t="s">
        <v>676</v>
      </c>
      <c r="K20" s="13" t="s">
        <v>735</v>
      </c>
      <c r="L20" s="13" t="s">
        <v>677</v>
      </c>
    </row>
    <row r="21" spans="1:12" ht="15">
      <c r="A21" s="92" t="s">
        <v>701</v>
      </c>
      <c r="B21" s="92">
        <v>69</v>
      </c>
      <c r="C21" s="92" t="s">
        <v>701</v>
      </c>
      <c r="D21" s="92">
        <v>48</v>
      </c>
      <c r="E21" s="92" t="s">
        <v>701</v>
      </c>
      <c r="F21" s="92">
        <v>8</v>
      </c>
      <c r="G21" s="92" t="s">
        <v>701</v>
      </c>
      <c r="H21" s="92">
        <v>8</v>
      </c>
      <c r="I21" s="92" t="s">
        <v>701</v>
      </c>
      <c r="J21" s="92">
        <v>4</v>
      </c>
      <c r="K21" s="92" t="s">
        <v>736</v>
      </c>
      <c r="L21" s="92">
        <v>2</v>
      </c>
    </row>
    <row r="22" spans="1:12" ht="15">
      <c r="A22" s="93" t="s">
        <v>702</v>
      </c>
      <c r="B22" s="92">
        <v>21</v>
      </c>
      <c r="C22" s="92" t="s">
        <v>703</v>
      </c>
      <c r="D22" s="92">
        <v>15</v>
      </c>
      <c r="E22" s="92" t="s">
        <v>703</v>
      </c>
      <c r="F22" s="92">
        <v>4</v>
      </c>
      <c r="G22" s="92" t="s">
        <v>702</v>
      </c>
      <c r="H22" s="92">
        <v>4</v>
      </c>
      <c r="I22" s="92" t="s">
        <v>728</v>
      </c>
      <c r="J22" s="92">
        <v>3</v>
      </c>
      <c r="K22" s="92"/>
      <c r="L22" s="92"/>
    </row>
    <row r="23" spans="1:12" ht="15">
      <c r="A23" s="93" t="s">
        <v>703</v>
      </c>
      <c r="B23" s="92">
        <v>19</v>
      </c>
      <c r="C23" s="92" t="s">
        <v>702</v>
      </c>
      <c r="D23" s="92">
        <v>15</v>
      </c>
      <c r="E23" s="92" t="s">
        <v>704</v>
      </c>
      <c r="F23" s="92">
        <v>4</v>
      </c>
      <c r="G23" s="92" t="s">
        <v>722</v>
      </c>
      <c r="H23" s="92">
        <v>3</v>
      </c>
      <c r="I23" s="92" t="s">
        <v>729</v>
      </c>
      <c r="J23" s="92">
        <v>3</v>
      </c>
      <c r="K23" s="92"/>
      <c r="L23" s="92"/>
    </row>
    <row r="24" spans="1:12" ht="15">
      <c r="A24" s="93" t="s">
        <v>704</v>
      </c>
      <c r="B24" s="92">
        <v>15</v>
      </c>
      <c r="C24" s="92" t="s">
        <v>706</v>
      </c>
      <c r="D24" s="92">
        <v>12</v>
      </c>
      <c r="E24" s="92" t="s">
        <v>715</v>
      </c>
      <c r="F24" s="92">
        <v>4</v>
      </c>
      <c r="G24" s="92" t="s">
        <v>723</v>
      </c>
      <c r="H24" s="92">
        <v>3</v>
      </c>
      <c r="I24" s="92" t="s">
        <v>709</v>
      </c>
      <c r="J24" s="92">
        <v>2</v>
      </c>
      <c r="K24" s="92"/>
      <c r="L24" s="92"/>
    </row>
    <row r="25" spans="1:12" ht="15">
      <c r="A25" s="93" t="s">
        <v>705</v>
      </c>
      <c r="B25" s="92">
        <v>13</v>
      </c>
      <c r="C25" s="92" t="s">
        <v>705</v>
      </c>
      <c r="D25" s="92">
        <v>10</v>
      </c>
      <c r="E25" s="92" t="s">
        <v>716</v>
      </c>
      <c r="F25" s="92">
        <v>3</v>
      </c>
      <c r="G25" s="92" t="s">
        <v>705</v>
      </c>
      <c r="H25" s="92">
        <v>3</v>
      </c>
      <c r="I25" s="92" t="s">
        <v>730</v>
      </c>
      <c r="J25" s="92">
        <v>2</v>
      </c>
      <c r="K25" s="92"/>
      <c r="L25" s="92"/>
    </row>
    <row r="26" spans="1:12" ht="15">
      <c r="A26" s="93" t="s">
        <v>706</v>
      </c>
      <c r="B26" s="92">
        <v>13</v>
      </c>
      <c r="C26" s="92" t="s">
        <v>704</v>
      </c>
      <c r="D26" s="92">
        <v>9</v>
      </c>
      <c r="E26" s="92" t="s">
        <v>717</v>
      </c>
      <c r="F26" s="92">
        <v>3</v>
      </c>
      <c r="G26" s="92" t="s">
        <v>724</v>
      </c>
      <c r="H26" s="92">
        <v>2</v>
      </c>
      <c r="I26" s="92" t="s">
        <v>731</v>
      </c>
      <c r="J26" s="92">
        <v>2</v>
      </c>
      <c r="K26" s="92"/>
      <c r="L26" s="92"/>
    </row>
    <row r="27" spans="1:12" ht="15">
      <c r="A27" s="93" t="s">
        <v>707</v>
      </c>
      <c r="B27" s="92">
        <v>12</v>
      </c>
      <c r="C27" s="92" t="s">
        <v>707</v>
      </c>
      <c r="D27" s="92">
        <v>8</v>
      </c>
      <c r="E27" s="92" t="s">
        <v>709</v>
      </c>
      <c r="F27" s="92">
        <v>3</v>
      </c>
      <c r="G27" s="92" t="s">
        <v>281</v>
      </c>
      <c r="H27" s="92">
        <v>2</v>
      </c>
      <c r="I27" s="92" t="s">
        <v>732</v>
      </c>
      <c r="J27" s="92">
        <v>2</v>
      </c>
      <c r="K27" s="92"/>
      <c r="L27" s="92"/>
    </row>
    <row r="28" spans="1:12" ht="15">
      <c r="A28" s="93" t="s">
        <v>708</v>
      </c>
      <c r="B28" s="92">
        <v>11</v>
      </c>
      <c r="C28" s="92" t="s">
        <v>712</v>
      </c>
      <c r="D28" s="92">
        <v>8</v>
      </c>
      <c r="E28" s="92" t="s">
        <v>718</v>
      </c>
      <c r="F28" s="92">
        <v>2</v>
      </c>
      <c r="G28" s="92" t="s">
        <v>725</v>
      </c>
      <c r="H28" s="92">
        <v>2</v>
      </c>
      <c r="I28" s="92" t="s">
        <v>733</v>
      </c>
      <c r="J28" s="92">
        <v>2</v>
      </c>
      <c r="K28" s="92"/>
      <c r="L28" s="92"/>
    </row>
    <row r="29" spans="1:12" ht="15">
      <c r="A29" s="93" t="s">
        <v>709</v>
      </c>
      <c r="B29" s="92">
        <v>11</v>
      </c>
      <c r="C29" s="92" t="s">
        <v>713</v>
      </c>
      <c r="D29" s="92">
        <v>8</v>
      </c>
      <c r="E29" s="92" t="s">
        <v>719</v>
      </c>
      <c r="F29" s="92">
        <v>2</v>
      </c>
      <c r="G29" s="92" t="s">
        <v>726</v>
      </c>
      <c r="H29" s="92">
        <v>2</v>
      </c>
      <c r="I29" s="92" t="s">
        <v>734</v>
      </c>
      <c r="J29" s="92">
        <v>2</v>
      </c>
      <c r="K29" s="92"/>
      <c r="L29" s="92"/>
    </row>
    <row r="30" spans="1:12" ht="15">
      <c r="A30" s="93" t="s">
        <v>710</v>
      </c>
      <c r="B30" s="92">
        <v>10</v>
      </c>
      <c r="C30" s="92" t="s">
        <v>710</v>
      </c>
      <c r="D30" s="92">
        <v>8</v>
      </c>
      <c r="E30" s="92" t="s">
        <v>720</v>
      </c>
      <c r="F30" s="92">
        <v>2</v>
      </c>
      <c r="G30" s="92"/>
      <c r="H30" s="92"/>
      <c r="I30" s="92" t="s">
        <v>704</v>
      </c>
      <c r="J30" s="92">
        <v>2</v>
      </c>
      <c r="K30" s="92"/>
      <c r="L30" s="92"/>
    </row>
    <row r="33" spans="1:12" ht="15" customHeight="1">
      <c r="A33" s="13" t="s">
        <v>742</v>
      </c>
      <c r="B33" s="13" t="s">
        <v>667</v>
      </c>
      <c r="C33" s="13" t="s">
        <v>753</v>
      </c>
      <c r="D33" s="13" t="s">
        <v>670</v>
      </c>
      <c r="E33" s="13" t="s">
        <v>762</v>
      </c>
      <c r="F33" s="13" t="s">
        <v>672</v>
      </c>
      <c r="G33" s="13" t="s">
        <v>771</v>
      </c>
      <c r="H33" s="13" t="s">
        <v>674</v>
      </c>
      <c r="I33" s="13" t="s">
        <v>772</v>
      </c>
      <c r="J33" s="13" t="s">
        <v>676</v>
      </c>
      <c r="K33" s="84" t="s">
        <v>783</v>
      </c>
      <c r="L33" s="84" t="s">
        <v>677</v>
      </c>
    </row>
    <row r="34" spans="1:12" ht="15">
      <c r="A34" s="92" t="s">
        <v>743</v>
      </c>
      <c r="B34" s="92">
        <v>13</v>
      </c>
      <c r="C34" s="92" t="s">
        <v>743</v>
      </c>
      <c r="D34" s="92">
        <v>9</v>
      </c>
      <c r="E34" s="92" t="s">
        <v>743</v>
      </c>
      <c r="F34" s="92">
        <v>4</v>
      </c>
      <c r="G34" s="92" t="s">
        <v>745</v>
      </c>
      <c r="H34" s="92">
        <v>3</v>
      </c>
      <c r="I34" s="92" t="s">
        <v>773</v>
      </c>
      <c r="J34" s="92">
        <v>3</v>
      </c>
      <c r="K34" s="92"/>
      <c r="L34" s="92"/>
    </row>
    <row r="35" spans="1:12" ht="15">
      <c r="A35" s="93" t="s">
        <v>744</v>
      </c>
      <c r="B35" s="92">
        <v>8</v>
      </c>
      <c r="C35" s="92" t="s">
        <v>744</v>
      </c>
      <c r="D35" s="92">
        <v>8</v>
      </c>
      <c r="E35" s="92" t="s">
        <v>763</v>
      </c>
      <c r="F35" s="92">
        <v>2</v>
      </c>
      <c r="G35" s="92"/>
      <c r="H35" s="92"/>
      <c r="I35" s="92" t="s">
        <v>774</v>
      </c>
      <c r="J35" s="92">
        <v>2</v>
      </c>
      <c r="K35" s="92"/>
      <c r="L35" s="92"/>
    </row>
    <row r="36" spans="1:12" ht="15">
      <c r="A36" s="93" t="s">
        <v>745</v>
      </c>
      <c r="B36" s="92">
        <v>6</v>
      </c>
      <c r="C36" s="92" t="s">
        <v>754</v>
      </c>
      <c r="D36" s="92">
        <v>4</v>
      </c>
      <c r="E36" s="92" t="s">
        <v>764</v>
      </c>
      <c r="F36" s="92">
        <v>2</v>
      </c>
      <c r="G36" s="92"/>
      <c r="H36" s="92"/>
      <c r="I36" s="92" t="s">
        <v>775</v>
      </c>
      <c r="J36" s="92">
        <v>2</v>
      </c>
      <c r="K36" s="92"/>
      <c r="L36" s="92"/>
    </row>
    <row r="37" spans="1:12" ht="15">
      <c r="A37" s="93" t="s">
        <v>746</v>
      </c>
      <c r="B37" s="92">
        <v>6</v>
      </c>
      <c r="C37" s="92" t="s">
        <v>755</v>
      </c>
      <c r="D37" s="92">
        <v>4</v>
      </c>
      <c r="E37" s="92" t="s">
        <v>765</v>
      </c>
      <c r="F37" s="92">
        <v>2</v>
      </c>
      <c r="G37" s="92"/>
      <c r="H37" s="92"/>
      <c r="I37" s="92" t="s">
        <v>776</v>
      </c>
      <c r="J37" s="92">
        <v>2</v>
      </c>
      <c r="K37" s="92"/>
      <c r="L37" s="92"/>
    </row>
    <row r="38" spans="1:12" ht="15">
      <c r="A38" s="93" t="s">
        <v>747</v>
      </c>
      <c r="B38" s="92">
        <v>6</v>
      </c>
      <c r="C38" s="92" t="s">
        <v>756</v>
      </c>
      <c r="D38" s="92">
        <v>4</v>
      </c>
      <c r="E38" s="92" t="s">
        <v>766</v>
      </c>
      <c r="F38" s="92">
        <v>2</v>
      </c>
      <c r="G38" s="92"/>
      <c r="H38" s="92"/>
      <c r="I38" s="92" t="s">
        <v>777</v>
      </c>
      <c r="J38" s="92">
        <v>2</v>
      </c>
      <c r="K38" s="92"/>
      <c r="L38" s="92"/>
    </row>
    <row r="39" spans="1:12" ht="15">
      <c r="A39" s="93" t="s">
        <v>748</v>
      </c>
      <c r="B39" s="92">
        <v>6</v>
      </c>
      <c r="C39" s="92" t="s">
        <v>757</v>
      </c>
      <c r="D39" s="92">
        <v>4</v>
      </c>
      <c r="E39" s="92" t="s">
        <v>767</v>
      </c>
      <c r="F39" s="92">
        <v>2</v>
      </c>
      <c r="G39" s="92"/>
      <c r="H39" s="92"/>
      <c r="I39" s="92" t="s">
        <v>778</v>
      </c>
      <c r="J39" s="92">
        <v>2</v>
      </c>
      <c r="K39" s="92"/>
      <c r="L39" s="92"/>
    </row>
    <row r="40" spans="1:12" ht="15">
      <c r="A40" s="93" t="s">
        <v>749</v>
      </c>
      <c r="B40" s="92">
        <v>6</v>
      </c>
      <c r="C40" s="92" t="s">
        <v>758</v>
      </c>
      <c r="D40" s="92">
        <v>4</v>
      </c>
      <c r="E40" s="92" t="s">
        <v>768</v>
      </c>
      <c r="F40" s="92">
        <v>2</v>
      </c>
      <c r="G40" s="92"/>
      <c r="H40" s="92"/>
      <c r="I40" s="92" t="s">
        <v>779</v>
      </c>
      <c r="J40" s="92">
        <v>2</v>
      </c>
      <c r="K40" s="92"/>
      <c r="L40" s="92"/>
    </row>
    <row r="41" spans="1:12" ht="15">
      <c r="A41" s="93" t="s">
        <v>750</v>
      </c>
      <c r="B41" s="92">
        <v>6</v>
      </c>
      <c r="C41" s="92" t="s">
        <v>759</v>
      </c>
      <c r="D41" s="92">
        <v>4</v>
      </c>
      <c r="E41" s="92" t="s">
        <v>749</v>
      </c>
      <c r="F41" s="92">
        <v>2</v>
      </c>
      <c r="G41" s="92"/>
      <c r="H41" s="92"/>
      <c r="I41" s="92" t="s">
        <v>780</v>
      </c>
      <c r="J41" s="92">
        <v>2</v>
      </c>
      <c r="K41" s="92"/>
      <c r="L41" s="92"/>
    </row>
    <row r="42" spans="1:12" ht="15">
      <c r="A42" s="93" t="s">
        <v>751</v>
      </c>
      <c r="B42" s="92">
        <v>6</v>
      </c>
      <c r="C42" s="92" t="s">
        <v>760</v>
      </c>
      <c r="D42" s="92">
        <v>4</v>
      </c>
      <c r="E42" s="92" t="s">
        <v>769</v>
      </c>
      <c r="F42" s="92">
        <v>2</v>
      </c>
      <c r="G42" s="92"/>
      <c r="H42" s="92"/>
      <c r="I42" s="92" t="s">
        <v>781</v>
      </c>
      <c r="J42" s="92">
        <v>2</v>
      </c>
      <c r="K42" s="92"/>
      <c r="L42" s="92"/>
    </row>
    <row r="43" spans="1:12" ht="15">
      <c r="A43" s="93" t="s">
        <v>752</v>
      </c>
      <c r="B43" s="92">
        <v>5</v>
      </c>
      <c r="C43" s="92" t="s">
        <v>761</v>
      </c>
      <c r="D43" s="92">
        <v>4</v>
      </c>
      <c r="E43" s="92" t="s">
        <v>770</v>
      </c>
      <c r="F43" s="92">
        <v>2</v>
      </c>
      <c r="G43" s="92"/>
      <c r="H43" s="92"/>
      <c r="I43" s="92" t="s">
        <v>782</v>
      </c>
      <c r="J43" s="92">
        <v>2</v>
      </c>
      <c r="K43" s="92"/>
      <c r="L43" s="92"/>
    </row>
    <row r="46" spans="1:12" ht="15" customHeight="1">
      <c r="A46" s="13" t="s">
        <v>788</v>
      </c>
      <c r="B46" s="13" t="s">
        <v>667</v>
      </c>
      <c r="C46" s="84" t="s">
        <v>791</v>
      </c>
      <c r="D46" s="84" t="s">
        <v>670</v>
      </c>
      <c r="E46" s="13" t="s">
        <v>792</v>
      </c>
      <c r="F46" s="13" t="s">
        <v>672</v>
      </c>
      <c r="G46" s="84" t="s">
        <v>795</v>
      </c>
      <c r="H46" s="84" t="s">
        <v>674</v>
      </c>
      <c r="I46" s="84" t="s">
        <v>797</v>
      </c>
      <c r="J46" s="84" t="s">
        <v>676</v>
      </c>
      <c r="K46" s="84" t="s">
        <v>799</v>
      </c>
      <c r="L46" s="84" t="s">
        <v>677</v>
      </c>
    </row>
    <row r="47" spans="1:12" ht="15">
      <c r="A47" s="84" t="s">
        <v>266</v>
      </c>
      <c r="B47" s="84">
        <v>1</v>
      </c>
      <c r="C47" s="84"/>
      <c r="D47" s="84"/>
      <c r="E47" s="84" t="s">
        <v>266</v>
      </c>
      <c r="F47" s="84">
        <v>1</v>
      </c>
      <c r="G47" s="84"/>
      <c r="H47" s="84"/>
      <c r="I47" s="84"/>
      <c r="J47" s="84"/>
      <c r="K47" s="84"/>
      <c r="L47" s="84"/>
    </row>
    <row r="48" spans="1:12" ht="15">
      <c r="A48" s="85" t="s">
        <v>280</v>
      </c>
      <c r="B48" s="84">
        <v>1</v>
      </c>
      <c r="C48" s="84"/>
      <c r="D48" s="84"/>
      <c r="E48" s="84" t="s">
        <v>280</v>
      </c>
      <c r="F48" s="84">
        <v>1</v>
      </c>
      <c r="G48" s="84"/>
      <c r="H48" s="84"/>
      <c r="I48" s="84"/>
      <c r="J48" s="84"/>
      <c r="K48" s="84"/>
      <c r="L48" s="84"/>
    </row>
    <row r="51" spans="1:12" ht="15" customHeight="1">
      <c r="A51" s="13" t="s">
        <v>789</v>
      </c>
      <c r="B51" s="13" t="s">
        <v>667</v>
      </c>
      <c r="C51" s="13" t="s">
        <v>793</v>
      </c>
      <c r="D51" s="13" t="s">
        <v>670</v>
      </c>
      <c r="E51" s="13" t="s">
        <v>794</v>
      </c>
      <c r="F51" s="13" t="s">
        <v>672</v>
      </c>
      <c r="G51" s="13" t="s">
        <v>796</v>
      </c>
      <c r="H51" s="13" t="s">
        <v>674</v>
      </c>
      <c r="I51" s="13" t="s">
        <v>798</v>
      </c>
      <c r="J51" s="13" t="s">
        <v>676</v>
      </c>
      <c r="K51" s="84" t="s">
        <v>800</v>
      </c>
      <c r="L51" s="84" t="s">
        <v>677</v>
      </c>
    </row>
    <row r="52" spans="1:12" ht="15">
      <c r="A52" s="84" t="s">
        <v>275</v>
      </c>
      <c r="B52" s="84">
        <v>5</v>
      </c>
      <c r="C52" s="84" t="s">
        <v>275</v>
      </c>
      <c r="D52" s="84">
        <v>4</v>
      </c>
      <c r="E52" s="84" t="s">
        <v>280</v>
      </c>
      <c r="F52" s="84">
        <v>1</v>
      </c>
      <c r="G52" s="84" t="s">
        <v>281</v>
      </c>
      <c r="H52" s="84">
        <v>2</v>
      </c>
      <c r="I52" s="84" t="s">
        <v>790</v>
      </c>
      <c r="J52" s="84">
        <v>1</v>
      </c>
      <c r="K52" s="84"/>
      <c r="L52" s="84"/>
    </row>
    <row r="53" spans="1:12" ht="15">
      <c r="A53" s="85" t="s">
        <v>281</v>
      </c>
      <c r="B53" s="84">
        <v>4</v>
      </c>
      <c r="C53" s="84" t="s">
        <v>281</v>
      </c>
      <c r="D53" s="84">
        <v>2</v>
      </c>
      <c r="E53" s="84" t="s">
        <v>277</v>
      </c>
      <c r="F53" s="84">
        <v>1</v>
      </c>
      <c r="G53" s="84" t="s">
        <v>282</v>
      </c>
      <c r="H53" s="84">
        <v>1</v>
      </c>
      <c r="I53" s="84"/>
      <c r="J53" s="84"/>
      <c r="K53" s="84"/>
      <c r="L53" s="84"/>
    </row>
    <row r="54" spans="1:12" ht="15">
      <c r="A54" s="85" t="s">
        <v>282</v>
      </c>
      <c r="B54" s="84">
        <v>2</v>
      </c>
      <c r="C54" s="84" t="s">
        <v>282</v>
      </c>
      <c r="D54" s="84">
        <v>1</v>
      </c>
      <c r="E54" s="84" t="s">
        <v>276</v>
      </c>
      <c r="F54" s="84">
        <v>1</v>
      </c>
      <c r="G54" s="84" t="s">
        <v>275</v>
      </c>
      <c r="H54" s="84">
        <v>1</v>
      </c>
      <c r="I54" s="84"/>
      <c r="J54" s="84"/>
      <c r="K54" s="84"/>
      <c r="L54" s="84"/>
    </row>
    <row r="55" spans="1:12" ht="15">
      <c r="A55" s="85" t="s">
        <v>280</v>
      </c>
      <c r="B55" s="84">
        <v>1</v>
      </c>
      <c r="C55" s="84"/>
      <c r="D55" s="84"/>
      <c r="E55" s="84" t="s">
        <v>279</v>
      </c>
      <c r="F55" s="84">
        <v>1</v>
      </c>
      <c r="G55" s="84"/>
      <c r="H55" s="84"/>
      <c r="I55" s="84"/>
      <c r="J55" s="84"/>
      <c r="K55" s="84"/>
      <c r="L55" s="84"/>
    </row>
    <row r="56" spans="1:12" ht="15">
      <c r="A56" s="85" t="s">
        <v>279</v>
      </c>
      <c r="B56" s="84">
        <v>1</v>
      </c>
      <c r="C56" s="84"/>
      <c r="D56" s="84"/>
      <c r="E56" s="84" t="s">
        <v>278</v>
      </c>
      <c r="F56" s="84">
        <v>1</v>
      </c>
      <c r="G56" s="84"/>
      <c r="H56" s="84"/>
      <c r="I56" s="84"/>
      <c r="J56" s="84"/>
      <c r="K56" s="84"/>
      <c r="L56" s="84"/>
    </row>
    <row r="57" spans="1:12" ht="15">
      <c r="A57" s="85" t="s">
        <v>278</v>
      </c>
      <c r="B57" s="84">
        <v>1</v>
      </c>
      <c r="C57" s="84"/>
      <c r="D57" s="84"/>
      <c r="E57" s="84"/>
      <c r="F57" s="84"/>
      <c r="G57" s="84"/>
      <c r="H57" s="84"/>
      <c r="I57" s="84"/>
      <c r="J57" s="84"/>
      <c r="K57" s="84"/>
      <c r="L57" s="84"/>
    </row>
    <row r="58" spans="1:12" ht="15">
      <c r="A58" s="85" t="s">
        <v>277</v>
      </c>
      <c r="B58" s="84">
        <v>1</v>
      </c>
      <c r="C58" s="84"/>
      <c r="D58" s="84"/>
      <c r="E58" s="84"/>
      <c r="F58" s="84"/>
      <c r="G58" s="84"/>
      <c r="H58" s="84"/>
      <c r="I58" s="84"/>
      <c r="J58" s="84"/>
      <c r="K58" s="84"/>
      <c r="L58" s="84"/>
    </row>
    <row r="59" spans="1:12" ht="15">
      <c r="A59" s="85" t="s">
        <v>276</v>
      </c>
      <c r="B59" s="84">
        <v>1</v>
      </c>
      <c r="C59" s="84"/>
      <c r="D59" s="84"/>
      <c r="E59" s="84"/>
      <c r="F59" s="84"/>
      <c r="G59" s="84"/>
      <c r="H59" s="84"/>
      <c r="I59" s="84"/>
      <c r="J59" s="84"/>
      <c r="K59" s="84"/>
      <c r="L59" s="84"/>
    </row>
    <row r="60" spans="1:12" ht="15">
      <c r="A60" s="85" t="s">
        <v>790</v>
      </c>
      <c r="B60" s="84">
        <v>1</v>
      </c>
      <c r="C60" s="84"/>
      <c r="D60" s="84"/>
      <c r="E60" s="84"/>
      <c r="F60" s="84"/>
      <c r="G60" s="84"/>
      <c r="H60" s="84"/>
      <c r="I60" s="84"/>
      <c r="J60" s="84"/>
      <c r="K60" s="84"/>
      <c r="L60" s="84"/>
    </row>
    <row r="63" spans="1:12" ht="15" customHeight="1">
      <c r="A63" s="13" t="s">
        <v>807</v>
      </c>
      <c r="B63" s="13" t="s">
        <v>667</v>
      </c>
      <c r="C63" s="13" t="s">
        <v>808</v>
      </c>
      <c r="D63" s="13" t="s">
        <v>670</v>
      </c>
      <c r="E63" s="13" t="s">
        <v>809</v>
      </c>
      <c r="F63" s="13" t="s">
        <v>672</v>
      </c>
      <c r="G63" s="13" t="s">
        <v>810</v>
      </c>
      <c r="H63" s="13" t="s">
        <v>674</v>
      </c>
      <c r="I63" s="13" t="s">
        <v>811</v>
      </c>
      <c r="J63" s="13" t="s">
        <v>676</v>
      </c>
      <c r="K63" s="13" t="s">
        <v>812</v>
      </c>
      <c r="L63" s="13" t="s">
        <v>677</v>
      </c>
    </row>
    <row r="64" spans="1:12" ht="15">
      <c r="A64" s="117" t="s">
        <v>267</v>
      </c>
      <c r="B64" s="84">
        <v>73458</v>
      </c>
      <c r="C64" s="117" t="s">
        <v>263</v>
      </c>
      <c r="D64" s="84">
        <v>24057</v>
      </c>
      <c r="E64" s="117" t="s">
        <v>267</v>
      </c>
      <c r="F64" s="84">
        <v>73458</v>
      </c>
      <c r="G64" s="117" t="s">
        <v>282</v>
      </c>
      <c r="H64" s="84">
        <v>25328</v>
      </c>
      <c r="I64" s="117" t="s">
        <v>255</v>
      </c>
      <c r="J64" s="84">
        <v>24951</v>
      </c>
      <c r="K64" s="117" t="s">
        <v>262</v>
      </c>
      <c r="L64" s="84">
        <v>709</v>
      </c>
    </row>
    <row r="65" spans="1:12" ht="15">
      <c r="A65" s="121" t="s">
        <v>276</v>
      </c>
      <c r="B65" s="84">
        <v>53893</v>
      </c>
      <c r="C65" s="117" t="s">
        <v>265</v>
      </c>
      <c r="D65" s="84">
        <v>19029</v>
      </c>
      <c r="E65" s="117" t="s">
        <v>276</v>
      </c>
      <c r="F65" s="84">
        <v>53893</v>
      </c>
      <c r="G65" s="117" t="s">
        <v>281</v>
      </c>
      <c r="H65" s="84">
        <v>7037</v>
      </c>
      <c r="I65" s="117" t="s">
        <v>256</v>
      </c>
      <c r="J65" s="84">
        <v>1836</v>
      </c>
      <c r="K65" s="117"/>
      <c r="L65" s="84"/>
    </row>
    <row r="66" spans="1:12" ht="15">
      <c r="A66" s="121" t="s">
        <v>282</v>
      </c>
      <c r="B66" s="84">
        <v>25328</v>
      </c>
      <c r="C66" s="117" t="s">
        <v>258</v>
      </c>
      <c r="D66" s="84">
        <v>11867</v>
      </c>
      <c r="E66" s="117" t="s">
        <v>266</v>
      </c>
      <c r="F66" s="84">
        <v>13602</v>
      </c>
      <c r="G66" s="117" t="s">
        <v>273</v>
      </c>
      <c r="H66" s="84">
        <v>4188</v>
      </c>
      <c r="I66" s="117"/>
      <c r="J66" s="84"/>
      <c r="K66" s="117"/>
      <c r="L66" s="84"/>
    </row>
    <row r="67" spans="1:12" ht="15">
      <c r="A67" s="121" t="s">
        <v>255</v>
      </c>
      <c r="B67" s="84">
        <v>24951</v>
      </c>
      <c r="C67" s="117" t="s">
        <v>252</v>
      </c>
      <c r="D67" s="84">
        <v>7102</v>
      </c>
      <c r="E67" s="117" t="s">
        <v>278</v>
      </c>
      <c r="F67" s="84">
        <v>5456</v>
      </c>
      <c r="G67" s="117" t="s">
        <v>268</v>
      </c>
      <c r="H67" s="84">
        <v>377</v>
      </c>
      <c r="I67" s="117"/>
      <c r="J67" s="84"/>
      <c r="K67" s="117"/>
      <c r="L67" s="84"/>
    </row>
    <row r="68" spans="1:12" ht="15">
      <c r="A68" s="121" t="s">
        <v>263</v>
      </c>
      <c r="B68" s="84">
        <v>24057</v>
      </c>
      <c r="C68" s="117" t="s">
        <v>254</v>
      </c>
      <c r="D68" s="84">
        <v>3811</v>
      </c>
      <c r="E68" s="117" t="s">
        <v>259</v>
      </c>
      <c r="F68" s="84">
        <v>1387</v>
      </c>
      <c r="G68" s="117"/>
      <c r="H68" s="84"/>
      <c r="I68" s="117"/>
      <c r="J68" s="84"/>
      <c r="K68" s="117"/>
      <c r="L68" s="84"/>
    </row>
    <row r="69" spans="1:12" ht="15">
      <c r="A69" s="121" t="s">
        <v>265</v>
      </c>
      <c r="B69" s="84">
        <v>19029</v>
      </c>
      <c r="C69" s="117" t="s">
        <v>275</v>
      </c>
      <c r="D69" s="84">
        <v>3635</v>
      </c>
      <c r="E69" s="117" t="s">
        <v>277</v>
      </c>
      <c r="F69" s="84">
        <v>191</v>
      </c>
      <c r="G69" s="117"/>
      <c r="H69" s="84"/>
      <c r="I69" s="117"/>
      <c r="J69" s="84"/>
      <c r="K69" s="117"/>
      <c r="L69" s="84"/>
    </row>
    <row r="70" spans="1:12" ht="15">
      <c r="A70" s="121" t="s">
        <v>266</v>
      </c>
      <c r="B70" s="84">
        <v>13602</v>
      </c>
      <c r="C70" s="117" t="s">
        <v>269</v>
      </c>
      <c r="D70" s="84">
        <v>2168</v>
      </c>
      <c r="E70" s="117" t="s">
        <v>261</v>
      </c>
      <c r="F70" s="84">
        <v>149</v>
      </c>
      <c r="G70" s="117"/>
      <c r="H70" s="84"/>
      <c r="I70" s="117"/>
      <c r="J70" s="84"/>
      <c r="K70" s="117"/>
      <c r="L70" s="84"/>
    </row>
    <row r="71" spans="1:12" ht="15">
      <c r="A71" s="121" t="s">
        <v>258</v>
      </c>
      <c r="B71" s="84">
        <v>11867</v>
      </c>
      <c r="C71" s="117" t="s">
        <v>264</v>
      </c>
      <c r="D71" s="84">
        <v>1966</v>
      </c>
      <c r="E71" s="117" t="s">
        <v>280</v>
      </c>
      <c r="F71" s="84">
        <v>23</v>
      </c>
      <c r="G71" s="117"/>
      <c r="H71" s="84"/>
      <c r="I71" s="117"/>
      <c r="J71" s="84"/>
      <c r="K71" s="117"/>
      <c r="L71" s="84"/>
    </row>
    <row r="72" spans="1:12" ht="15">
      <c r="A72" s="121" t="s">
        <v>252</v>
      </c>
      <c r="B72" s="84">
        <v>7102</v>
      </c>
      <c r="C72" s="117" t="s">
        <v>253</v>
      </c>
      <c r="D72" s="84">
        <v>1324</v>
      </c>
      <c r="E72" s="117" t="s">
        <v>279</v>
      </c>
      <c r="F72" s="84">
        <v>0</v>
      </c>
      <c r="G72" s="117"/>
      <c r="H72" s="84"/>
      <c r="I72" s="117"/>
      <c r="J72" s="84"/>
      <c r="K72" s="117"/>
      <c r="L72" s="84"/>
    </row>
    <row r="73" spans="1:12" ht="15">
      <c r="A73" s="121" t="s">
        <v>281</v>
      </c>
      <c r="B73" s="84">
        <v>7037</v>
      </c>
      <c r="C73" s="117" t="s">
        <v>272</v>
      </c>
      <c r="D73" s="84">
        <v>1202</v>
      </c>
      <c r="E73" s="117"/>
      <c r="F73" s="84"/>
      <c r="G73" s="117"/>
      <c r="H73" s="84"/>
      <c r="I73" s="117"/>
      <c r="J73" s="84"/>
      <c r="K73" s="117"/>
      <c r="L73" s="84"/>
    </row>
  </sheetData>
  <hyperlinks>
    <hyperlink ref="A2" r:id="rId1" display="https://events.rcpe.ac.uk/medical-trainees-online-symposium-day-life-medical-trainee"/>
    <hyperlink ref="A3" r:id="rId2" display="https://twitter.com/rcpedintrainees/status/1352584475805442048"/>
    <hyperlink ref="A4" r:id="rId3" display="https://www.nice.org.uk/guidance/ng159/resources/clinical-frailty-scale-pdf-8712262765"/>
    <hyperlink ref="C2" r:id="rId4" display="https://events.rcpe.ac.uk/medical-trainees-online-symposium-day-life-medical-trainee"/>
    <hyperlink ref="C3" r:id="rId5" display="https://www.nice.org.uk/guidance/ng159/resources/clinical-frailty-scale-pdf-8712262765"/>
    <hyperlink ref="C4" r:id="rId6" display="https://twitter.com/rcpedintrainees/status/1352584475805442048"/>
  </hyperlinks>
  <printOptions/>
  <pageMargins left="0.7" right="0.7" top="0.75" bottom="0.75" header="0.3" footer="0.3"/>
  <pageSetup orientation="portrait" paperSize="9"/>
  <tableParts>
    <tablePart r:id="rId7"/>
    <tablePart r:id="rId11"/>
    <tablePart r:id="rId9"/>
    <tablePart r:id="rId14"/>
    <tablePart r:id="rId8"/>
    <tablePart r:id="rId12"/>
    <tablePart r:id="rId10"/>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F607A-157C-4176-8DEA-D3BAEAB11D4F}">
  <dimension ref="A1:G542"/>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7" width="27.57421875" style="0" bestFit="1" customWidth="1"/>
  </cols>
  <sheetData>
    <row r="1" spans="1:7" ht="15" customHeight="1">
      <c r="A1" s="13" t="s">
        <v>877</v>
      </c>
      <c r="B1" s="13" t="s">
        <v>1132</v>
      </c>
      <c r="C1" s="13" t="s">
        <v>1136</v>
      </c>
      <c r="D1" s="13" t="s">
        <v>144</v>
      </c>
      <c r="E1" s="13" t="s">
        <v>1138</v>
      </c>
      <c r="F1" s="13" t="s">
        <v>1139</v>
      </c>
      <c r="G1" s="13" t="s">
        <v>1140</v>
      </c>
    </row>
    <row r="2" spans="1:7" ht="15">
      <c r="A2" s="84" t="s">
        <v>878</v>
      </c>
      <c r="B2" s="84" t="s">
        <v>1133</v>
      </c>
      <c r="C2" s="124"/>
      <c r="D2" s="84"/>
      <c r="E2" s="84"/>
      <c r="F2" s="84"/>
      <c r="G2" s="84"/>
    </row>
    <row r="3" spans="1:7" ht="15">
      <c r="A3" s="85" t="s">
        <v>879</v>
      </c>
      <c r="B3" s="84" t="s">
        <v>1134</v>
      </c>
      <c r="C3" s="124"/>
      <c r="D3" s="84"/>
      <c r="E3" s="84"/>
      <c r="F3" s="84"/>
      <c r="G3" s="84"/>
    </row>
    <row r="4" spans="1:7" ht="15">
      <c r="A4" s="85" t="s">
        <v>880</v>
      </c>
      <c r="B4" s="84" t="s">
        <v>1135</v>
      </c>
      <c r="C4" s="124"/>
      <c r="D4" s="84"/>
      <c r="E4" s="84"/>
      <c r="F4" s="84"/>
      <c r="G4" s="84"/>
    </row>
    <row r="5" spans="1:7" ht="15">
      <c r="A5" s="85" t="s">
        <v>881</v>
      </c>
      <c r="B5" s="84">
        <v>111</v>
      </c>
      <c r="C5" s="124">
        <v>0.055032226078334155</v>
      </c>
      <c r="D5" s="84"/>
      <c r="E5" s="84"/>
      <c r="F5" s="84"/>
      <c r="G5" s="84"/>
    </row>
    <row r="6" spans="1:7" ht="15">
      <c r="A6" s="85" t="s">
        <v>882</v>
      </c>
      <c r="B6" s="84">
        <v>51</v>
      </c>
      <c r="C6" s="124">
        <v>0.02528507684680218</v>
      </c>
      <c r="D6" s="84"/>
      <c r="E6" s="84"/>
      <c r="F6" s="84"/>
      <c r="G6" s="84"/>
    </row>
    <row r="7" spans="1:7" ht="15">
      <c r="A7" s="85" t="s">
        <v>883</v>
      </c>
      <c r="B7" s="84">
        <v>0</v>
      </c>
      <c r="C7" s="124">
        <v>0</v>
      </c>
      <c r="D7" s="84"/>
      <c r="E7" s="84"/>
      <c r="F7" s="84"/>
      <c r="G7" s="84"/>
    </row>
    <row r="8" spans="1:7" ht="15">
      <c r="A8" s="85" t="s">
        <v>884</v>
      </c>
      <c r="B8" s="84">
        <v>1855</v>
      </c>
      <c r="C8" s="124">
        <v>0.9196826970748637</v>
      </c>
      <c r="D8" s="84"/>
      <c r="E8" s="84"/>
      <c r="F8" s="84"/>
      <c r="G8" s="84"/>
    </row>
    <row r="9" spans="1:7" ht="15">
      <c r="A9" s="85" t="s">
        <v>885</v>
      </c>
      <c r="B9" s="84">
        <v>2017</v>
      </c>
      <c r="C9" s="124">
        <v>1</v>
      </c>
      <c r="D9" s="84"/>
      <c r="E9" s="84"/>
      <c r="F9" s="84"/>
      <c r="G9" s="84"/>
    </row>
    <row r="10" spans="1:7" ht="15">
      <c r="A10" s="93" t="s">
        <v>701</v>
      </c>
      <c r="B10" s="92">
        <v>69</v>
      </c>
      <c r="C10" s="125">
        <v>0</v>
      </c>
      <c r="D10" s="92" t="s">
        <v>1137</v>
      </c>
      <c r="E10" s="92" t="b">
        <v>0</v>
      </c>
      <c r="F10" s="92" t="b">
        <v>0</v>
      </c>
      <c r="G10" s="92" t="b">
        <v>0</v>
      </c>
    </row>
    <row r="11" spans="1:7" ht="15">
      <c r="A11" s="93" t="s">
        <v>702</v>
      </c>
      <c r="B11" s="92">
        <v>21</v>
      </c>
      <c r="C11" s="125">
        <v>0.009086453698551137</v>
      </c>
      <c r="D11" s="92" t="s">
        <v>1137</v>
      </c>
      <c r="E11" s="92" t="b">
        <v>0</v>
      </c>
      <c r="F11" s="92" t="b">
        <v>0</v>
      </c>
      <c r="G11" s="92" t="b">
        <v>0</v>
      </c>
    </row>
    <row r="12" spans="1:7" ht="15">
      <c r="A12" s="93" t="s">
        <v>703</v>
      </c>
      <c r="B12" s="92">
        <v>19</v>
      </c>
      <c r="C12" s="125">
        <v>0.010546397656574462</v>
      </c>
      <c r="D12" s="92" t="s">
        <v>1137</v>
      </c>
      <c r="E12" s="92" t="b">
        <v>0</v>
      </c>
      <c r="F12" s="92" t="b">
        <v>0</v>
      </c>
      <c r="G12" s="92" t="b">
        <v>0</v>
      </c>
    </row>
    <row r="13" spans="1:7" ht="15">
      <c r="A13" s="93" t="s">
        <v>704</v>
      </c>
      <c r="B13" s="92">
        <v>15</v>
      </c>
      <c r="C13" s="125">
        <v>0.008326103413085102</v>
      </c>
      <c r="D13" s="92" t="s">
        <v>1137</v>
      </c>
      <c r="E13" s="92" t="b">
        <v>0</v>
      </c>
      <c r="F13" s="92" t="b">
        <v>0</v>
      </c>
      <c r="G13" s="92" t="b">
        <v>0</v>
      </c>
    </row>
    <row r="14" spans="1:7" ht="15">
      <c r="A14" s="93" t="s">
        <v>705</v>
      </c>
      <c r="B14" s="92">
        <v>13</v>
      </c>
      <c r="C14" s="125">
        <v>0.007892608542374741</v>
      </c>
      <c r="D14" s="92" t="s">
        <v>1137</v>
      </c>
      <c r="E14" s="92" t="b">
        <v>1</v>
      </c>
      <c r="F14" s="92" t="b">
        <v>0</v>
      </c>
      <c r="G14" s="92" t="b">
        <v>0</v>
      </c>
    </row>
    <row r="15" spans="1:7" ht="15">
      <c r="A15" s="93" t="s">
        <v>706</v>
      </c>
      <c r="B15" s="92">
        <v>13</v>
      </c>
      <c r="C15" s="125">
        <v>0.007892608542374741</v>
      </c>
      <c r="D15" s="92" t="s">
        <v>1137</v>
      </c>
      <c r="E15" s="92" t="b">
        <v>0</v>
      </c>
      <c r="F15" s="92" t="b">
        <v>0</v>
      </c>
      <c r="G15" s="92" t="b">
        <v>0</v>
      </c>
    </row>
    <row r="16" spans="1:7" ht="15">
      <c r="A16" s="93" t="s">
        <v>707</v>
      </c>
      <c r="B16" s="92">
        <v>12</v>
      </c>
      <c r="C16" s="125">
        <v>0.008014637242000305</v>
      </c>
      <c r="D16" s="92" t="s">
        <v>1137</v>
      </c>
      <c r="E16" s="92" t="b">
        <v>0</v>
      </c>
      <c r="F16" s="92" t="b">
        <v>0</v>
      </c>
      <c r="G16" s="92" t="b">
        <v>0</v>
      </c>
    </row>
    <row r="17" spans="1:7" ht="15">
      <c r="A17" s="93" t="s">
        <v>708</v>
      </c>
      <c r="B17" s="92">
        <v>11</v>
      </c>
      <c r="C17" s="125">
        <v>0.007346750805166946</v>
      </c>
      <c r="D17" s="92" t="s">
        <v>1137</v>
      </c>
      <c r="E17" s="92" t="b">
        <v>1</v>
      </c>
      <c r="F17" s="92" t="b">
        <v>0</v>
      </c>
      <c r="G17" s="92" t="b">
        <v>0</v>
      </c>
    </row>
    <row r="18" spans="1:7" ht="15">
      <c r="A18" s="93" t="s">
        <v>709</v>
      </c>
      <c r="B18" s="92">
        <v>11</v>
      </c>
      <c r="C18" s="125">
        <v>0.007346750805166946</v>
      </c>
      <c r="D18" s="92" t="s">
        <v>1137</v>
      </c>
      <c r="E18" s="92" t="b">
        <v>0</v>
      </c>
      <c r="F18" s="92" t="b">
        <v>0</v>
      </c>
      <c r="G18" s="92" t="b">
        <v>0</v>
      </c>
    </row>
    <row r="19" spans="1:7" ht="15">
      <c r="A19" s="93" t="s">
        <v>710</v>
      </c>
      <c r="B19" s="92">
        <v>10</v>
      </c>
      <c r="C19" s="125">
        <v>0.007025536773343846</v>
      </c>
      <c r="D19" s="92" t="s">
        <v>1137</v>
      </c>
      <c r="E19" s="92" t="b">
        <v>0</v>
      </c>
      <c r="F19" s="92" t="b">
        <v>0</v>
      </c>
      <c r="G19" s="92" t="b">
        <v>0</v>
      </c>
    </row>
    <row r="20" spans="1:7" ht="15">
      <c r="A20" s="93" t="s">
        <v>886</v>
      </c>
      <c r="B20" s="92">
        <v>9</v>
      </c>
      <c r="C20" s="125">
        <v>0.006667888803753245</v>
      </c>
      <c r="D20" s="92" t="s">
        <v>1137</v>
      </c>
      <c r="E20" s="92" t="b">
        <v>0</v>
      </c>
      <c r="F20" s="92" t="b">
        <v>0</v>
      </c>
      <c r="G20" s="92" t="b">
        <v>0</v>
      </c>
    </row>
    <row r="21" spans="1:7" ht="15">
      <c r="A21" s="93" t="s">
        <v>887</v>
      </c>
      <c r="B21" s="92">
        <v>8</v>
      </c>
      <c r="C21" s="125">
        <v>0.006269742738662055</v>
      </c>
      <c r="D21" s="92" t="s">
        <v>1137</v>
      </c>
      <c r="E21" s="92" t="b">
        <v>1</v>
      </c>
      <c r="F21" s="92" t="b">
        <v>0</v>
      </c>
      <c r="G21" s="92" t="b">
        <v>0</v>
      </c>
    </row>
    <row r="22" spans="1:7" ht="15">
      <c r="A22" s="93" t="s">
        <v>888</v>
      </c>
      <c r="B22" s="92">
        <v>8</v>
      </c>
      <c r="C22" s="125">
        <v>0.006269742738662055</v>
      </c>
      <c r="D22" s="92" t="s">
        <v>1137</v>
      </c>
      <c r="E22" s="92" t="b">
        <v>0</v>
      </c>
      <c r="F22" s="92" t="b">
        <v>0</v>
      </c>
      <c r="G22" s="92" t="b">
        <v>0</v>
      </c>
    </row>
    <row r="23" spans="1:7" ht="15">
      <c r="A23" s="93" t="s">
        <v>725</v>
      </c>
      <c r="B23" s="92">
        <v>8</v>
      </c>
      <c r="C23" s="125">
        <v>0.00710685320169924</v>
      </c>
      <c r="D23" s="92" t="s">
        <v>1137</v>
      </c>
      <c r="E23" s="92" t="b">
        <v>0</v>
      </c>
      <c r="F23" s="92" t="b">
        <v>0</v>
      </c>
      <c r="G23" s="92" t="b">
        <v>0</v>
      </c>
    </row>
    <row r="24" spans="1:7" ht="15">
      <c r="A24" s="93" t="s">
        <v>889</v>
      </c>
      <c r="B24" s="92">
        <v>8</v>
      </c>
      <c r="C24" s="125">
        <v>0.006658298497306523</v>
      </c>
      <c r="D24" s="92" t="s">
        <v>1137</v>
      </c>
      <c r="E24" s="92" t="b">
        <v>0</v>
      </c>
      <c r="F24" s="92" t="b">
        <v>0</v>
      </c>
      <c r="G24" s="92" t="b">
        <v>0</v>
      </c>
    </row>
    <row r="25" spans="1:7" ht="15">
      <c r="A25" s="93" t="s">
        <v>712</v>
      </c>
      <c r="B25" s="92">
        <v>8</v>
      </c>
      <c r="C25" s="125">
        <v>0.008286694133395597</v>
      </c>
      <c r="D25" s="92" t="s">
        <v>1137</v>
      </c>
      <c r="E25" s="92" t="b">
        <v>0</v>
      </c>
      <c r="F25" s="92" t="b">
        <v>0</v>
      </c>
      <c r="G25" s="92" t="b">
        <v>0</v>
      </c>
    </row>
    <row r="26" spans="1:7" ht="15">
      <c r="A26" s="93" t="s">
        <v>713</v>
      </c>
      <c r="B26" s="92">
        <v>8</v>
      </c>
      <c r="C26" s="125">
        <v>0.008286694133395597</v>
      </c>
      <c r="D26" s="92" t="s">
        <v>1137</v>
      </c>
      <c r="E26" s="92" t="b">
        <v>0</v>
      </c>
      <c r="F26" s="92" t="b">
        <v>0</v>
      </c>
      <c r="G26" s="92" t="b">
        <v>0</v>
      </c>
    </row>
    <row r="27" spans="1:7" ht="15">
      <c r="A27" s="93" t="s">
        <v>890</v>
      </c>
      <c r="B27" s="92">
        <v>8</v>
      </c>
      <c r="C27" s="125">
        <v>0.006269742738662055</v>
      </c>
      <c r="D27" s="92" t="s">
        <v>1137</v>
      </c>
      <c r="E27" s="92" t="b">
        <v>0</v>
      </c>
      <c r="F27" s="92" t="b">
        <v>0</v>
      </c>
      <c r="G27" s="92" t="b">
        <v>0</v>
      </c>
    </row>
    <row r="28" spans="1:7" ht="15">
      <c r="A28" s="93" t="s">
        <v>732</v>
      </c>
      <c r="B28" s="92">
        <v>7</v>
      </c>
      <c r="C28" s="125">
        <v>0.005826011185143207</v>
      </c>
      <c r="D28" s="92" t="s">
        <v>1137</v>
      </c>
      <c r="E28" s="92" t="b">
        <v>0</v>
      </c>
      <c r="F28" s="92" t="b">
        <v>0</v>
      </c>
      <c r="G28" s="92" t="b">
        <v>0</v>
      </c>
    </row>
    <row r="29" spans="1:7" ht="15">
      <c r="A29" s="93" t="s">
        <v>891</v>
      </c>
      <c r="B29" s="92">
        <v>7</v>
      </c>
      <c r="C29" s="125">
        <v>0.005826011185143207</v>
      </c>
      <c r="D29" s="92" t="s">
        <v>1137</v>
      </c>
      <c r="E29" s="92" t="b">
        <v>0</v>
      </c>
      <c r="F29" s="92" t="b">
        <v>0</v>
      </c>
      <c r="G29" s="92" t="b">
        <v>0</v>
      </c>
    </row>
    <row r="30" spans="1:7" ht="15">
      <c r="A30" s="93" t="s">
        <v>892</v>
      </c>
      <c r="B30" s="92">
        <v>7</v>
      </c>
      <c r="C30" s="125">
        <v>0.005826011185143207</v>
      </c>
      <c r="D30" s="92" t="s">
        <v>1137</v>
      </c>
      <c r="E30" s="92" t="b">
        <v>0</v>
      </c>
      <c r="F30" s="92" t="b">
        <v>0</v>
      </c>
      <c r="G30" s="92" t="b">
        <v>0</v>
      </c>
    </row>
    <row r="31" spans="1:7" ht="15">
      <c r="A31" s="93" t="s">
        <v>716</v>
      </c>
      <c r="B31" s="92">
        <v>7</v>
      </c>
      <c r="C31" s="125">
        <v>0.005826011185143207</v>
      </c>
      <c r="D31" s="92" t="s">
        <v>1137</v>
      </c>
      <c r="E31" s="92" t="b">
        <v>0</v>
      </c>
      <c r="F31" s="92" t="b">
        <v>0</v>
      </c>
      <c r="G31" s="92" t="b">
        <v>0</v>
      </c>
    </row>
    <row r="32" spans="1:7" ht="15">
      <c r="A32" s="93" t="s">
        <v>893</v>
      </c>
      <c r="B32" s="92">
        <v>6</v>
      </c>
      <c r="C32" s="125">
        <v>0.00533013990127443</v>
      </c>
      <c r="D32" s="92" t="s">
        <v>1137</v>
      </c>
      <c r="E32" s="92" t="b">
        <v>0</v>
      </c>
      <c r="F32" s="92" t="b">
        <v>1</v>
      </c>
      <c r="G32" s="92" t="b">
        <v>0</v>
      </c>
    </row>
    <row r="33" spans="1:7" ht="15">
      <c r="A33" s="93" t="s">
        <v>722</v>
      </c>
      <c r="B33" s="92">
        <v>6</v>
      </c>
      <c r="C33" s="125">
        <v>0.006215020600046698</v>
      </c>
      <c r="D33" s="92" t="s">
        <v>1137</v>
      </c>
      <c r="E33" s="92" t="b">
        <v>0</v>
      </c>
      <c r="F33" s="92" t="b">
        <v>1</v>
      </c>
      <c r="G33" s="92" t="b">
        <v>0</v>
      </c>
    </row>
    <row r="34" spans="1:7" ht="15">
      <c r="A34" s="93" t="s">
        <v>723</v>
      </c>
      <c r="B34" s="92">
        <v>6</v>
      </c>
      <c r="C34" s="125">
        <v>0.006215020600046698</v>
      </c>
      <c r="D34" s="92" t="s">
        <v>1137</v>
      </c>
      <c r="E34" s="92" t="b">
        <v>0</v>
      </c>
      <c r="F34" s="92" t="b">
        <v>0</v>
      </c>
      <c r="G34" s="92" t="b">
        <v>0</v>
      </c>
    </row>
    <row r="35" spans="1:7" ht="15">
      <c r="A35" s="93" t="s">
        <v>894</v>
      </c>
      <c r="B35" s="92">
        <v>6</v>
      </c>
      <c r="C35" s="125">
        <v>0.00533013990127443</v>
      </c>
      <c r="D35" s="92" t="s">
        <v>1137</v>
      </c>
      <c r="E35" s="92" t="b">
        <v>0</v>
      </c>
      <c r="F35" s="92" t="b">
        <v>0</v>
      </c>
      <c r="G35" s="92" t="b">
        <v>0</v>
      </c>
    </row>
    <row r="36" spans="1:7" ht="15">
      <c r="A36" s="93" t="s">
        <v>895</v>
      </c>
      <c r="B36" s="92">
        <v>6</v>
      </c>
      <c r="C36" s="125">
        <v>0.00533013990127443</v>
      </c>
      <c r="D36" s="92" t="s">
        <v>1137</v>
      </c>
      <c r="E36" s="92" t="b">
        <v>0</v>
      </c>
      <c r="F36" s="92" t="b">
        <v>0</v>
      </c>
      <c r="G36" s="92" t="b">
        <v>0</v>
      </c>
    </row>
    <row r="37" spans="1:7" ht="15">
      <c r="A37" s="93" t="s">
        <v>896</v>
      </c>
      <c r="B37" s="92">
        <v>6</v>
      </c>
      <c r="C37" s="125">
        <v>0.00533013990127443</v>
      </c>
      <c r="D37" s="92" t="s">
        <v>1137</v>
      </c>
      <c r="E37" s="92" t="b">
        <v>0</v>
      </c>
      <c r="F37" s="92" t="b">
        <v>0</v>
      </c>
      <c r="G37" s="92" t="b">
        <v>0</v>
      </c>
    </row>
    <row r="38" spans="1:7" ht="15">
      <c r="A38" s="93" t="s">
        <v>897</v>
      </c>
      <c r="B38" s="92">
        <v>6</v>
      </c>
      <c r="C38" s="125">
        <v>0.00533013990127443</v>
      </c>
      <c r="D38" s="92" t="s">
        <v>1137</v>
      </c>
      <c r="E38" s="92" t="b">
        <v>0</v>
      </c>
      <c r="F38" s="92" t="b">
        <v>0</v>
      </c>
      <c r="G38" s="92" t="b">
        <v>0</v>
      </c>
    </row>
    <row r="39" spans="1:7" ht="15">
      <c r="A39" s="93" t="s">
        <v>898</v>
      </c>
      <c r="B39" s="92">
        <v>6</v>
      </c>
      <c r="C39" s="125">
        <v>0.00533013990127443</v>
      </c>
      <c r="D39" s="92" t="s">
        <v>1137</v>
      </c>
      <c r="E39" s="92" t="b">
        <v>1</v>
      </c>
      <c r="F39" s="92" t="b">
        <v>0</v>
      </c>
      <c r="G39" s="92" t="b">
        <v>0</v>
      </c>
    </row>
    <row r="40" spans="1:7" ht="15">
      <c r="A40" s="93" t="s">
        <v>899</v>
      </c>
      <c r="B40" s="92">
        <v>6</v>
      </c>
      <c r="C40" s="125">
        <v>0.00533013990127443</v>
      </c>
      <c r="D40" s="92" t="s">
        <v>1137</v>
      </c>
      <c r="E40" s="92" t="b">
        <v>0</v>
      </c>
      <c r="F40" s="92" t="b">
        <v>0</v>
      </c>
      <c r="G40" s="92" t="b">
        <v>0</v>
      </c>
    </row>
    <row r="41" spans="1:7" ht="15">
      <c r="A41" s="93" t="s">
        <v>900</v>
      </c>
      <c r="B41" s="92">
        <v>6</v>
      </c>
      <c r="C41" s="125">
        <v>0.00533013990127443</v>
      </c>
      <c r="D41" s="92" t="s">
        <v>1137</v>
      </c>
      <c r="E41" s="92" t="b">
        <v>0</v>
      </c>
      <c r="F41" s="92" t="b">
        <v>0</v>
      </c>
      <c r="G41" s="92" t="b">
        <v>0</v>
      </c>
    </row>
    <row r="42" spans="1:7" ht="15">
      <c r="A42" s="93" t="s">
        <v>901</v>
      </c>
      <c r="B42" s="92">
        <v>6</v>
      </c>
      <c r="C42" s="125">
        <v>0.00533013990127443</v>
      </c>
      <c r="D42" s="92" t="s">
        <v>1137</v>
      </c>
      <c r="E42" s="92" t="b">
        <v>0</v>
      </c>
      <c r="F42" s="92" t="b">
        <v>0</v>
      </c>
      <c r="G42" s="92" t="b">
        <v>0</v>
      </c>
    </row>
    <row r="43" spans="1:7" ht="15">
      <c r="A43" s="93" t="s">
        <v>902</v>
      </c>
      <c r="B43" s="92">
        <v>6</v>
      </c>
      <c r="C43" s="125">
        <v>0.005728035610056465</v>
      </c>
      <c r="D43" s="92" t="s">
        <v>1137</v>
      </c>
      <c r="E43" s="92" t="b">
        <v>0</v>
      </c>
      <c r="F43" s="92" t="b">
        <v>0</v>
      </c>
      <c r="G43" s="92" t="b">
        <v>0</v>
      </c>
    </row>
    <row r="44" spans="1:7" ht="15">
      <c r="A44" s="93" t="s">
        <v>903</v>
      </c>
      <c r="B44" s="92">
        <v>5</v>
      </c>
      <c r="C44" s="125">
        <v>0.004773363008380387</v>
      </c>
      <c r="D44" s="92" t="s">
        <v>1137</v>
      </c>
      <c r="E44" s="92" t="b">
        <v>0</v>
      </c>
      <c r="F44" s="92" t="b">
        <v>0</v>
      </c>
      <c r="G44" s="92" t="b">
        <v>0</v>
      </c>
    </row>
    <row r="45" spans="1:7" ht="15">
      <c r="A45" s="93" t="s">
        <v>904</v>
      </c>
      <c r="B45" s="92">
        <v>5</v>
      </c>
      <c r="C45" s="125">
        <v>0.004773363008380387</v>
      </c>
      <c r="D45" s="92" t="s">
        <v>1137</v>
      </c>
      <c r="E45" s="92" t="b">
        <v>0</v>
      </c>
      <c r="F45" s="92" t="b">
        <v>0</v>
      </c>
      <c r="G45" s="92" t="b">
        <v>0</v>
      </c>
    </row>
    <row r="46" spans="1:7" ht="15">
      <c r="A46" s="93" t="s">
        <v>905</v>
      </c>
      <c r="B46" s="92">
        <v>5</v>
      </c>
      <c r="C46" s="125">
        <v>0.004773363008380387</v>
      </c>
      <c r="D46" s="92" t="s">
        <v>1137</v>
      </c>
      <c r="E46" s="92" t="b">
        <v>0</v>
      </c>
      <c r="F46" s="92" t="b">
        <v>0</v>
      </c>
      <c r="G46" s="92" t="b">
        <v>0</v>
      </c>
    </row>
    <row r="47" spans="1:7" ht="15">
      <c r="A47" s="93" t="s">
        <v>906</v>
      </c>
      <c r="B47" s="92">
        <v>5</v>
      </c>
      <c r="C47" s="125">
        <v>0.004773363008380387</v>
      </c>
      <c r="D47" s="92" t="s">
        <v>1137</v>
      </c>
      <c r="E47" s="92" t="b">
        <v>0</v>
      </c>
      <c r="F47" s="92" t="b">
        <v>0</v>
      </c>
      <c r="G47" s="92" t="b">
        <v>0</v>
      </c>
    </row>
    <row r="48" spans="1:7" ht="15">
      <c r="A48" s="93" t="s">
        <v>275</v>
      </c>
      <c r="B48" s="92">
        <v>5</v>
      </c>
      <c r="C48" s="125">
        <v>0.004773363008380387</v>
      </c>
      <c r="D48" s="92" t="s">
        <v>1137</v>
      </c>
      <c r="E48" s="92" t="b">
        <v>0</v>
      </c>
      <c r="F48" s="92" t="b">
        <v>0</v>
      </c>
      <c r="G48" s="92" t="b">
        <v>0</v>
      </c>
    </row>
    <row r="49" spans="1:7" ht="15">
      <c r="A49" s="93" t="s">
        <v>907</v>
      </c>
      <c r="B49" s="92">
        <v>5</v>
      </c>
      <c r="C49" s="125">
        <v>0.004773363008380387</v>
      </c>
      <c r="D49" s="92" t="s">
        <v>1137</v>
      </c>
      <c r="E49" s="92" t="b">
        <v>0</v>
      </c>
      <c r="F49" s="92" t="b">
        <v>0</v>
      </c>
      <c r="G49" s="92" t="b">
        <v>0</v>
      </c>
    </row>
    <row r="50" spans="1:7" ht="15">
      <c r="A50" s="93" t="s">
        <v>908</v>
      </c>
      <c r="B50" s="92">
        <v>5</v>
      </c>
      <c r="C50" s="125">
        <v>0.004773363008380387</v>
      </c>
      <c r="D50" s="92" t="s">
        <v>1137</v>
      </c>
      <c r="E50" s="92" t="b">
        <v>0</v>
      </c>
      <c r="F50" s="92" t="b">
        <v>0</v>
      </c>
      <c r="G50" s="92" t="b">
        <v>0</v>
      </c>
    </row>
    <row r="51" spans="1:7" ht="15">
      <c r="A51" s="93" t="s">
        <v>909</v>
      </c>
      <c r="B51" s="92">
        <v>5</v>
      </c>
      <c r="C51" s="125">
        <v>0.004773363008380387</v>
      </c>
      <c r="D51" s="92" t="s">
        <v>1137</v>
      </c>
      <c r="E51" s="92" t="b">
        <v>0</v>
      </c>
      <c r="F51" s="92" t="b">
        <v>0</v>
      </c>
      <c r="G51" s="92" t="b">
        <v>0</v>
      </c>
    </row>
    <row r="52" spans="1:7" ht="15">
      <c r="A52" s="93" t="s">
        <v>910</v>
      </c>
      <c r="B52" s="92">
        <v>5</v>
      </c>
      <c r="C52" s="125">
        <v>0.004773363008380387</v>
      </c>
      <c r="D52" s="92" t="s">
        <v>1137</v>
      </c>
      <c r="E52" s="92" t="b">
        <v>0</v>
      </c>
      <c r="F52" s="92" t="b">
        <v>0</v>
      </c>
      <c r="G52" s="92" t="b">
        <v>0</v>
      </c>
    </row>
    <row r="53" spans="1:7" ht="15">
      <c r="A53" s="93" t="s">
        <v>911</v>
      </c>
      <c r="B53" s="92">
        <v>5</v>
      </c>
      <c r="C53" s="125">
        <v>0.004773363008380387</v>
      </c>
      <c r="D53" s="92" t="s">
        <v>1137</v>
      </c>
      <c r="E53" s="92" t="b">
        <v>0</v>
      </c>
      <c r="F53" s="92" t="b">
        <v>0</v>
      </c>
      <c r="G53" s="92" t="b">
        <v>0</v>
      </c>
    </row>
    <row r="54" spans="1:7" ht="15">
      <c r="A54" s="93" t="s">
        <v>912</v>
      </c>
      <c r="B54" s="92">
        <v>5</v>
      </c>
      <c r="C54" s="125">
        <v>0.004773363008380387</v>
      </c>
      <c r="D54" s="92" t="s">
        <v>1137</v>
      </c>
      <c r="E54" s="92" t="b">
        <v>0</v>
      </c>
      <c r="F54" s="92" t="b">
        <v>0</v>
      </c>
      <c r="G54" s="92" t="b">
        <v>0</v>
      </c>
    </row>
    <row r="55" spans="1:7" ht="15">
      <c r="A55" s="93" t="s">
        <v>913</v>
      </c>
      <c r="B55" s="92">
        <v>5</v>
      </c>
      <c r="C55" s="125">
        <v>0.004773363008380387</v>
      </c>
      <c r="D55" s="92" t="s">
        <v>1137</v>
      </c>
      <c r="E55" s="92" t="b">
        <v>0</v>
      </c>
      <c r="F55" s="92" t="b">
        <v>0</v>
      </c>
      <c r="G55" s="92" t="b">
        <v>0</v>
      </c>
    </row>
    <row r="56" spans="1:7" ht="15">
      <c r="A56" s="93" t="s">
        <v>914</v>
      </c>
      <c r="B56" s="92">
        <v>5</v>
      </c>
      <c r="C56" s="125">
        <v>0.004773363008380387</v>
      </c>
      <c r="D56" s="92" t="s">
        <v>1137</v>
      </c>
      <c r="E56" s="92" t="b">
        <v>0</v>
      </c>
      <c r="F56" s="92" t="b">
        <v>0</v>
      </c>
      <c r="G56" s="92" t="b">
        <v>0</v>
      </c>
    </row>
    <row r="57" spans="1:7" ht="15">
      <c r="A57" s="93" t="s">
        <v>915</v>
      </c>
      <c r="B57" s="92">
        <v>5</v>
      </c>
      <c r="C57" s="125">
        <v>0.004773363008380387</v>
      </c>
      <c r="D57" s="92" t="s">
        <v>1137</v>
      </c>
      <c r="E57" s="92" t="b">
        <v>0</v>
      </c>
      <c r="F57" s="92" t="b">
        <v>0</v>
      </c>
      <c r="G57" s="92" t="b">
        <v>0</v>
      </c>
    </row>
    <row r="58" spans="1:7" ht="15">
      <c r="A58" s="93" t="s">
        <v>916</v>
      </c>
      <c r="B58" s="92">
        <v>5</v>
      </c>
      <c r="C58" s="125">
        <v>0.004773363008380387</v>
      </c>
      <c r="D58" s="92" t="s">
        <v>1137</v>
      </c>
      <c r="E58" s="92" t="b">
        <v>0</v>
      </c>
      <c r="F58" s="92" t="b">
        <v>0</v>
      </c>
      <c r="G58" s="92" t="b">
        <v>0</v>
      </c>
    </row>
    <row r="59" spans="1:7" ht="15">
      <c r="A59" s="93" t="s">
        <v>917</v>
      </c>
      <c r="B59" s="92">
        <v>5</v>
      </c>
      <c r="C59" s="125">
        <v>0.004773363008380387</v>
      </c>
      <c r="D59" s="92" t="s">
        <v>1137</v>
      </c>
      <c r="E59" s="92" t="b">
        <v>0</v>
      </c>
      <c r="F59" s="92" t="b">
        <v>0</v>
      </c>
      <c r="G59" s="92" t="b">
        <v>0</v>
      </c>
    </row>
    <row r="60" spans="1:7" ht="15">
      <c r="A60" s="93" t="s">
        <v>918</v>
      </c>
      <c r="B60" s="92">
        <v>5</v>
      </c>
      <c r="C60" s="125">
        <v>0.004773363008380387</v>
      </c>
      <c r="D60" s="92" t="s">
        <v>1137</v>
      </c>
      <c r="E60" s="92" t="b">
        <v>0</v>
      </c>
      <c r="F60" s="92" t="b">
        <v>0</v>
      </c>
      <c r="G60" s="92" t="b">
        <v>0</v>
      </c>
    </row>
    <row r="61" spans="1:7" ht="15">
      <c r="A61" s="93" t="s">
        <v>919</v>
      </c>
      <c r="B61" s="92">
        <v>5</v>
      </c>
      <c r="C61" s="125">
        <v>0.004773363008380387</v>
      </c>
      <c r="D61" s="92" t="s">
        <v>1137</v>
      </c>
      <c r="E61" s="92" t="b">
        <v>0</v>
      </c>
      <c r="F61" s="92" t="b">
        <v>0</v>
      </c>
      <c r="G61" s="92" t="b">
        <v>0</v>
      </c>
    </row>
    <row r="62" spans="1:7" ht="15">
      <c r="A62" s="93" t="s">
        <v>920</v>
      </c>
      <c r="B62" s="92">
        <v>5</v>
      </c>
      <c r="C62" s="125">
        <v>0.004773363008380387</v>
      </c>
      <c r="D62" s="92" t="s">
        <v>1137</v>
      </c>
      <c r="E62" s="92" t="b">
        <v>1</v>
      </c>
      <c r="F62" s="92" t="b">
        <v>0</v>
      </c>
      <c r="G62" s="92" t="b">
        <v>0</v>
      </c>
    </row>
    <row r="63" spans="1:7" ht="15">
      <c r="A63" s="93" t="s">
        <v>921</v>
      </c>
      <c r="B63" s="92">
        <v>5</v>
      </c>
      <c r="C63" s="125">
        <v>0.0057023778727704885</v>
      </c>
      <c r="D63" s="92" t="s">
        <v>1137</v>
      </c>
      <c r="E63" s="92" t="b">
        <v>0</v>
      </c>
      <c r="F63" s="92" t="b">
        <v>0</v>
      </c>
      <c r="G63" s="92" t="b">
        <v>0</v>
      </c>
    </row>
    <row r="64" spans="1:7" ht="15">
      <c r="A64" s="93" t="s">
        <v>922</v>
      </c>
      <c r="B64" s="92">
        <v>5</v>
      </c>
      <c r="C64" s="125">
        <v>0.004773363008380387</v>
      </c>
      <c r="D64" s="92" t="s">
        <v>1137</v>
      </c>
      <c r="E64" s="92" t="b">
        <v>0</v>
      </c>
      <c r="F64" s="92" t="b">
        <v>0</v>
      </c>
      <c r="G64" s="92" t="b">
        <v>0</v>
      </c>
    </row>
    <row r="65" spans="1:7" ht="15">
      <c r="A65" s="93" t="s">
        <v>923</v>
      </c>
      <c r="B65" s="92">
        <v>5</v>
      </c>
      <c r="C65" s="125">
        <v>0.0057023778727704885</v>
      </c>
      <c r="D65" s="92" t="s">
        <v>1137</v>
      </c>
      <c r="E65" s="92" t="b">
        <v>0</v>
      </c>
      <c r="F65" s="92" t="b">
        <v>0</v>
      </c>
      <c r="G65" s="92" t="b">
        <v>0</v>
      </c>
    </row>
    <row r="66" spans="1:7" ht="15">
      <c r="A66" s="93" t="s">
        <v>924</v>
      </c>
      <c r="B66" s="92">
        <v>5</v>
      </c>
      <c r="C66" s="125">
        <v>0.004773363008380387</v>
      </c>
      <c r="D66" s="92" t="s">
        <v>1137</v>
      </c>
      <c r="E66" s="92" t="b">
        <v>0</v>
      </c>
      <c r="F66" s="92" t="b">
        <v>0</v>
      </c>
      <c r="G66" s="92" t="b">
        <v>0</v>
      </c>
    </row>
    <row r="67" spans="1:7" ht="15">
      <c r="A67" s="93" t="s">
        <v>925</v>
      </c>
      <c r="B67" s="92">
        <v>5</v>
      </c>
      <c r="C67" s="125">
        <v>0.004773363008380387</v>
      </c>
      <c r="D67" s="92" t="s">
        <v>1137</v>
      </c>
      <c r="E67" s="92" t="b">
        <v>0</v>
      </c>
      <c r="F67" s="92" t="b">
        <v>0</v>
      </c>
      <c r="G67" s="92" t="b">
        <v>0</v>
      </c>
    </row>
    <row r="68" spans="1:7" ht="15">
      <c r="A68" s="93" t="s">
        <v>724</v>
      </c>
      <c r="B68" s="92">
        <v>4</v>
      </c>
      <c r="C68" s="125">
        <v>0.005151822764064571</v>
      </c>
      <c r="D68" s="92" t="s">
        <v>1137</v>
      </c>
      <c r="E68" s="92" t="b">
        <v>0</v>
      </c>
      <c r="F68" s="92" t="b">
        <v>0</v>
      </c>
      <c r="G68" s="92" t="b">
        <v>0</v>
      </c>
    </row>
    <row r="69" spans="1:7" ht="15">
      <c r="A69" s="93" t="s">
        <v>926</v>
      </c>
      <c r="B69" s="92">
        <v>4</v>
      </c>
      <c r="C69" s="125">
        <v>0.004143347066697799</v>
      </c>
      <c r="D69" s="92" t="s">
        <v>1137</v>
      </c>
      <c r="E69" s="92" t="b">
        <v>0</v>
      </c>
      <c r="F69" s="92" t="b">
        <v>0</v>
      </c>
      <c r="G69" s="92" t="b">
        <v>0</v>
      </c>
    </row>
    <row r="70" spans="1:7" ht="15">
      <c r="A70" s="93" t="s">
        <v>927</v>
      </c>
      <c r="B70" s="92">
        <v>4</v>
      </c>
      <c r="C70" s="125">
        <v>0.004143347066697799</v>
      </c>
      <c r="D70" s="92" t="s">
        <v>1137</v>
      </c>
      <c r="E70" s="92" t="b">
        <v>0</v>
      </c>
      <c r="F70" s="92" t="b">
        <v>0</v>
      </c>
      <c r="G70" s="92" t="b">
        <v>0</v>
      </c>
    </row>
    <row r="71" spans="1:7" ht="15">
      <c r="A71" s="93" t="s">
        <v>928</v>
      </c>
      <c r="B71" s="92">
        <v>4</v>
      </c>
      <c r="C71" s="125">
        <v>0.004143347066697799</v>
      </c>
      <c r="D71" s="92" t="s">
        <v>1137</v>
      </c>
      <c r="E71" s="92" t="b">
        <v>0</v>
      </c>
      <c r="F71" s="92" t="b">
        <v>0</v>
      </c>
      <c r="G71" s="92" t="b">
        <v>0</v>
      </c>
    </row>
    <row r="72" spans="1:7" ht="15">
      <c r="A72" s="93" t="s">
        <v>929</v>
      </c>
      <c r="B72" s="92">
        <v>4</v>
      </c>
      <c r="C72" s="125">
        <v>0.004143347066697799</v>
      </c>
      <c r="D72" s="92" t="s">
        <v>1137</v>
      </c>
      <c r="E72" s="92" t="b">
        <v>0</v>
      </c>
      <c r="F72" s="92" t="b">
        <v>0</v>
      </c>
      <c r="G72" s="92" t="b">
        <v>0</v>
      </c>
    </row>
    <row r="73" spans="1:7" ht="15">
      <c r="A73" s="93" t="s">
        <v>281</v>
      </c>
      <c r="B73" s="92">
        <v>4</v>
      </c>
      <c r="C73" s="125">
        <v>0.004143347066697799</v>
      </c>
      <c r="D73" s="92" t="s">
        <v>1137</v>
      </c>
      <c r="E73" s="92" t="b">
        <v>0</v>
      </c>
      <c r="F73" s="92" t="b">
        <v>0</v>
      </c>
      <c r="G73" s="92" t="b">
        <v>0</v>
      </c>
    </row>
    <row r="74" spans="1:7" ht="15">
      <c r="A74" s="93" t="s">
        <v>930</v>
      </c>
      <c r="B74" s="92">
        <v>4</v>
      </c>
      <c r="C74" s="125">
        <v>0.004143347066697799</v>
      </c>
      <c r="D74" s="92" t="s">
        <v>1137</v>
      </c>
      <c r="E74" s="92" t="b">
        <v>0</v>
      </c>
      <c r="F74" s="92" t="b">
        <v>0</v>
      </c>
      <c r="G74" s="92" t="b">
        <v>0</v>
      </c>
    </row>
    <row r="75" spans="1:7" ht="15">
      <c r="A75" s="93" t="s">
        <v>931</v>
      </c>
      <c r="B75" s="92">
        <v>4</v>
      </c>
      <c r="C75" s="125">
        <v>0.004143347066697799</v>
      </c>
      <c r="D75" s="92" t="s">
        <v>1137</v>
      </c>
      <c r="E75" s="92" t="b">
        <v>0</v>
      </c>
      <c r="F75" s="92" t="b">
        <v>0</v>
      </c>
      <c r="G75" s="92" t="b">
        <v>0</v>
      </c>
    </row>
    <row r="76" spans="1:7" ht="15">
      <c r="A76" s="93" t="s">
        <v>932</v>
      </c>
      <c r="B76" s="92">
        <v>4</v>
      </c>
      <c r="C76" s="125">
        <v>0.004143347066697799</v>
      </c>
      <c r="D76" s="92" t="s">
        <v>1137</v>
      </c>
      <c r="E76" s="92" t="b">
        <v>1</v>
      </c>
      <c r="F76" s="92" t="b">
        <v>0</v>
      </c>
      <c r="G76" s="92" t="b">
        <v>0</v>
      </c>
    </row>
    <row r="77" spans="1:7" ht="15">
      <c r="A77" s="93" t="s">
        <v>933</v>
      </c>
      <c r="B77" s="92">
        <v>4</v>
      </c>
      <c r="C77" s="125">
        <v>0.004143347066697799</v>
      </c>
      <c r="D77" s="92" t="s">
        <v>1137</v>
      </c>
      <c r="E77" s="92" t="b">
        <v>0</v>
      </c>
      <c r="F77" s="92" t="b">
        <v>0</v>
      </c>
      <c r="G77" s="92" t="b">
        <v>0</v>
      </c>
    </row>
    <row r="78" spans="1:7" ht="15">
      <c r="A78" s="93" t="s">
        <v>934</v>
      </c>
      <c r="B78" s="92">
        <v>4</v>
      </c>
      <c r="C78" s="125">
        <v>0.004143347066697799</v>
      </c>
      <c r="D78" s="92" t="s">
        <v>1137</v>
      </c>
      <c r="E78" s="92" t="b">
        <v>1</v>
      </c>
      <c r="F78" s="92" t="b">
        <v>0</v>
      </c>
      <c r="G78" s="92" t="b">
        <v>0</v>
      </c>
    </row>
    <row r="79" spans="1:7" ht="15">
      <c r="A79" s="93" t="s">
        <v>935</v>
      </c>
      <c r="B79" s="92">
        <v>4</v>
      </c>
      <c r="C79" s="125">
        <v>0.004143347066697799</v>
      </c>
      <c r="D79" s="92" t="s">
        <v>1137</v>
      </c>
      <c r="E79" s="92" t="b">
        <v>0</v>
      </c>
      <c r="F79" s="92" t="b">
        <v>0</v>
      </c>
      <c r="G79" s="92" t="b">
        <v>0</v>
      </c>
    </row>
    <row r="80" spans="1:7" ht="15">
      <c r="A80" s="93" t="s">
        <v>936</v>
      </c>
      <c r="B80" s="92">
        <v>4</v>
      </c>
      <c r="C80" s="125">
        <v>0.004143347066697799</v>
      </c>
      <c r="D80" s="92" t="s">
        <v>1137</v>
      </c>
      <c r="E80" s="92" t="b">
        <v>0</v>
      </c>
      <c r="F80" s="92" t="b">
        <v>0</v>
      </c>
      <c r="G80" s="92" t="b">
        <v>0</v>
      </c>
    </row>
    <row r="81" spans="1:7" ht="15">
      <c r="A81" s="93" t="s">
        <v>937</v>
      </c>
      <c r="B81" s="92">
        <v>4</v>
      </c>
      <c r="C81" s="125">
        <v>0.004143347066697799</v>
      </c>
      <c r="D81" s="92" t="s">
        <v>1137</v>
      </c>
      <c r="E81" s="92" t="b">
        <v>0</v>
      </c>
      <c r="F81" s="92" t="b">
        <v>0</v>
      </c>
      <c r="G81" s="92" t="b">
        <v>0</v>
      </c>
    </row>
    <row r="82" spans="1:7" ht="15">
      <c r="A82" s="93" t="s">
        <v>938</v>
      </c>
      <c r="B82" s="92">
        <v>4</v>
      </c>
      <c r="C82" s="125">
        <v>0.004143347066697799</v>
      </c>
      <c r="D82" s="92" t="s">
        <v>1137</v>
      </c>
      <c r="E82" s="92" t="b">
        <v>0</v>
      </c>
      <c r="F82" s="92" t="b">
        <v>1</v>
      </c>
      <c r="G82" s="92" t="b">
        <v>0</v>
      </c>
    </row>
    <row r="83" spans="1:7" ht="15">
      <c r="A83" s="93" t="s">
        <v>939</v>
      </c>
      <c r="B83" s="92">
        <v>4</v>
      </c>
      <c r="C83" s="125">
        <v>0.004143347066697799</v>
      </c>
      <c r="D83" s="92" t="s">
        <v>1137</v>
      </c>
      <c r="E83" s="92" t="b">
        <v>0</v>
      </c>
      <c r="F83" s="92" t="b">
        <v>0</v>
      </c>
      <c r="G83" s="92" t="b">
        <v>0</v>
      </c>
    </row>
    <row r="84" spans="1:7" ht="15">
      <c r="A84" s="93" t="s">
        <v>940</v>
      </c>
      <c r="B84" s="92">
        <v>4</v>
      </c>
      <c r="C84" s="125">
        <v>0.004143347066697799</v>
      </c>
      <c r="D84" s="92" t="s">
        <v>1137</v>
      </c>
      <c r="E84" s="92" t="b">
        <v>0</v>
      </c>
      <c r="F84" s="92" t="b">
        <v>0</v>
      </c>
      <c r="G84" s="92" t="b">
        <v>0</v>
      </c>
    </row>
    <row r="85" spans="1:7" ht="15">
      <c r="A85" s="93" t="s">
        <v>941</v>
      </c>
      <c r="B85" s="92">
        <v>4</v>
      </c>
      <c r="C85" s="125">
        <v>0.004143347066697799</v>
      </c>
      <c r="D85" s="92" t="s">
        <v>1137</v>
      </c>
      <c r="E85" s="92" t="b">
        <v>0</v>
      </c>
      <c r="F85" s="92" t="b">
        <v>0</v>
      </c>
      <c r="G85" s="92" t="b">
        <v>0</v>
      </c>
    </row>
    <row r="86" spans="1:7" ht="15">
      <c r="A86" s="93" t="s">
        <v>942</v>
      </c>
      <c r="B86" s="92">
        <v>4</v>
      </c>
      <c r="C86" s="125">
        <v>0.004143347066697799</v>
      </c>
      <c r="D86" s="92" t="s">
        <v>1137</v>
      </c>
      <c r="E86" s="92" t="b">
        <v>0</v>
      </c>
      <c r="F86" s="92" t="b">
        <v>0</v>
      </c>
      <c r="G86" s="92" t="b">
        <v>0</v>
      </c>
    </row>
    <row r="87" spans="1:7" ht="15">
      <c r="A87" s="93" t="s">
        <v>943</v>
      </c>
      <c r="B87" s="92">
        <v>4</v>
      </c>
      <c r="C87" s="125">
        <v>0.004143347066697799</v>
      </c>
      <c r="D87" s="92" t="s">
        <v>1137</v>
      </c>
      <c r="E87" s="92" t="b">
        <v>0</v>
      </c>
      <c r="F87" s="92" t="b">
        <v>0</v>
      </c>
      <c r="G87" s="92" t="b">
        <v>0</v>
      </c>
    </row>
    <row r="88" spans="1:7" ht="15">
      <c r="A88" s="93" t="s">
        <v>944</v>
      </c>
      <c r="B88" s="92">
        <v>4</v>
      </c>
      <c r="C88" s="125">
        <v>0.004143347066697799</v>
      </c>
      <c r="D88" s="92" t="s">
        <v>1137</v>
      </c>
      <c r="E88" s="92" t="b">
        <v>0</v>
      </c>
      <c r="F88" s="92" t="b">
        <v>0</v>
      </c>
      <c r="G88" s="92" t="b">
        <v>0</v>
      </c>
    </row>
    <row r="89" spans="1:7" ht="15">
      <c r="A89" s="93" t="s">
        <v>726</v>
      </c>
      <c r="B89" s="92">
        <v>4</v>
      </c>
      <c r="C89" s="125">
        <v>0.005151822764064571</v>
      </c>
      <c r="D89" s="92" t="s">
        <v>1137</v>
      </c>
      <c r="E89" s="92" t="b">
        <v>0</v>
      </c>
      <c r="F89" s="92" t="b">
        <v>0</v>
      </c>
      <c r="G89" s="92" t="b">
        <v>0</v>
      </c>
    </row>
    <row r="90" spans="1:7" ht="15">
      <c r="A90" s="93" t="s">
        <v>945</v>
      </c>
      <c r="B90" s="92">
        <v>4</v>
      </c>
      <c r="C90" s="125">
        <v>0.004143347066697799</v>
      </c>
      <c r="D90" s="92" t="s">
        <v>1137</v>
      </c>
      <c r="E90" s="92" t="b">
        <v>0</v>
      </c>
      <c r="F90" s="92" t="b">
        <v>0</v>
      </c>
      <c r="G90" s="92" t="b">
        <v>0</v>
      </c>
    </row>
    <row r="91" spans="1:7" ht="15">
      <c r="A91" s="93" t="s">
        <v>946</v>
      </c>
      <c r="B91" s="92">
        <v>4</v>
      </c>
      <c r="C91" s="125">
        <v>0.004143347066697799</v>
      </c>
      <c r="D91" s="92" t="s">
        <v>1137</v>
      </c>
      <c r="E91" s="92" t="b">
        <v>1</v>
      </c>
      <c r="F91" s="92" t="b">
        <v>0</v>
      </c>
      <c r="G91" s="92" t="b">
        <v>0</v>
      </c>
    </row>
    <row r="92" spans="1:7" ht="15">
      <c r="A92" s="93" t="s">
        <v>947</v>
      </c>
      <c r="B92" s="92">
        <v>4</v>
      </c>
      <c r="C92" s="125">
        <v>0.004143347066697799</v>
      </c>
      <c r="D92" s="92" t="s">
        <v>1137</v>
      </c>
      <c r="E92" s="92" t="b">
        <v>0</v>
      </c>
      <c r="F92" s="92" t="b">
        <v>0</v>
      </c>
      <c r="G92" s="92" t="b">
        <v>0</v>
      </c>
    </row>
    <row r="93" spans="1:7" ht="15">
      <c r="A93" s="93" t="s">
        <v>948</v>
      </c>
      <c r="B93" s="92">
        <v>4</v>
      </c>
      <c r="C93" s="125">
        <v>0.004143347066697799</v>
      </c>
      <c r="D93" s="92" t="s">
        <v>1137</v>
      </c>
      <c r="E93" s="92" t="b">
        <v>0</v>
      </c>
      <c r="F93" s="92" t="b">
        <v>0</v>
      </c>
      <c r="G93" s="92" t="b">
        <v>0</v>
      </c>
    </row>
    <row r="94" spans="1:7" ht="15">
      <c r="A94" s="93" t="s">
        <v>949</v>
      </c>
      <c r="B94" s="92">
        <v>4</v>
      </c>
      <c r="C94" s="125">
        <v>0.004143347066697799</v>
      </c>
      <c r="D94" s="92" t="s">
        <v>1137</v>
      </c>
      <c r="E94" s="92" t="b">
        <v>0</v>
      </c>
      <c r="F94" s="92" t="b">
        <v>0</v>
      </c>
      <c r="G94" s="92" t="b">
        <v>0</v>
      </c>
    </row>
    <row r="95" spans="1:7" ht="15">
      <c r="A95" s="93" t="s">
        <v>950</v>
      </c>
      <c r="B95" s="92">
        <v>4</v>
      </c>
      <c r="C95" s="125">
        <v>0.004143347066697799</v>
      </c>
      <c r="D95" s="92" t="s">
        <v>1137</v>
      </c>
      <c r="E95" s="92" t="b">
        <v>0</v>
      </c>
      <c r="F95" s="92" t="b">
        <v>0</v>
      </c>
      <c r="G95" s="92" t="b">
        <v>0</v>
      </c>
    </row>
    <row r="96" spans="1:7" ht="15">
      <c r="A96" s="93" t="s">
        <v>951</v>
      </c>
      <c r="B96" s="92">
        <v>4</v>
      </c>
      <c r="C96" s="125">
        <v>0.004143347066697799</v>
      </c>
      <c r="D96" s="92" t="s">
        <v>1137</v>
      </c>
      <c r="E96" s="92" t="b">
        <v>0</v>
      </c>
      <c r="F96" s="92" t="b">
        <v>0</v>
      </c>
      <c r="G96" s="92" t="b">
        <v>0</v>
      </c>
    </row>
    <row r="97" spans="1:7" ht="15">
      <c r="A97" s="93" t="s">
        <v>952</v>
      </c>
      <c r="B97" s="92">
        <v>4</v>
      </c>
      <c r="C97" s="125">
        <v>0.004143347066697799</v>
      </c>
      <c r="D97" s="92" t="s">
        <v>1137</v>
      </c>
      <c r="E97" s="92" t="b">
        <v>0</v>
      </c>
      <c r="F97" s="92" t="b">
        <v>1</v>
      </c>
      <c r="G97" s="92" t="b">
        <v>0</v>
      </c>
    </row>
    <row r="98" spans="1:7" ht="15">
      <c r="A98" s="93" t="s">
        <v>953</v>
      </c>
      <c r="B98" s="92">
        <v>4</v>
      </c>
      <c r="C98" s="125">
        <v>0.004561902298216391</v>
      </c>
      <c r="D98" s="92" t="s">
        <v>1137</v>
      </c>
      <c r="E98" s="92" t="b">
        <v>0</v>
      </c>
      <c r="F98" s="92" t="b">
        <v>0</v>
      </c>
      <c r="G98" s="92" t="b">
        <v>0</v>
      </c>
    </row>
    <row r="99" spans="1:7" ht="15">
      <c r="A99" s="93" t="s">
        <v>954</v>
      </c>
      <c r="B99" s="92">
        <v>4</v>
      </c>
      <c r="C99" s="125">
        <v>0.004143347066697799</v>
      </c>
      <c r="D99" s="92" t="s">
        <v>1137</v>
      </c>
      <c r="E99" s="92" t="b">
        <v>0</v>
      </c>
      <c r="F99" s="92" t="b">
        <v>0</v>
      </c>
      <c r="G99" s="92" t="b">
        <v>0</v>
      </c>
    </row>
    <row r="100" spans="1:7" ht="15">
      <c r="A100" s="93" t="s">
        <v>955</v>
      </c>
      <c r="B100" s="92">
        <v>4</v>
      </c>
      <c r="C100" s="125">
        <v>0.005151822764064571</v>
      </c>
      <c r="D100" s="92" t="s">
        <v>1137</v>
      </c>
      <c r="E100" s="92" t="b">
        <v>0</v>
      </c>
      <c r="F100" s="92" t="b">
        <v>0</v>
      </c>
      <c r="G100" s="92" t="b">
        <v>0</v>
      </c>
    </row>
    <row r="101" spans="1:7" ht="15">
      <c r="A101" s="93" t="s">
        <v>956</v>
      </c>
      <c r="B101" s="92">
        <v>4</v>
      </c>
      <c r="C101" s="125">
        <v>0.004143347066697799</v>
      </c>
      <c r="D101" s="92" t="s">
        <v>1137</v>
      </c>
      <c r="E101" s="92" t="b">
        <v>0</v>
      </c>
      <c r="F101" s="92" t="b">
        <v>0</v>
      </c>
      <c r="G101" s="92" t="b">
        <v>0</v>
      </c>
    </row>
    <row r="102" spans="1:7" ht="15">
      <c r="A102" s="93" t="s">
        <v>957</v>
      </c>
      <c r="B102" s="92">
        <v>4</v>
      </c>
      <c r="C102" s="125">
        <v>0.004143347066697799</v>
      </c>
      <c r="D102" s="92" t="s">
        <v>1137</v>
      </c>
      <c r="E102" s="92" t="b">
        <v>1</v>
      </c>
      <c r="F102" s="92" t="b">
        <v>0</v>
      </c>
      <c r="G102" s="92" t="b">
        <v>0</v>
      </c>
    </row>
    <row r="103" spans="1:7" ht="15">
      <c r="A103" s="93" t="s">
        <v>728</v>
      </c>
      <c r="B103" s="92">
        <v>4</v>
      </c>
      <c r="C103" s="125">
        <v>0.004143347066697799</v>
      </c>
      <c r="D103" s="92" t="s">
        <v>1137</v>
      </c>
      <c r="E103" s="92" t="b">
        <v>0</v>
      </c>
      <c r="F103" s="92" t="b">
        <v>0</v>
      </c>
      <c r="G103" s="92" t="b">
        <v>0</v>
      </c>
    </row>
    <row r="104" spans="1:7" ht="15">
      <c r="A104" s="93" t="s">
        <v>729</v>
      </c>
      <c r="B104" s="92">
        <v>4</v>
      </c>
      <c r="C104" s="125">
        <v>0.004143347066697799</v>
      </c>
      <c r="D104" s="92" t="s">
        <v>1137</v>
      </c>
      <c r="E104" s="92" t="b">
        <v>0</v>
      </c>
      <c r="F104" s="92" t="b">
        <v>0</v>
      </c>
      <c r="G104" s="92" t="b">
        <v>0</v>
      </c>
    </row>
    <row r="105" spans="1:7" ht="15">
      <c r="A105" s="93" t="s">
        <v>715</v>
      </c>
      <c r="B105" s="92">
        <v>4</v>
      </c>
      <c r="C105" s="125">
        <v>0.006160298461431341</v>
      </c>
      <c r="D105" s="92" t="s">
        <v>1137</v>
      </c>
      <c r="E105" s="92" t="b">
        <v>0</v>
      </c>
      <c r="F105" s="92" t="b">
        <v>0</v>
      </c>
      <c r="G105" s="92" t="b">
        <v>0</v>
      </c>
    </row>
    <row r="106" spans="1:7" ht="15">
      <c r="A106" s="93" t="s">
        <v>717</v>
      </c>
      <c r="B106" s="92">
        <v>4</v>
      </c>
      <c r="C106" s="125">
        <v>0.004143347066697799</v>
      </c>
      <c r="D106" s="92" t="s">
        <v>1137</v>
      </c>
      <c r="E106" s="92" t="b">
        <v>0</v>
      </c>
      <c r="F106" s="92" t="b">
        <v>0</v>
      </c>
      <c r="G106" s="92" t="b">
        <v>0</v>
      </c>
    </row>
    <row r="107" spans="1:7" ht="15">
      <c r="A107" s="93" t="s">
        <v>958</v>
      </c>
      <c r="B107" s="92">
        <v>4</v>
      </c>
      <c r="C107" s="125">
        <v>0.004143347066697799</v>
      </c>
      <c r="D107" s="92" t="s">
        <v>1137</v>
      </c>
      <c r="E107" s="92" t="b">
        <v>1</v>
      </c>
      <c r="F107" s="92" t="b">
        <v>0</v>
      </c>
      <c r="G107" s="92" t="b">
        <v>0</v>
      </c>
    </row>
    <row r="108" spans="1:7" ht="15">
      <c r="A108" s="93" t="s">
        <v>959</v>
      </c>
      <c r="B108" s="92">
        <v>4</v>
      </c>
      <c r="C108" s="125">
        <v>0.004143347066697799</v>
      </c>
      <c r="D108" s="92" t="s">
        <v>1137</v>
      </c>
      <c r="E108" s="92" t="b">
        <v>0</v>
      </c>
      <c r="F108" s="92" t="b">
        <v>0</v>
      </c>
      <c r="G108" s="92" t="b">
        <v>0</v>
      </c>
    </row>
    <row r="109" spans="1:7" ht="15">
      <c r="A109" s="93" t="s">
        <v>960</v>
      </c>
      <c r="B109" s="92">
        <v>4</v>
      </c>
      <c r="C109" s="125">
        <v>0.004143347066697799</v>
      </c>
      <c r="D109" s="92" t="s">
        <v>1137</v>
      </c>
      <c r="E109" s="92" t="b">
        <v>0</v>
      </c>
      <c r="F109" s="92" t="b">
        <v>0</v>
      </c>
      <c r="G109" s="92" t="b">
        <v>0</v>
      </c>
    </row>
    <row r="110" spans="1:7" ht="15">
      <c r="A110" s="93" t="s">
        <v>961</v>
      </c>
      <c r="B110" s="92">
        <v>4</v>
      </c>
      <c r="C110" s="125">
        <v>0.004143347066697799</v>
      </c>
      <c r="D110" s="92" t="s">
        <v>1137</v>
      </c>
      <c r="E110" s="92" t="b">
        <v>0</v>
      </c>
      <c r="F110" s="92" t="b">
        <v>0</v>
      </c>
      <c r="G110" s="92" t="b">
        <v>0</v>
      </c>
    </row>
    <row r="111" spans="1:7" ht="15">
      <c r="A111" s="93" t="s">
        <v>962</v>
      </c>
      <c r="B111" s="92">
        <v>4</v>
      </c>
      <c r="C111" s="125">
        <v>0.004143347066697799</v>
      </c>
      <c r="D111" s="92" t="s">
        <v>1137</v>
      </c>
      <c r="E111" s="92" t="b">
        <v>1</v>
      </c>
      <c r="F111" s="92" t="b">
        <v>0</v>
      </c>
      <c r="G111" s="92" t="b">
        <v>0</v>
      </c>
    </row>
    <row r="112" spans="1:7" ht="15">
      <c r="A112" s="93" t="s">
        <v>963</v>
      </c>
      <c r="B112" s="92">
        <v>4</v>
      </c>
      <c r="C112" s="125">
        <v>0.004143347066697799</v>
      </c>
      <c r="D112" s="92" t="s">
        <v>1137</v>
      </c>
      <c r="E112" s="92" t="b">
        <v>0</v>
      </c>
      <c r="F112" s="92" t="b">
        <v>0</v>
      </c>
      <c r="G112" s="92" t="b">
        <v>0</v>
      </c>
    </row>
    <row r="113" spans="1:7" ht="15">
      <c r="A113" s="93" t="s">
        <v>964</v>
      </c>
      <c r="B113" s="92">
        <v>4</v>
      </c>
      <c r="C113" s="125">
        <v>0.004143347066697799</v>
      </c>
      <c r="D113" s="92" t="s">
        <v>1137</v>
      </c>
      <c r="E113" s="92" t="b">
        <v>0</v>
      </c>
      <c r="F113" s="92" t="b">
        <v>0</v>
      </c>
      <c r="G113" s="92" t="b">
        <v>0</v>
      </c>
    </row>
    <row r="114" spans="1:7" ht="15">
      <c r="A114" s="93" t="s">
        <v>965</v>
      </c>
      <c r="B114" s="92">
        <v>4</v>
      </c>
      <c r="C114" s="125">
        <v>0.004143347066697799</v>
      </c>
      <c r="D114" s="92" t="s">
        <v>1137</v>
      </c>
      <c r="E114" s="92" t="b">
        <v>0</v>
      </c>
      <c r="F114" s="92" t="b">
        <v>0</v>
      </c>
      <c r="G114" s="92" t="b">
        <v>0</v>
      </c>
    </row>
    <row r="115" spans="1:7" ht="15">
      <c r="A115" s="93" t="s">
        <v>966</v>
      </c>
      <c r="B115" s="92">
        <v>4</v>
      </c>
      <c r="C115" s="125">
        <v>0.004143347066697799</v>
      </c>
      <c r="D115" s="92" t="s">
        <v>1137</v>
      </c>
      <c r="E115" s="92" t="b">
        <v>0</v>
      </c>
      <c r="F115" s="92" t="b">
        <v>0</v>
      </c>
      <c r="G115" s="92" t="b">
        <v>0</v>
      </c>
    </row>
    <row r="116" spans="1:7" ht="15">
      <c r="A116" s="93" t="s">
        <v>967</v>
      </c>
      <c r="B116" s="92">
        <v>4</v>
      </c>
      <c r="C116" s="125">
        <v>0.004143347066697799</v>
      </c>
      <c r="D116" s="92" t="s">
        <v>1137</v>
      </c>
      <c r="E116" s="92" t="b">
        <v>1</v>
      </c>
      <c r="F116" s="92" t="b">
        <v>0</v>
      </c>
      <c r="G116" s="92" t="b">
        <v>0</v>
      </c>
    </row>
    <row r="117" spans="1:7" ht="15">
      <c r="A117" s="93" t="s">
        <v>968</v>
      </c>
      <c r="B117" s="92">
        <v>4</v>
      </c>
      <c r="C117" s="125">
        <v>0.004143347066697799</v>
      </c>
      <c r="D117" s="92" t="s">
        <v>1137</v>
      </c>
      <c r="E117" s="92" t="b">
        <v>0</v>
      </c>
      <c r="F117" s="92" t="b">
        <v>0</v>
      </c>
      <c r="G117" s="92" t="b">
        <v>0</v>
      </c>
    </row>
    <row r="118" spans="1:7" ht="15">
      <c r="A118" s="93" t="s">
        <v>969</v>
      </c>
      <c r="B118" s="92">
        <v>4</v>
      </c>
      <c r="C118" s="125">
        <v>0.004143347066697799</v>
      </c>
      <c r="D118" s="92" t="s">
        <v>1137</v>
      </c>
      <c r="E118" s="92" t="b">
        <v>0</v>
      </c>
      <c r="F118" s="92" t="b">
        <v>0</v>
      </c>
      <c r="G118" s="92" t="b">
        <v>0</v>
      </c>
    </row>
    <row r="119" spans="1:7" ht="15">
      <c r="A119" s="93" t="s">
        <v>970</v>
      </c>
      <c r="B119" s="92">
        <v>4</v>
      </c>
      <c r="C119" s="125">
        <v>0.004143347066697799</v>
      </c>
      <c r="D119" s="92" t="s">
        <v>1137</v>
      </c>
      <c r="E119" s="92" t="b">
        <v>0</v>
      </c>
      <c r="F119" s="92" t="b">
        <v>0</v>
      </c>
      <c r="G119" s="92" t="b">
        <v>0</v>
      </c>
    </row>
    <row r="120" spans="1:7" ht="15">
      <c r="A120" s="93" t="s">
        <v>971</v>
      </c>
      <c r="B120" s="92">
        <v>4</v>
      </c>
      <c r="C120" s="125">
        <v>0.004143347066697799</v>
      </c>
      <c r="D120" s="92" t="s">
        <v>1137</v>
      </c>
      <c r="E120" s="92" t="b">
        <v>0</v>
      </c>
      <c r="F120" s="92" t="b">
        <v>0</v>
      </c>
      <c r="G120" s="92" t="b">
        <v>0</v>
      </c>
    </row>
    <row r="121" spans="1:7" ht="15">
      <c r="A121" s="93" t="s">
        <v>972</v>
      </c>
      <c r="B121" s="92">
        <v>3</v>
      </c>
      <c r="C121" s="125">
        <v>0.0034214267236622937</v>
      </c>
      <c r="D121" s="92" t="s">
        <v>1137</v>
      </c>
      <c r="E121" s="92" t="b">
        <v>1</v>
      </c>
      <c r="F121" s="92" t="b">
        <v>0</v>
      </c>
      <c r="G121" s="92" t="b">
        <v>0</v>
      </c>
    </row>
    <row r="122" spans="1:7" ht="15">
      <c r="A122" s="93" t="s">
        <v>973</v>
      </c>
      <c r="B122" s="92">
        <v>3</v>
      </c>
      <c r="C122" s="125">
        <v>0.0034214267236622937</v>
      </c>
      <c r="D122" s="92" t="s">
        <v>1137</v>
      </c>
      <c r="E122" s="92" t="b">
        <v>0</v>
      </c>
      <c r="F122" s="92" t="b">
        <v>0</v>
      </c>
      <c r="G122" s="92" t="b">
        <v>0</v>
      </c>
    </row>
    <row r="123" spans="1:7" ht="15">
      <c r="A123" s="93" t="s">
        <v>974</v>
      </c>
      <c r="B123" s="92">
        <v>3</v>
      </c>
      <c r="C123" s="125">
        <v>0.0034214267236622937</v>
      </c>
      <c r="D123" s="92" t="s">
        <v>1137</v>
      </c>
      <c r="E123" s="92" t="b">
        <v>0</v>
      </c>
      <c r="F123" s="92" t="b">
        <v>0</v>
      </c>
      <c r="G123" s="92" t="b">
        <v>0</v>
      </c>
    </row>
    <row r="124" spans="1:7" ht="15">
      <c r="A124" s="93" t="s">
        <v>975</v>
      </c>
      <c r="B124" s="92">
        <v>3</v>
      </c>
      <c r="C124" s="125">
        <v>0.0034214267236622937</v>
      </c>
      <c r="D124" s="92" t="s">
        <v>1137</v>
      </c>
      <c r="E124" s="92" t="b">
        <v>0</v>
      </c>
      <c r="F124" s="92" t="b">
        <v>0</v>
      </c>
      <c r="G124" s="92" t="b">
        <v>0</v>
      </c>
    </row>
    <row r="125" spans="1:7" ht="15">
      <c r="A125" s="93" t="s">
        <v>976</v>
      </c>
      <c r="B125" s="92">
        <v>3</v>
      </c>
      <c r="C125" s="125">
        <v>0.0034214267236622937</v>
      </c>
      <c r="D125" s="92" t="s">
        <v>1137</v>
      </c>
      <c r="E125" s="92" t="b">
        <v>0</v>
      </c>
      <c r="F125" s="92" t="b">
        <v>0</v>
      </c>
      <c r="G125" s="92" t="b">
        <v>0</v>
      </c>
    </row>
    <row r="126" spans="1:7" ht="15">
      <c r="A126" s="93" t="s">
        <v>977</v>
      </c>
      <c r="B126" s="92">
        <v>3</v>
      </c>
      <c r="C126" s="125">
        <v>0.0034214267236622937</v>
      </c>
      <c r="D126" s="92" t="s">
        <v>1137</v>
      </c>
      <c r="E126" s="92" t="b">
        <v>0</v>
      </c>
      <c r="F126" s="92" t="b">
        <v>0</v>
      </c>
      <c r="G126" s="92" t="b">
        <v>0</v>
      </c>
    </row>
    <row r="127" spans="1:7" ht="15">
      <c r="A127" s="93" t="s">
        <v>978</v>
      </c>
      <c r="B127" s="92">
        <v>3</v>
      </c>
      <c r="C127" s="125">
        <v>0.0034214267236622937</v>
      </c>
      <c r="D127" s="92" t="s">
        <v>1137</v>
      </c>
      <c r="E127" s="92" t="b">
        <v>0</v>
      </c>
      <c r="F127" s="92" t="b">
        <v>0</v>
      </c>
      <c r="G127" s="92" t="b">
        <v>0</v>
      </c>
    </row>
    <row r="128" spans="1:7" ht="15">
      <c r="A128" s="93" t="s">
        <v>979</v>
      </c>
      <c r="B128" s="92">
        <v>3</v>
      </c>
      <c r="C128" s="125">
        <v>0.0034214267236622937</v>
      </c>
      <c r="D128" s="92" t="s">
        <v>1137</v>
      </c>
      <c r="E128" s="92" t="b">
        <v>0</v>
      </c>
      <c r="F128" s="92" t="b">
        <v>0</v>
      </c>
      <c r="G128" s="92" t="b">
        <v>0</v>
      </c>
    </row>
    <row r="129" spans="1:7" ht="15">
      <c r="A129" s="93" t="s">
        <v>980</v>
      </c>
      <c r="B129" s="92">
        <v>3</v>
      </c>
      <c r="C129" s="125">
        <v>0.0034214267236622937</v>
      </c>
      <c r="D129" s="92" t="s">
        <v>1137</v>
      </c>
      <c r="E129" s="92" t="b">
        <v>0</v>
      </c>
      <c r="F129" s="92" t="b">
        <v>0</v>
      </c>
      <c r="G129" s="92" t="b">
        <v>0</v>
      </c>
    </row>
    <row r="130" spans="1:7" ht="15">
      <c r="A130" s="93" t="s">
        <v>981</v>
      </c>
      <c r="B130" s="92">
        <v>3</v>
      </c>
      <c r="C130" s="125">
        <v>0.0034214267236622937</v>
      </c>
      <c r="D130" s="92" t="s">
        <v>1137</v>
      </c>
      <c r="E130" s="92" t="b">
        <v>0</v>
      </c>
      <c r="F130" s="92" t="b">
        <v>0</v>
      </c>
      <c r="G130" s="92" t="b">
        <v>0</v>
      </c>
    </row>
    <row r="131" spans="1:7" ht="15">
      <c r="A131" s="93" t="s">
        <v>982</v>
      </c>
      <c r="B131" s="92">
        <v>3</v>
      </c>
      <c r="C131" s="125">
        <v>0.0034214267236622937</v>
      </c>
      <c r="D131" s="92" t="s">
        <v>1137</v>
      </c>
      <c r="E131" s="92" t="b">
        <v>0</v>
      </c>
      <c r="F131" s="92" t="b">
        <v>0</v>
      </c>
      <c r="G131" s="92" t="b">
        <v>0</v>
      </c>
    </row>
    <row r="132" spans="1:7" ht="15">
      <c r="A132" s="93" t="s">
        <v>983</v>
      </c>
      <c r="B132" s="92">
        <v>3</v>
      </c>
      <c r="C132" s="125">
        <v>0.0034214267236622937</v>
      </c>
      <c r="D132" s="92" t="s">
        <v>1137</v>
      </c>
      <c r="E132" s="92" t="b">
        <v>0</v>
      </c>
      <c r="F132" s="92" t="b">
        <v>1</v>
      </c>
      <c r="G132" s="92" t="b">
        <v>0</v>
      </c>
    </row>
    <row r="133" spans="1:7" ht="15">
      <c r="A133" s="93" t="s">
        <v>984</v>
      </c>
      <c r="B133" s="92">
        <v>3</v>
      </c>
      <c r="C133" s="125">
        <v>0.0034214267236622937</v>
      </c>
      <c r="D133" s="92" t="s">
        <v>1137</v>
      </c>
      <c r="E133" s="92" t="b">
        <v>0</v>
      </c>
      <c r="F133" s="92" t="b">
        <v>0</v>
      </c>
      <c r="G133" s="92" t="b">
        <v>0</v>
      </c>
    </row>
    <row r="134" spans="1:7" ht="15">
      <c r="A134" s="93" t="s">
        <v>985</v>
      </c>
      <c r="B134" s="92">
        <v>3</v>
      </c>
      <c r="C134" s="125">
        <v>0.0034214267236622937</v>
      </c>
      <c r="D134" s="92" t="s">
        <v>1137</v>
      </c>
      <c r="E134" s="92" t="b">
        <v>1</v>
      </c>
      <c r="F134" s="92" t="b">
        <v>0</v>
      </c>
      <c r="G134" s="92" t="b">
        <v>0</v>
      </c>
    </row>
    <row r="135" spans="1:7" ht="15">
      <c r="A135" s="93" t="s">
        <v>734</v>
      </c>
      <c r="B135" s="92">
        <v>3</v>
      </c>
      <c r="C135" s="125">
        <v>0.0034214267236622937</v>
      </c>
      <c r="D135" s="92" t="s">
        <v>1137</v>
      </c>
      <c r="E135" s="92" t="b">
        <v>0</v>
      </c>
      <c r="F135" s="92" t="b">
        <v>0</v>
      </c>
      <c r="G135" s="92" t="b">
        <v>0</v>
      </c>
    </row>
    <row r="136" spans="1:7" ht="15">
      <c r="A136" s="93" t="s">
        <v>730</v>
      </c>
      <c r="B136" s="92">
        <v>3</v>
      </c>
      <c r="C136" s="125">
        <v>0.0034214267236622937</v>
      </c>
      <c r="D136" s="92" t="s">
        <v>1137</v>
      </c>
      <c r="E136" s="92" t="b">
        <v>0</v>
      </c>
      <c r="F136" s="92" t="b">
        <v>0</v>
      </c>
      <c r="G136" s="92" t="b">
        <v>0</v>
      </c>
    </row>
    <row r="137" spans="1:7" ht="15">
      <c r="A137" s="93" t="s">
        <v>986</v>
      </c>
      <c r="B137" s="92">
        <v>3</v>
      </c>
      <c r="C137" s="125">
        <v>0.0034214267236622937</v>
      </c>
      <c r="D137" s="92" t="s">
        <v>1137</v>
      </c>
      <c r="E137" s="92" t="b">
        <v>0</v>
      </c>
      <c r="F137" s="92" t="b">
        <v>0</v>
      </c>
      <c r="G137" s="92" t="b">
        <v>0</v>
      </c>
    </row>
    <row r="138" spans="1:7" ht="15">
      <c r="A138" s="93" t="s">
        <v>987</v>
      </c>
      <c r="B138" s="92">
        <v>3</v>
      </c>
      <c r="C138" s="125">
        <v>0.0034214267236622937</v>
      </c>
      <c r="D138" s="92" t="s">
        <v>1137</v>
      </c>
      <c r="E138" s="92" t="b">
        <v>1</v>
      </c>
      <c r="F138" s="92" t="b">
        <v>0</v>
      </c>
      <c r="G138" s="92" t="b">
        <v>0</v>
      </c>
    </row>
    <row r="139" spans="1:7" ht="15">
      <c r="A139" s="93" t="s">
        <v>988</v>
      </c>
      <c r="B139" s="92">
        <v>2</v>
      </c>
      <c r="C139" s="125">
        <v>0.0025759113820322853</v>
      </c>
      <c r="D139" s="92" t="s">
        <v>1137</v>
      </c>
      <c r="E139" s="92" t="b">
        <v>0</v>
      </c>
      <c r="F139" s="92" t="b">
        <v>0</v>
      </c>
      <c r="G139" s="92" t="b">
        <v>0</v>
      </c>
    </row>
    <row r="140" spans="1:7" ht="15">
      <c r="A140" s="93" t="s">
        <v>989</v>
      </c>
      <c r="B140" s="92">
        <v>2</v>
      </c>
      <c r="C140" s="125">
        <v>0.0025759113820322853</v>
      </c>
      <c r="D140" s="92" t="s">
        <v>1137</v>
      </c>
      <c r="E140" s="92" t="b">
        <v>0</v>
      </c>
      <c r="F140" s="92" t="b">
        <v>0</v>
      </c>
      <c r="G140" s="92" t="b">
        <v>0</v>
      </c>
    </row>
    <row r="141" spans="1:7" ht="15">
      <c r="A141" s="93" t="s">
        <v>990</v>
      </c>
      <c r="B141" s="92">
        <v>2</v>
      </c>
      <c r="C141" s="125">
        <v>0.0025759113820322853</v>
      </c>
      <c r="D141" s="92" t="s">
        <v>1137</v>
      </c>
      <c r="E141" s="92" t="b">
        <v>0</v>
      </c>
      <c r="F141" s="92" t="b">
        <v>0</v>
      </c>
      <c r="G141" s="92" t="b">
        <v>0</v>
      </c>
    </row>
    <row r="142" spans="1:7" ht="15">
      <c r="A142" s="93" t="s">
        <v>991</v>
      </c>
      <c r="B142" s="92">
        <v>2</v>
      </c>
      <c r="C142" s="125">
        <v>0.0025759113820322853</v>
      </c>
      <c r="D142" s="92" t="s">
        <v>1137</v>
      </c>
      <c r="E142" s="92" t="b">
        <v>0</v>
      </c>
      <c r="F142" s="92" t="b">
        <v>0</v>
      </c>
      <c r="G142" s="92" t="b">
        <v>0</v>
      </c>
    </row>
    <row r="143" spans="1:7" ht="15">
      <c r="A143" s="93" t="s">
        <v>992</v>
      </c>
      <c r="B143" s="92">
        <v>2</v>
      </c>
      <c r="C143" s="125">
        <v>0.0025759113820322853</v>
      </c>
      <c r="D143" s="92" t="s">
        <v>1137</v>
      </c>
      <c r="E143" s="92" t="b">
        <v>0</v>
      </c>
      <c r="F143" s="92" t="b">
        <v>0</v>
      </c>
      <c r="G143" s="92" t="b">
        <v>0</v>
      </c>
    </row>
    <row r="144" spans="1:7" ht="15">
      <c r="A144" s="93" t="s">
        <v>993</v>
      </c>
      <c r="B144" s="92">
        <v>2</v>
      </c>
      <c r="C144" s="125">
        <v>0.0025759113820322853</v>
      </c>
      <c r="D144" s="92" t="s">
        <v>1137</v>
      </c>
      <c r="E144" s="92" t="b">
        <v>0</v>
      </c>
      <c r="F144" s="92" t="b">
        <v>1</v>
      </c>
      <c r="G144" s="92" t="b">
        <v>0</v>
      </c>
    </row>
    <row r="145" spans="1:7" ht="15">
      <c r="A145" s="93" t="s">
        <v>994</v>
      </c>
      <c r="B145" s="92">
        <v>2</v>
      </c>
      <c r="C145" s="125">
        <v>0.0025759113820322853</v>
      </c>
      <c r="D145" s="92" t="s">
        <v>1137</v>
      </c>
      <c r="E145" s="92" t="b">
        <v>0</v>
      </c>
      <c r="F145" s="92" t="b">
        <v>0</v>
      </c>
      <c r="G145" s="92" t="b">
        <v>0</v>
      </c>
    </row>
    <row r="146" spans="1:7" ht="15">
      <c r="A146" s="93" t="s">
        <v>995</v>
      </c>
      <c r="B146" s="92">
        <v>2</v>
      </c>
      <c r="C146" s="125">
        <v>0.0025759113820322853</v>
      </c>
      <c r="D146" s="92" t="s">
        <v>1137</v>
      </c>
      <c r="E146" s="92" t="b">
        <v>0</v>
      </c>
      <c r="F146" s="92" t="b">
        <v>0</v>
      </c>
      <c r="G146" s="92" t="b">
        <v>0</v>
      </c>
    </row>
    <row r="147" spans="1:7" ht="15">
      <c r="A147" s="93" t="s">
        <v>996</v>
      </c>
      <c r="B147" s="92">
        <v>2</v>
      </c>
      <c r="C147" s="125">
        <v>0.0025759113820322853</v>
      </c>
      <c r="D147" s="92" t="s">
        <v>1137</v>
      </c>
      <c r="E147" s="92" t="b">
        <v>1</v>
      </c>
      <c r="F147" s="92" t="b">
        <v>0</v>
      </c>
      <c r="G147" s="92" t="b">
        <v>0</v>
      </c>
    </row>
    <row r="148" spans="1:7" ht="15">
      <c r="A148" s="93" t="s">
        <v>997</v>
      </c>
      <c r="B148" s="92">
        <v>2</v>
      </c>
      <c r="C148" s="125">
        <v>0.0025759113820322853</v>
      </c>
      <c r="D148" s="92" t="s">
        <v>1137</v>
      </c>
      <c r="E148" s="92" t="b">
        <v>0</v>
      </c>
      <c r="F148" s="92" t="b">
        <v>0</v>
      </c>
      <c r="G148" s="92" t="b">
        <v>0</v>
      </c>
    </row>
    <row r="149" spans="1:7" ht="15">
      <c r="A149" s="93" t="s">
        <v>998</v>
      </c>
      <c r="B149" s="92">
        <v>2</v>
      </c>
      <c r="C149" s="125">
        <v>0.0025759113820322853</v>
      </c>
      <c r="D149" s="92" t="s">
        <v>1137</v>
      </c>
      <c r="E149" s="92" t="b">
        <v>0</v>
      </c>
      <c r="F149" s="92" t="b">
        <v>0</v>
      </c>
      <c r="G149" s="92" t="b">
        <v>0</v>
      </c>
    </row>
    <row r="150" spans="1:7" ht="15">
      <c r="A150" s="93" t="s">
        <v>999</v>
      </c>
      <c r="B150" s="92">
        <v>2</v>
      </c>
      <c r="C150" s="125">
        <v>0.0025759113820322853</v>
      </c>
      <c r="D150" s="92" t="s">
        <v>1137</v>
      </c>
      <c r="E150" s="92" t="b">
        <v>1</v>
      </c>
      <c r="F150" s="92" t="b">
        <v>0</v>
      </c>
      <c r="G150" s="92" t="b">
        <v>0</v>
      </c>
    </row>
    <row r="151" spans="1:7" ht="15">
      <c r="A151" s="93" t="s">
        <v>1000</v>
      </c>
      <c r="B151" s="92">
        <v>2</v>
      </c>
      <c r="C151" s="125">
        <v>0.0025759113820322853</v>
      </c>
      <c r="D151" s="92" t="s">
        <v>1137</v>
      </c>
      <c r="E151" s="92" t="b">
        <v>0</v>
      </c>
      <c r="F151" s="92" t="b">
        <v>1</v>
      </c>
      <c r="G151" s="92" t="b">
        <v>0</v>
      </c>
    </row>
    <row r="152" spans="1:7" ht="15">
      <c r="A152" s="93" t="s">
        <v>1001</v>
      </c>
      <c r="B152" s="92">
        <v>2</v>
      </c>
      <c r="C152" s="125">
        <v>0.0025759113820322853</v>
      </c>
      <c r="D152" s="92" t="s">
        <v>1137</v>
      </c>
      <c r="E152" s="92" t="b">
        <v>0</v>
      </c>
      <c r="F152" s="92" t="b">
        <v>0</v>
      </c>
      <c r="G152" s="92" t="b">
        <v>0</v>
      </c>
    </row>
    <row r="153" spans="1:7" ht="15">
      <c r="A153" s="93" t="s">
        <v>282</v>
      </c>
      <c r="B153" s="92">
        <v>2</v>
      </c>
      <c r="C153" s="125">
        <v>0.0025759113820322853</v>
      </c>
      <c r="D153" s="92" t="s">
        <v>1137</v>
      </c>
      <c r="E153" s="92" t="b">
        <v>0</v>
      </c>
      <c r="F153" s="92" t="b">
        <v>0</v>
      </c>
      <c r="G153" s="92" t="b">
        <v>0</v>
      </c>
    </row>
    <row r="154" spans="1:7" ht="15">
      <c r="A154" s="93" t="s">
        <v>1002</v>
      </c>
      <c r="B154" s="92">
        <v>2</v>
      </c>
      <c r="C154" s="125">
        <v>0.0025759113820322853</v>
      </c>
      <c r="D154" s="92" t="s">
        <v>1137</v>
      </c>
      <c r="E154" s="92" t="b">
        <v>0</v>
      </c>
      <c r="F154" s="92" t="b">
        <v>0</v>
      </c>
      <c r="G154" s="92" t="b">
        <v>0</v>
      </c>
    </row>
    <row r="155" spans="1:7" ht="15">
      <c r="A155" s="93" t="s">
        <v>1003</v>
      </c>
      <c r="B155" s="92">
        <v>2</v>
      </c>
      <c r="C155" s="125">
        <v>0.0025759113820322853</v>
      </c>
      <c r="D155" s="92" t="s">
        <v>1137</v>
      </c>
      <c r="E155" s="92" t="b">
        <v>0</v>
      </c>
      <c r="F155" s="92" t="b">
        <v>0</v>
      </c>
      <c r="G155" s="92" t="b">
        <v>0</v>
      </c>
    </row>
    <row r="156" spans="1:7" ht="15">
      <c r="A156" s="93" t="s">
        <v>1004</v>
      </c>
      <c r="B156" s="92">
        <v>2</v>
      </c>
      <c r="C156" s="125">
        <v>0.0025759113820322853</v>
      </c>
      <c r="D156" s="92" t="s">
        <v>1137</v>
      </c>
      <c r="E156" s="92" t="b">
        <v>0</v>
      </c>
      <c r="F156" s="92" t="b">
        <v>0</v>
      </c>
      <c r="G156" s="92" t="b">
        <v>0</v>
      </c>
    </row>
    <row r="157" spans="1:7" ht="15">
      <c r="A157" s="93" t="s">
        <v>1005</v>
      </c>
      <c r="B157" s="92">
        <v>2</v>
      </c>
      <c r="C157" s="125">
        <v>0.0025759113820322853</v>
      </c>
      <c r="D157" s="92" t="s">
        <v>1137</v>
      </c>
      <c r="E157" s="92" t="b">
        <v>0</v>
      </c>
      <c r="F157" s="92" t="b">
        <v>0</v>
      </c>
      <c r="G157" s="92" t="b">
        <v>0</v>
      </c>
    </row>
    <row r="158" spans="1:7" ht="15">
      <c r="A158" s="93" t="s">
        <v>1006</v>
      </c>
      <c r="B158" s="92">
        <v>2</v>
      </c>
      <c r="C158" s="125">
        <v>0.0025759113820322853</v>
      </c>
      <c r="D158" s="92" t="s">
        <v>1137</v>
      </c>
      <c r="E158" s="92" t="b">
        <v>0</v>
      </c>
      <c r="F158" s="92" t="b">
        <v>0</v>
      </c>
      <c r="G158" s="92" t="b">
        <v>0</v>
      </c>
    </row>
    <row r="159" spans="1:7" ht="15">
      <c r="A159" s="93" t="s">
        <v>1007</v>
      </c>
      <c r="B159" s="92">
        <v>2</v>
      </c>
      <c r="C159" s="125">
        <v>0.0025759113820322853</v>
      </c>
      <c r="D159" s="92" t="s">
        <v>1137</v>
      </c>
      <c r="E159" s="92" t="b">
        <v>0</v>
      </c>
      <c r="F159" s="92" t="b">
        <v>0</v>
      </c>
      <c r="G159" s="92" t="b">
        <v>0</v>
      </c>
    </row>
    <row r="160" spans="1:7" ht="15">
      <c r="A160" s="93" t="s">
        <v>1008</v>
      </c>
      <c r="B160" s="92">
        <v>2</v>
      </c>
      <c r="C160" s="125">
        <v>0.0025759113820322853</v>
      </c>
      <c r="D160" s="92" t="s">
        <v>1137</v>
      </c>
      <c r="E160" s="92" t="b">
        <v>0</v>
      </c>
      <c r="F160" s="92" t="b">
        <v>0</v>
      </c>
      <c r="G160" s="92" t="b">
        <v>0</v>
      </c>
    </row>
    <row r="161" spans="1:7" ht="15">
      <c r="A161" s="93" t="s">
        <v>1009</v>
      </c>
      <c r="B161" s="92">
        <v>2</v>
      </c>
      <c r="C161" s="125">
        <v>0.0025759113820322853</v>
      </c>
      <c r="D161" s="92" t="s">
        <v>1137</v>
      </c>
      <c r="E161" s="92" t="b">
        <v>0</v>
      </c>
      <c r="F161" s="92" t="b">
        <v>1</v>
      </c>
      <c r="G161" s="92" t="b">
        <v>0</v>
      </c>
    </row>
    <row r="162" spans="1:7" ht="15">
      <c r="A162" s="93" t="s">
        <v>1010</v>
      </c>
      <c r="B162" s="92">
        <v>2</v>
      </c>
      <c r="C162" s="125">
        <v>0.0025759113820322853</v>
      </c>
      <c r="D162" s="92" t="s">
        <v>1137</v>
      </c>
      <c r="E162" s="92" t="b">
        <v>0</v>
      </c>
      <c r="F162" s="92" t="b">
        <v>0</v>
      </c>
      <c r="G162" s="92" t="b">
        <v>0</v>
      </c>
    </row>
    <row r="163" spans="1:7" ht="15">
      <c r="A163" s="93" t="s">
        <v>1011</v>
      </c>
      <c r="B163" s="92">
        <v>2</v>
      </c>
      <c r="C163" s="125">
        <v>0.0025759113820322853</v>
      </c>
      <c r="D163" s="92" t="s">
        <v>1137</v>
      </c>
      <c r="E163" s="92" t="b">
        <v>0</v>
      </c>
      <c r="F163" s="92" t="b">
        <v>0</v>
      </c>
      <c r="G163" s="92" t="b">
        <v>0</v>
      </c>
    </row>
    <row r="164" spans="1:7" ht="15">
      <c r="A164" s="93" t="s">
        <v>1012</v>
      </c>
      <c r="B164" s="92">
        <v>2</v>
      </c>
      <c r="C164" s="125">
        <v>0.0025759113820322853</v>
      </c>
      <c r="D164" s="92" t="s">
        <v>1137</v>
      </c>
      <c r="E164" s="92" t="b">
        <v>0</v>
      </c>
      <c r="F164" s="92" t="b">
        <v>0</v>
      </c>
      <c r="G164" s="92" t="b">
        <v>0</v>
      </c>
    </row>
    <row r="165" spans="1:7" ht="15">
      <c r="A165" s="93" t="s">
        <v>1013</v>
      </c>
      <c r="B165" s="92">
        <v>2</v>
      </c>
      <c r="C165" s="125">
        <v>0.0025759113820322853</v>
      </c>
      <c r="D165" s="92" t="s">
        <v>1137</v>
      </c>
      <c r="E165" s="92" t="b">
        <v>0</v>
      </c>
      <c r="F165" s="92" t="b">
        <v>0</v>
      </c>
      <c r="G165" s="92" t="b">
        <v>0</v>
      </c>
    </row>
    <row r="166" spans="1:7" ht="15">
      <c r="A166" s="93" t="s">
        <v>1014</v>
      </c>
      <c r="B166" s="92">
        <v>2</v>
      </c>
      <c r="C166" s="125">
        <v>0.0025759113820322853</v>
      </c>
      <c r="D166" s="92" t="s">
        <v>1137</v>
      </c>
      <c r="E166" s="92" t="b">
        <v>0</v>
      </c>
      <c r="F166" s="92" t="b">
        <v>0</v>
      </c>
      <c r="G166" s="92" t="b">
        <v>0</v>
      </c>
    </row>
    <row r="167" spans="1:7" ht="15">
      <c r="A167" s="93" t="s">
        <v>1015</v>
      </c>
      <c r="B167" s="92">
        <v>2</v>
      </c>
      <c r="C167" s="125">
        <v>0.0025759113820322853</v>
      </c>
      <c r="D167" s="92" t="s">
        <v>1137</v>
      </c>
      <c r="E167" s="92" t="b">
        <v>0</v>
      </c>
      <c r="F167" s="92" t="b">
        <v>0</v>
      </c>
      <c r="G167" s="92" t="b">
        <v>0</v>
      </c>
    </row>
    <row r="168" spans="1:7" ht="15">
      <c r="A168" s="93" t="s">
        <v>1016</v>
      </c>
      <c r="B168" s="92">
        <v>2</v>
      </c>
      <c r="C168" s="125">
        <v>0.0025759113820322853</v>
      </c>
      <c r="D168" s="92" t="s">
        <v>1137</v>
      </c>
      <c r="E168" s="92" t="b">
        <v>0</v>
      </c>
      <c r="F168" s="92" t="b">
        <v>0</v>
      </c>
      <c r="G168" s="92" t="b">
        <v>0</v>
      </c>
    </row>
    <row r="169" spans="1:7" ht="15">
      <c r="A169" s="93" t="s">
        <v>1017</v>
      </c>
      <c r="B169" s="92">
        <v>2</v>
      </c>
      <c r="C169" s="125">
        <v>0.0025759113820322853</v>
      </c>
      <c r="D169" s="92" t="s">
        <v>1137</v>
      </c>
      <c r="E169" s="92" t="b">
        <v>1</v>
      </c>
      <c r="F169" s="92" t="b">
        <v>0</v>
      </c>
      <c r="G169" s="92" t="b">
        <v>0</v>
      </c>
    </row>
    <row r="170" spans="1:7" ht="15">
      <c r="A170" s="93" t="s">
        <v>1018</v>
      </c>
      <c r="B170" s="92">
        <v>2</v>
      </c>
      <c r="C170" s="125">
        <v>0.0025759113820322853</v>
      </c>
      <c r="D170" s="92" t="s">
        <v>1137</v>
      </c>
      <c r="E170" s="92" t="b">
        <v>0</v>
      </c>
      <c r="F170" s="92" t="b">
        <v>0</v>
      </c>
      <c r="G170" s="92" t="b">
        <v>0</v>
      </c>
    </row>
    <row r="171" spans="1:7" ht="15">
      <c r="A171" s="93" t="s">
        <v>1019</v>
      </c>
      <c r="B171" s="92">
        <v>2</v>
      </c>
      <c r="C171" s="125">
        <v>0.0025759113820322853</v>
      </c>
      <c r="D171" s="92" t="s">
        <v>1137</v>
      </c>
      <c r="E171" s="92" t="b">
        <v>0</v>
      </c>
      <c r="F171" s="92" t="b">
        <v>1</v>
      </c>
      <c r="G171" s="92" t="b">
        <v>0</v>
      </c>
    </row>
    <row r="172" spans="1:7" ht="15">
      <c r="A172" s="93" t="s">
        <v>1020</v>
      </c>
      <c r="B172" s="92">
        <v>2</v>
      </c>
      <c r="C172" s="125">
        <v>0.0025759113820322853</v>
      </c>
      <c r="D172" s="92" t="s">
        <v>1137</v>
      </c>
      <c r="E172" s="92" t="b">
        <v>0</v>
      </c>
      <c r="F172" s="92" t="b">
        <v>0</v>
      </c>
      <c r="G172" s="92" t="b">
        <v>0</v>
      </c>
    </row>
    <row r="173" spans="1:7" ht="15">
      <c r="A173" s="93" t="s">
        <v>1021</v>
      </c>
      <c r="B173" s="92">
        <v>2</v>
      </c>
      <c r="C173" s="125">
        <v>0.0025759113820322853</v>
      </c>
      <c r="D173" s="92" t="s">
        <v>1137</v>
      </c>
      <c r="E173" s="92" t="b">
        <v>0</v>
      </c>
      <c r="F173" s="92" t="b">
        <v>0</v>
      </c>
      <c r="G173" s="92" t="b">
        <v>0</v>
      </c>
    </row>
    <row r="174" spans="1:7" ht="15">
      <c r="A174" s="93" t="s">
        <v>1022</v>
      </c>
      <c r="B174" s="92">
        <v>2</v>
      </c>
      <c r="C174" s="125">
        <v>0.0025759113820322853</v>
      </c>
      <c r="D174" s="92" t="s">
        <v>1137</v>
      </c>
      <c r="E174" s="92" t="b">
        <v>0</v>
      </c>
      <c r="F174" s="92" t="b">
        <v>0</v>
      </c>
      <c r="G174" s="92" t="b">
        <v>0</v>
      </c>
    </row>
    <row r="175" spans="1:7" ht="15">
      <c r="A175" s="93" t="s">
        <v>1023</v>
      </c>
      <c r="B175" s="92">
        <v>2</v>
      </c>
      <c r="C175" s="125">
        <v>0.0025759113820322853</v>
      </c>
      <c r="D175" s="92" t="s">
        <v>1137</v>
      </c>
      <c r="E175" s="92" t="b">
        <v>0</v>
      </c>
      <c r="F175" s="92" t="b">
        <v>0</v>
      </c>
      <c r="G175" s="92" t="b">
        <v>0</v>
      </c>
    </row>
    <row r="176" spans="1:7" ht="15">
      <c r="A176" s="93" t="s">
        <v>1024</v>
      </c>
      <c r="B176" s="92">
        <v>2</v>
      </c>
      <c r="C176" s="125">
        <v>0.0025759113820322853</v>
      </c>
      <c r="D176" s="92" t="s">
        <v>1137</v>
      </c>
      <c r="E176" s="92" t="b">
        <v>0</v>
      </c>
      <c r="F176" s="92" t="b">
        <v>0</v>
      </c>
      <c r="G176" s="92" t="b">
        <v>0</v>
      </c>
    </row>
    <row r="177" spans="1:7" ht="15">
      <c r="A177" s="93" t="s">
        <v>1025</v>
      </c>
      <c r="B177" s="92">
        <v>2</v>
      </c>
      <c r="C177" s="125">
        <v>0.0025759113820322853</v>
      </c>
      <c r="D177" s="92" t="s">
        <v>1137</v>
      </c>
      <c r="E177" s="92" t="b">
        <v>1</v>
      </c>
      <c r="F177" s="92" t="b">
        <v>0</v>
      </c>
      <c r="G177" s="92" t="b">
        <v>0</v>
      </c>
    </row>
    <row r="178" spans="1:7" ht="15">
      <c r="A178" s="93" t="s">
        <v>1026</v>
      </c>
      <c r="B178" s="92">
        <v>2</v>
      </c>
      <c r="C178" s="125">
        <v>0.0025759113820322853</v>
      </c>
      <c r="D178" s="92" t="s">
        <v>1137</v>
      </c>
      <c r="E178" s="92" t="b">
        <v>0</v>
      </c>
      <c r="F178" s="92" t="b">
        <v>0</v>
      </c>
      <c r="G178" s="92" t="b">
        <v>0</v>
      </c>
    </row>
    <row r="179" spans="1:7" ht="15">
      <c r="A179" s="93" t="s">
        <v>1027</v>
      </c>
      <c r="B179" s="92">
        <v>2</v>
      </c>
      <c r="C179" s="125">
        <v>0.0025759113820322853</v>
      </c>
      <c r="D179" s="92" t="s">
        <v>1137</v>
      </c>
      <c r="E179" s="92" t="b">
        <v>0</v>
      </c>
      <c r="F179" s="92" t="b">
        <v>0</v>
      </c>
      <c r="G179" s="92" t="b">
        <v>0</v>
      </c>
    </row>
    <row r="180" spans="1:7" ht="15">
      <c r="A180" s="93" t="s">
        <v>1028</v>
      </c>
      <c r="B180" s="92">
        <v>2</v>
      </c>
      <c r="C180" s="125">
        <v>0.0025759113820322853</v>
      </c>
      <c r="D180" s="92" t="s">
        <v>1137</v>
      </c>
      <c r="E180" s="92" t="b">
        <v>0</v>
      </c>
      <c r="F180" s="92" t="b">
        <v>0</v>
      </c>
      <c r="G180" s="92" t="b">
        <v>0</v>
      </c>
    </row>
    <row r="181" spans="1:7" ht="15">
      <c r="A181" s="93" t="s">
        <v>1029</v>
      </c>
      <c r="B181" s="92">
        <v>2</v>
      </c>
      <c r="C181" s="125">
        <v>0.0025759113820322853</v>
      </c>
      <c r="D181" s="92" t="s">
        <v>1137</v>
      </c>
      <c r="E181" s="92" t="b">
        <v>0</v>
      </c>
      <c r="F181" s="92" t="b">
        <v>0</v>
      </c>
      <c r="G181" s="92" t="b">
        <v>0</v>
      </c>
    </row>
    <row r="182" spans="1:7" ht="15">
      <c r="A182" s="93" t="s">
        <v>1030</v>
      </c>
      <c r="B182" s="92">
        <v>2</v>
      </c>
      <c r="C182" s="125">
        <v>0.0025759113820322853</v>
      </c>
      <c r="D182" s="92" t="s">
        <v>1137</v>
      </c>
      <c r="E182" s="92" t="b">
        <v>0</v>
      </c>
      <c r="F182" s="92" t="b">
        <v>0</v>
      </c>
      <c r="G182" s="92" t="b">
        <v>0</v>
      </c>
    </row>
    <row r="183" spans="1:7" ht="15">
      <c r="A183" s="93" t="s">
        <v>1031</v>
      </c>
      <c r="B183" s="92">
        <v>2</v>
      </c>
      <c r="C183" s="125">
        <v>0.0025759113820322853</v>
      </c>
      <c r="D183" s="92" t="s">
        <v>1137</v>
      </c>
      <c r="E183" s="92" t="b">
        <v>0</v>
      </c>
      <c r="F183" s="92" t="b">
        <v>0</v>
      </c>
      <c r="G183" s="92" t="b">
        <v>0</v>
      </c>
    </row>
    <row r="184" spans="1:7" ht="15">
      <c r="A184" s="93" t="s">
        <v>1032</v>
      </c>
      <c r="B184" s="92">
        <v>2</v>
      </c>
      <c r="C184" s="125">
        <v>0.0025759113820322853</v>
      </c>
      <c r="D184" s="92" t="s">
        <v>1137</v>
      </c>
      <c r="E184" s="92" t="b">
        <v>1</v>
      </c>
      <c r="F184" s="92" t="b">
        <v>0</v>
      </c>
      <c r="G184" s="92" t="b">
        <v>0</v>
      </c>
    </row>
    <row r="185" spans="1:7" ht="15">
      <c r="A185" s="93" t="s">
        <v>1033</v>
      </c>
      <c r="B185" s="92">
        <v>2</v>
      </c>
      <c r="C185" s="125">
        <v>0.0025759113820322853</v>
      </c>
      <c r="D185" s="92" t="s">
        <v>1137</v>
      </c>
      <c r="E185" s="92" t="b">
        <v>0</v>
      </c>
      <c r="F185" s="92" t="b">
        <v>0</v>
      </c>
      <c r="G185" s="92" t="b">
        <v>0</v>
      </c>
    </row>
    <row r="186" spans="1:7" ht="15">
      <c r="A186" s="93" t="s">
        <v>1034</v>
      </c>
      <c r="B186" s="92">
        <v>2</v>
      </c>
      <c r="C186" s="125">
        <v>0.0025759113820322853</v>
      </c>
      <c r="D186" s="92" t="s">
        <v>1137</v>
      </c>
      <c r="E186" s="92" t="b">
        <v>0</v>
      </c>
      <c r="F186" s="92" t="b">
        <v>0</v>
      </c>
      <c r="G186" s="92" t="b">
        <v>0</v>
      </c>
    </row>
    <row r="187" spans="1:7" ht="15">
      <c r="A187" s="93" t="s">
        <v>1035</v>
      </c>
      <c r="B187" s="92">
        <v>2</v>
      </c>
      <c r="C187" s="125">
        <v>0.0025759113820322853</v>
      </c>
      <c r="D187" s="92" t="s">
        <v>1137</v>
      </c>
      <c r="E187" s="92" t="b">
        <v>0</v>
      </c>
      <c r="F187" s="92" t="b">
        <v>0</v>
      </c>
      <c r="G187" s="92" t="b">
        <v>0</v>
      </c>
    </row>
    <row r="188" spans="1:7" ht="15">
      <c r="A188" s="93" t="s">
        <v>1036</v>
      </c>
      <c r="B188" s="92">
        <v>2</v>
      </c>
      <c r="C188" s="125">
        <v>0.0025759113820322853</v>
      </c>
      <c r="D188" s="92" t="s">
        <v>1137</v>
      </c>
      <c r="E188" s="92" t="b">
        <v>0</v>
      </c>
      <c r="F188" s="92" t="b">
        <v>0</v>
      </c>
      <c r="G188" s="92" t="b">
        <v>0</v>
      </c>
    </row>
    <row r="189" spans="1:7" ht="15">
      <c r="A189" s="93" t="s">
        <v>1037</v>
      </c>
      <c r="B189" s="92">
        <v>2</v>
      </c>
      <c r="C189" s="125">
        <v>0.0025759113820322853</v>
      </c>
      <c r="D189" s="92" t="s">
        <v>1137</v>
      </c>
      <c r="E189" s="92" t="b">
        <v>0</v>
      </c>
      <c r="F189" s="92" t="b">
        <v>0</v>
      </c>
      <c r="G189" s="92" t="b">
        <v>0</v>
      </c>
    </row>
    <row r="190" spans="1:7" ht="15">
      <c r="A190" s="93" t="s">
        <v>1038</v>
      </c>
      <c r="B190" s="92">
        <v>2</v>
      </c>
      <c r="C190" s="125">
        <v>0.0025759113820322853</v>
      </c>
      <c r="D190" s="92" t="s">
        <v>1137</v>
      </c>
      <c r="E190" s="92" t="b">
        <v>0</v>
      </c>
      <c r="F190" s="92" t="b">
        <v>0</v>
      </c>
      <c r="G190" s="92" t="b">
        <v>0</v>
      </c>
    </row>
    <row r="191" spans="1:7" ht="15">
      <c r="A191" s="93" t="s">
        <v>1039</v>
      </c>
      <c r="B191" s="92">
        <v>2</v>
      </c>
      <c r="C191" s="125">
        <v>0.0025759113820322853</v>
      </c>
      <c r="D191" s="92" t="s">
        <v>1137</v>
      </c>
      <c r="E191" s="92" t="b">
        <v>0</v>
      </c>
      <c r="F191" s="92" t="b">
        <v>0</v>
      </c>
      <c r="G191" s="92" t="b">
        <v>0</v>
      </c>
    </row>
    <row r="192" spans="1:7" ht="15">
      <c r="A192" s="93" t="s">
        <v>1040</v>
      </c>
      <c r="B192" s="92">
        <v>2</v>
      </c>
      <c r="C192" s="125">
        <v>0.0025759113820322853</v>
      </c>
      <c r="D192" s="92" t="s">
        <v>1137</v>
      </c>
      <c r="E192" s="92" t="b">
        <v>0</v>
      </c>
      <c r="F192" s="92" t="b">
        <v>0</v>
      </c>
      <c r="G192" s="92" t="b">
        <v>0</v>
      </c>
    </row>
    <row r="193" spans="1:7" ht="15">
      <c r="A193" s="93" t="s">
        <v>1041</v>
      </c>
      <c r="B193" s="92">
        <v>2</v>
      </c>
      <c r="C193" s="125">
        <v>0.0025759113820322853</v>
      </c>
      <c r="D193" s="92" t="s">
        <v>1137</v>
      </c>
      <c r="E193" s="92" t="b">
        <v>0</v>
      </c>
      <c r="F193" s="92" t="b">
        <v>0</v>
      </c>
      <c r="G193" s="92" t="b">
        <v>0</v>
      </c>
    </row>
    <row r="194" spans="1:7" ht="15">
      <c r="A194" s="93" t="s">
        <v>1042</v>
      </c>
      <c r="B194" s="92">
        <v>2</v>
      </c>
      <c r="C194" s="125">
        <v>0.0025759113820322853</v>
      </c>
      <c r="D194" s="92" t="s">
        <v>1137</v>
      </c>
      <c r="E194" s="92" t="b">
        <v>0</v>
      </c>
      <c r="F194" s="92" t="b">
        <v>0</v>
      </c>
      <c r="G194" s="92" t="b">
        <v>0</v>
      </c>
    </row>
    <row r="195" spans="1:7" ht="15">
      <c r="A195" s="93" t="s">
        <v>1043</v>
      </c>
      <c r="B195" s="92">
        <v>2</v>
      </c>
      <c r="C195" s="125">
        <v>0.0025759113820322853</v>
      </c>
      <c r="D195" s="92" t="s">
        <v>1137</v>
      </c>
      <c r="E195" s="92" t="b">
        <v>0</v>
      </c>
      <c r="F195" s="92" t="b">
        <v>0</v>
      </c>
      <c r="G195" s="92" t="b">
        <v>0</v>
      </c>
    </row>
    <row r="196" spans="1:7" ht="15">
      <c r="A196" s="93" t="s">
        <v>1044</v>
      </c>
      <c r="B196" s="92">
        <v>2</v>
      </c>
      <c r="C196" s="125">
        <v>0.0025759113820322853</v>
      </c>
      <c r="D196" s="92" t="s">
        <v>1137</v>
      </c>
      <c r="E196" s="92" t="b">
        <v>0</v>
      </c>
      <c r="F196" s="92" t="b">
        <v>0</v>
      </c>
      <c r="G196" s="92" t="b">
        <v>0</v>
      </c>
    </row>
    <row r="197" spans="1:7" ht="15">
      <c r="A197" s="93" t="s">
        <v>1045</v>
      </c>
      <c r="B197" s="92">
        <v>2</v>
      </c>
      <c r="C197" s="125">
        <v>0.0025759113820322853</v>
      </c>
      <c r="D197" s="92" t="s">
        <v>1137</v>
      </c>
      <c r="E197" s="92" t="b">
        <v>0</v>
      </c>
      <c r="F197" s="92" t="b">
        <v>0</v>
      </c>
      <c r="G197" s="92" t="b">
        <v>0</v>
      </c>
    </row>
    <row r="198" spans="1:7" ht="15">
      <c r="A198" s="93" t="s">
        <v>1046</v>
      </c>
      <c r="B198" s="92">
        <v>2</v>
      </c>
      <c r="C198" s="125">
        <v>0.0025759113820322853</v>
      </c>
      <c r="D198" s="92" t="s">
        <v>1137</v>
      </c>
      <c r="E198" s="92" t="b">
        <v>0</v>
      </c>
      <c r="F198" s="92" t="b">
        <v>0</v>
      </c>
      <c r="G198" s="92" t="b">
        <v>0</v>
      </c>
    </row>
    <row r="199" spans="1:7" ht="15">
      <c r="A199" s="93" t="s">
        <v>1047</v>
      </c>
      <c r="B199" s="92">
        <v>2</v>
      </c>
      <c r="C199" s="125">
        <v>0.0025759113820322853</v>
      </c>
      <c r="D199" s="92" t="s">
        <v>1137</v>
      </c>
      <c r="E199" s="92" t="b">
        <v>0</v>
      </c>
      <c r="F199" s="92" t="b">
        <v>0</v>
      </c>
      <c r="G199" s="92" t="b">
        <v>0</v>
      </c>
    </row>
    <row r="200" spans="1:7" ht="15">
      <c r="A200" s="93" t="s">
        <v>1048</v>
      </c>
      <c r="B200" s="92">
        <v>2</v>
      </c>
      <c r="C200" s="125">
        <v>0.0025759113820322853</v>
      </c>
      <c r="D200" s="92" t="s">
        <v>1137</v>
      </c>
      <c r="E200" s="92" t="b">
        <v>0</v>
      </c>
      <c r="F200" s="92" t="b">
        <v>0</v>
      </c>
      <c r="G200" s="92" t="b">
        <v>0</v>
      </c>
    </row>
    <row r="201" spans="1:7" ht="15">
      <c r="A201" s="93" t="s">
        <v>1049</v>
      </c>
      <c r="B201" s="92">
        <v>2</v>
      </c>
      <c r="C201" s="125">
        <v>0.0025759113820322853</v>
      </c>
      <c r="D201" s="92" t="s">
        <v>1137</v>
      </c>
      <c r="E201" s="92" t="b">
        <v>0</v>
      </c>
      <c r="F201" s="92" t="b">
        <v>0</v>
      </c>
      <c r="G201" s="92" t="b">
        <v>0</v>
      </c>
    </row>
    <row r="202" spans="1:7" ht="15">
      <c r="A202" s="93" t="s">
        <v>1050</v>
      </c>
      <c r="B202" s="92">
        <v>2</v>
      </c>
      <c r="C202" s="125">
        <v>0.0025759113820322853</v>
      </c>
      <c r="D202" s="92" t="s">
        <v>1137</v>
      </c>
      <c r="E202" s="92" t="b">
        <v>0</v>
      </c>
      <c r="F202" s="92" t="b">
        <v>1</v>
      </c>
      <c r="G202" s="92" t="b">
        <v>0</v>
      </c>
    </row>
    <row r="203" spans="1:7" ht="15">
      <c r="A203" s="93" t="s">
        <v>1051</v>
      </c>
      <c r="B203" s="92">
        <v>2</v>
      </c>
      <c r="C203" s="125">
        <v>0.0025759113820322853</v>
      </c>
      <c r="D203" s="92" t="s">
        <v>1137</v>
      </c>
      <c r="E203" s="92" t="b">
        <v>0</v>
      </c>
      <c r="F203" s="92" t="b">
        <v>0</v>
      </c>
      <c r="G203" s="92" t="b">
        <v>0</v>
      </c>
    </row>
    <row r="204" spans="1:7" ht="15">
      <c r="A204" s="93" t="s">
        <v>1052</v>
      </c>
      <c r="B204" s="92">
        <v>2</v>
      </c>
      <c r="C204" s="125">
        <v>0.0025759113820322853</v>
      </c>
      <c r="D204" s="92" t="s">
        <v>1137</v>
      </c>
      <c r="E204" s="92" t="b">
        <v>0</v>
      </c>
      <c r="F204" s="92" t="b">
        <v>1</v>
      </c>
      <c r="G204" s="92" t="b">
        <v>0</v>
      </c>
    </row>
    <row r="205" spans="1:7" ht="15">
      <c r="A205" s="93" t="s">
        <v>1053</v>
      </c>
      <c r="B205" s="92">
        <v>2</v>
      </c>
      <c r="C205" s="125">
        <v>0.0025759113820322853</v>
      </c>
      <c r="D205" s="92" t="s">
        <v>1137</v>
      </c>
      <c r="E205" s="92" t="b">
        <v>0</v>
      </c>
      <c r="F205" s="92" t="b">
        <v>0</v>
      </c>
      <c r="G205" s="92" t="b">
        <v>0</v>
      </c>
    </row>
    <row r="206" spans="1:7" ht="15">
      <c r="A206" s="93" t="s">
        <v>1054</v>
      </c>
      <c r="B206" s="92">
        <v>2</v>
      </c>
      <c r="C206" s="125">
        <v>0.0025759113820322853</v>
      </c>
      <c r="D206" s="92" t="s">
        <v>1137</v>
      </c>
      <c r="E206" s="92" t="b">
        <v>0</v>
      </c>
      <c r="F206" s="92" t="b">
        <v>0</v>
      </c>
      <c r="G206" s="92" t="b">
        <v>0</v>
      </c>
    </row>
    <row r="207" spans="1:7" ht="15">
      <c r="A207" s="93" t="s">
        <v>1055</v>
      </c>
      <c r="B207" s="92">
        <v>2</v>
      </c>
      <c r="C207" s="125">
        <v>0.0025759113820322853</v>
      </c>
      <c r="D207" s="92" t="s">
        <v>1137</v>
      </c>
      <c r="E207" s="92" t="b">
        <v>0</v>
      </c>
      <c r="F207" s="92" t="b">
        <v>0</v>
      </c>
      <c r="G207" s="92" t="b">
        <v>0</v>
      </c>
    </row>
    <row r="208" spans="1:7" ht="15">
      <c r="A208" s="93" t="s">
        <v>1056</v>
      </c>
      <c r="B208" s="92">
        <v>2</v>
      </c>
      <c r="C208" s="125">
        <v>0.0025759113820322853</v>
      </c>
      <c r="D208" s="92" t="s">
        <v>1137</v>
      </c>
      <c r="E208" s="92" t="b">
        <v>0</v>
      </c>
      <c r="F208" s="92" t="b">
        <v>0</v>
      </c>
      <c r="G208" s="92" t="b">
        <v>0</v>
      </c>
    </row>
    <row r="209" spans="1:7" ht="15">
      <c r="A209" s="93" t="s">
        <v>1057</v>
      </c>
      <c r="B209" s="92">
        <v>2</v>
      </c>
      <c r="C209" s="125">
        <v>0.0025759113820322853</v>
      </c>
      <c r="D209" s="92" t="s">
        <v>1137</v>
      </c>
      <c r="E209" s="92" t="b">
        <v>0</v>
      </c>
      <c r="F209" s="92" t="b">
        <v>0</v>
      </c>
      <c r="G209" s="92" t="b">
        <v>0</v>
      </c>
    </row>
    <row r="210" spans="1:7" ht="15">
      <c r="A210" s="93" t="s">
        <v>1058</v>
      </c>
      <c r="B210" s="92">
        <v>2</v>
      </c>
      <c r="C210" s="125">
        <v>0.0025759113820322853</v>
      </c>
      <c r="D210" s="92" t="s">
        <v>1137</v>
      </c>
      <c r="E210" s="92" t="b">
        <v>0</v>
      </c>
      <c r="F210" s="92" t="b">
        <v>0</v>
      </c>
      <c r="G210" s="92" t="b">
        <v>0</v>
      </c>
    </row>
    <row r="211" spans="1:7" ht="15">
      <c r="A211" s="93" t="s">
        <v>1059</v>
      </c>
      <c r="B211" s="92">
        <v>2</v>
      </c>
      <c r="C211" s="125">
        <v>0.0025759113820322853</v>
      </c>
      <c r="D211" s="92" t="s">
        <v>1137</v>
      </c>
      <c r="E211" s="92" t="b">
        <v>0</v>
      </c>
      <c r="F211" s="92" t="b">
        <v>0</v>
      </c>
      <c r="G211" s="92" t="b">
        <v>0</v>
      </c>
    </row>
    <row r="212" spans="1:7" ht="15">
      <c r="A212" s="93" t="s">
        <v>1060</v>
      </c>
      <c r="B212" s="92">
        <v>2</v>
      </c>
      <c r="C212" s="125">
        <v>0.0025759113820322853</v>
      </c>
      <c r="D212" s="92" t="s">
        <v>1137</v>
      </c>
      <c r="E212" s="92" t="b">
        <v>0</v>
      </c>
      <c r="F212" s="92" t="b">
        <v>0</v>
      </c>
      <c r="G212" s="92" t="b">
        <v>0</v>
      </c>
    </row>
    <row r="213" spans="1:7" ht="15">
      <c r="A213" s="93" t="s">
        <v>1061</v>
      </c>
      <c r="B213" s="92">
        <v>2</v>
      </c>
      <c r="C213" s="125">
        <v>0.0025759113820322853</v>
      </c>
      <c r="D213" s="92" t="s">
        <v>1137</v>
      </c>
      <c r="E213" s="92" t="b">
        <v>0</v>
      </c>
      <c r="F213" s="92" t="b">
        <v>0</v>
      </c>
      <c r="G213" s="92" t="b">
        <v>0</v>
      </c>
    </row>
    <row r="214" spans="1:7" ht="15">
      <c r="A214" s="93" t="s">
        <v>1062</v>
      </c>
      <c r="B214" s="92">
        <v>2</v>
      </c>
      <c r="C214" s="125">
        <v>0.0025759113820322853</v>
      </c>
      <c r="D214" s="92" t="s">
        <v>1137</v>
      </c>
      <c r="E214" s="92" t="b">
        <v>0</v>
      </c>
      <c r="F214" s="92" t="b">
        <v>0</v>
      </c>
      <c r="G214" s="92" t="b">
        <v>0</v>
      </c>
    </row>
    <row r="215" spans="1:7" ht="15">
      <c r="A215" s="93" t="s">
        <v>718</v>
      </c>
      <c r="B215" s="92">
        <v>2</v>
      </c>
      <c r="C215" s="125">
        <v>0.0025759113820322853</v>
      </c>
      <c r="D215" s="92" t="s">
        <v>1137</v>
      </c>
      <c r="E215" s="92" t="b">
        <v>1</v>
      </c>
      <c r="F215" s="92" t="b">
        <v>0</v>
      </c>
      <c r="G215" s="92" t="b">
        <v>0</v>
      </c>
    </row>
    <row r="216" spans="1:7" ht="15">
      <c r="A216" s="93" t="s">
        <v>719</v>
      </c>
      <c r="B216" s="92">
        <v>2</v>
      </c>
      <c r="C216" s="125">
        <v>0.0025759113820322853</v>
      </c>
      <c r="D216" s="92" t="s">
        <v>1137</v>
      </c>
      <c r="E216" s="92" t="b">
        <v>0</v>
      </c>
      <c r="F216" s="92" t="b">
        <v>0</v>
      </c>
      <c r="G216" s="92" t="b">
        <v>0</v>
      </c>
    </row>
    <row r="217" spans="1:7" ht="15">
      <c r="A217" s="93" t="s">
        <v>720</v>
      </c>
      <c r="B217" s="92">
        <v>2</v>
      </c>
      <c r="C217" s="125">
        <v>0.0025759113820322853</v>
      </c>
      <c r="D217" s="92" t="s">
        <v>1137</v>
      </c>
      <c r="E217" s="92" t="b">
        <v>0</v>
      </c>
      <c r="F217" s="92" t="b">
        <v>0</v>
      </c>
      <c r="G217" s="92" t="b">
        <v>0</v>
      </c>
    </row>
    <row r="218" spans="1:7" ht="15">
      <c r="A218" s="93" t="s">
        <v>1063</v>
      </c>
      <c r="B218" s="92">
        <v>2</v>
      </c>
      <c r="C218" s="125">
        <v>0.0025759113820322853</v>
      </c>
      <c r="D218" s="92" t="s">
        <v>1137</v>
      </c>
      <c r="E218" s="92" t="b">
        <v>0</v>
      </c>
      <c r="F218" s="92" t="b">
        <v>0</v>
      </c>
      <c r="G218" s="92" t="b">
        <v>0</v>
      </c>
    </row>
    <row r="219" spans="1:7" ht="15">
      <c r="A219" s="93" t="s">
        <v>1064</v>
      </c>
      <c r="B219" s="92">
        <v>2</v>
      </c>
      <c r="C219" s="125">
        <v>0.0025759113820322853</v>
      </c>
      <c r="D219" s="92" t="s">
        <v>1137</v>
      </c>
      <c r="E219" s="92" t="b">
        <v>0</v>
      </c>
      <c r="F219" s="92" t="b">
        <v>0</v>
      </c>
      <c r="G219" s="92" t="b">
        <v>0</v>
      </c>
    </row>
    <row r="220" spans="1:7" ht="15">
      <c r="A220" s="93" t="s">
        <v>1065</v>
      </c>
      <c r="B220" s="92">
        <v>2</v>
      </c>
      <c r="C220" s="125">
        <v>0.0025759113820322853</v>
      </c>
      <c r="D220" s="92" t="s">
        <v>1137</v>
      </c>
      <c r="E220" s="92" t="b">
        <v>0</v>
      </c>
      <c r="F220" s="92" t="b">
        <v>0</v>
      </c>
      <c r="G220" s="92" t="b">
        <v>0</v>
      </c>
    </row>
    <row r="221" spans="1:7" ht="15">
      <c r="A221" s="93" t="s">
        <v>1066</v>
      </c>
      <c r="B221" s="92">
        <v>2</v>
      </c>
      <c r="C221" s="125">
        <v>0.0025759113820322853</v>
      </c>
      <c r="D221" s="92" t="s">
        <v>1137</v>
      </c>
      <c r="E221" s="92" t="b">
        <v>0</v>
      </c>
      <c r="F221" s="92" t="b">
        <v>0</v>
      </c>
      <c r="G221" s="92" t="b">
        <v>0</v>
      </c>
    </row>
    <row r="222" spans="1:7" ht="15">
      <c r="A222" s="93" t="s">
        <v>1067</v>
      </c>
      <c r="B222" s="92">
        <v>2</v>
      </c>
      <c r="C222" s="125">
        <v>0.0025759113820322853</v>
      </c>
      <c r="D222" s="92" t="s">
        <v>1137</v>
      </c>
      <c r="E222" s="92" t="b">
        <v>0</v>
      </c>
      <c r="F222" s="92" t="b">
        <v>0</v>
      </c>
      <c r="G222" s="92" t="b">
        <v>0</v>
      </c>
    </row>
    <row r="223" spans="1:7" ht="15">
      <c r="A223" s="93" t="s">
        <v>1068</v>
      </c>
      <c r="B223" s="92">
        <v>2</v>
      </c>
      <c r="C223" s="125">
        <v>0.0025759113820322853</v>
      </c>
      <c r="D223" s="92" t="s">
        <v>1137</v>
      </c>
      <c r="E223" s="92" t="b">
        <v>0</v>
      </c>
      <c r="F223" s="92" t="b">
        <v>0</v>
      </c>
      <c r="G223" s="92" t="b">
        <v>0</v>
      </c>
    </row>
    <row r="224" spans="1:7" ht="15">
      <c r="A224" s="93" t="s">
        <v>1069</v>
      </c>
      <c r="B224" s="92">
        <v>2</v>
      </c>
      <c r="C224" s="125">
        <v>0.0025759113820322853</v>
      </c>
      <c r="D224" s="92" t="s">
        <v>1137</v>
      </c>
      <c r="E224" s="92" t="b">
        <v>0</v>
      </c>
      <c r="F224" s="92" t="b">
        <v>0</v>
      </c>
      <c r="G224" s="92" t="b">
        <v>0</v>
      </c>
    </row>
    <row r="225" spans="1:7" ht="15">
      <c r="A225" s="93" t="s">
        <v>1070</v>
      </c>
      <c r="B225" s="92">
        <v>2</v>
      </c>
      <c r="C225" s="125">
        <v>0.0025759113820322853</v>
      </c>
      <c r="D225" s="92" t="s">
        <v>1137</v>
      </c>
      <c r="E225" s="92" t="b">
        <v>0</v>
      </c>
      <c r="F225" s="92" t="b">
        <v>0</v>
      </c>
      <c r="G225" s="92" t="b">
        <v>0</v>
      </c>
    </row>
    <row r="226" spans="1:7" ht="15">
      <c r="A226" s="93" t="s">
        <v>1071</v>
      </c>
      <c r="B226" s="92">
        <v>2</v>
      </c>
      <c r="C226" s="125">
        <v>0.0025759113820322853</v>
      </c>
      <c r="D226" s="92" t="s">
        <v>1137</v>
      </c>
      <c r="E226" s="92" t="b">
        <v>0</v>
      </c>
      <c r="F226" s="92" t="b">
        <v>0</v>
      </c>
      <c r="G226" s="92" t="b">
        <v>0</v>
      </c>
    </row>
    <row r="227" spans="1:7" ht="15">
      <c r="A227" s="93" t="s">
        <v>1072</v>
      </c>
      <c r="B227" s="92">
        <v>2</v>
      </c>
      <c r="C227" s="125">
        <v>0.0025759113820322853</v>
      </c>
      <c r="D227" s="92" t="s">
        <v>1137</v>
      </c>
      <c r="E227" s="92" t="b">
        <v>0</v>
      </c>
      <c r="F227" s="92" t="b">
        <v>1</v>
      </c>
      <c r="G227" s="92" t="b">
        <v>0</v>
      </c>
    </row>
    <row r="228" spans="1:7" ht="15">
      <c r="A228" s="93" t="s">
        <v>1073</v>
      </c>
      <c r="B228" s="92">
        <v>2</v>
      </c>
      <c r="C228" s="125">
        <v>0.0025759113820322853</v>
      </c>
      <c r="D228" s="92" t="s">
        <v>1137</v>
      </c>
      <c r="E228" s="92" t="b">
        <v>0</v>
      </c>
      <c r="F228" s="92" t="b">
        <v>0</v>
      </c>
      <c r="G228" s="92" t="b">
        <v>0</v>
      </c>
    </row>
    <row r="229" spans="1:7" ht="15">
      <c r="A229" s="93" t="s">
        <v>1074</v>
      </c>
      <c r="B229" s="92">
        <v>2</v>
      </c>
      <c r="C229" s="125">
        <v>0.0025759113820322853</v>
      </c>
      <c r="D229" s="92" t="s">
        <v>1137</v>
      </c>
      <c r="E229" s="92" t="b">
        <v>0</v>
      </c>
      <c r="F229" s="92" t="b">
        <v>0</v>
      </c>
      <c r="G229" s="92" t="b">
        <v>0</v>
      </c>
    </row>
    <row r="230" spans="1:7" ht="15">
      <c r="A230" s="93" t="s">
        <v>1075</v>
      </c>
      <c r="B230" s="92">
        <v>2</v>
      </c>
      <c r="C230" s="125">
        <v>0.0025759113820322853</v>
      </c>
      <c r="D230" s="92" t="s">
        <v>1137</v>
      </c>
      <c r="E230" s="92" t="b">
        <v>0</v>
      </c>
      <c r="F230" s="92" t="b">
        <v>0</v>
      </c>
      <c r="G230" s="92" t="b">
        <v>0</v>
      </c>
    </row>
    <row r="231" spans="1:7" ht="15">
      <c r="A231" s="93" t="s">
        <v>1076</v>
      </c>
      <c r="B231" s="92">
        <v>2</v>
      </c>
      <c r="C231" s="125">
        <v>0.0025759113820322853</v>
      </c>
      <c r="D231" s="92" t="s">
        <v>1137</v>
      </c>
      <c r="E231" s="92" t="b">
        <v>0</v>
      </c>
      <c r="F231" s="92" t="b">
        <v>0</v>
      </c>
      <c r="G231" s="92" t="b">
        <v>0</v>
      </c>
    </row>
    <row r="232" spans="1:7" ht="15">
      <c r="A232" s="93" t="s">
        <v>1077</v>
      </c>
      <c r="B232" s="92">
        <v>2</v>
      </c>
      <c r="C232" s="125">
        <v>0.0025759113820322853</v>
      </c>
      <c r="D232" s="92" t="s">
        <v>1137</v>
      </c>
      <c r="E232" s="92" t="b">
        <v>0</v>
      </c>
      <c r="F232" s="92" t="b">
        <v>0</v>
      </c>
      <c r="G232" s="92" t="b">
        <v>0</v>
      </c>
    </row>
    <row r="233" spans="1:7" ht="15">
      <c r="A233" s="93" t="s">
        <v>1078</v>
      </c>
      <c r="B233" s="92">
        <v>2</v>
      </c>
      <c r="C233" s="125">
        <v>0.0025759113820322853</v>
      </c>
      <c r="D233" s="92" t="s">
        <v>1137</v>
      </c>
      <c r="E233" s="92" t="b">
        <v>0</v>
      </c>
      <c r="F233" s="92" t="b">
        <v>0</v>
      </c>
      <c r="G233" s="92" t="b">
        <v>0</v>
      </c>
    </row>
    <row r="234" spans="1:7" ht="15">
      <c r="A234" s="93" t="s">
        <v>1079</v>
      </c>
      <c r="B234" s="92">
        <v>2</v>
      </c>
      <c r="C234" s="125">
        <v>0.0025759113820322853</v>
      </c>
      <c r="D234" s="92" t="s">
        <v>1137</v>
      </c>
      <c r="E234" s="92" t="b">
        <v>0</v>
      </c>
      <c r="F234" s="92" t="b">
        <v>0</v>
      </c>
      <c r="G234" s="92" t="b">
        <v>0</v>
      </c>
    </row>
    <row r="235" spans="1:7" ht="15">
      <c r="A235" s="93" t="s">
        <v>1080</v>
      </c>
      <c r="B235" s="92">
        <v>2</v>
      </c>
      <c r="C235" s="125">
        <v>0.0025759113820322853</v>
      </c>
      <c r="D235" s="92" t="s">
        <v>1137</v>
      </c>
      <c r="E235" s="92" t="b">
        <v>0</v>
      </c>
      <c r="F235" s="92" t="b">
        <v>0</v>
      </c>
      <c r="G235" s="92" t="b">
        <v>0</v>
      </c>
    </row>
    <row r="236" spans="1:7" ht="15">
      <c r="A236" s="93" t="s">
        <v>1081</v>
      </c>
      <c r="B236" s="92">
        <v>2</v>
      </c>
      <c r="C236" s="125">
        <v>0.0025759113820322853</v>
      </c>
      <c r="D236" s="92" t="s">
        <v>1137</v>
      </c>
      <c r="E236" s="92" t="b">
        <v>0</v>
      </c>
      <c r="F236" s="92" t="b">
        <v>0</v>
      </c>
      <c r="G236" s="92" t="b">
        <v>0</v>
      </c>
    </row>
    <row r="237" spans="1:7" ht="15">
      <c r="A237" s="93" t="s">
        <v>1082</v>
      </c>
      <c r="B237" s="92">
        <v>2</v>
      </c>
      <c r="C237" s="125">
        <v>0.0025759113820322853</v>
      </c>
      <c r="D237" s="92" t="s">
        <v>1137</v>
      </c>
      <c r="E237" s="92" t="b">
        <v>0</v>
      </c>
      <c r="F237" s="92" t="b">
        <v>0</v>
      </c>
      <c r="G237" s="92" t="b">
        <v>0</v>
      </c>
    </row>
    <row r="238" spans="1:7" ht="15">
      <c r="A238" s="93" t="s">
        <v>1083</v>
      </c>
      <c r="B238" s="92">
        <v>2</v>
      </c>
      <c r="C238" s="125">
        <v>0.0025759113820322853</v>
      </c>
      <c r="D238" s="92" t="s">
        <v>1137</v>
      </c>
      <c r="E238" s="92" t="b">
        <v>0</v>
      </c>
      <c r="F238" s="92" t="b">
        <v>0</v>
      </c>
      <c r="G238" s="92" t="b">
        <v>0</v>
      </c>
    </row>
    <row r="239" spans="1:7" ht="15">
      <c r="A239" s="93" t="s">
        <v>1084</v>
      </c>
      <c r="B239" s="92">
        <v>2</v>
      </c>
      <c r="C239" s="125">
        <v>0.0025759113820322853</v>
      </c>
      <c r="D239" s="92" t="s">
        <v>1137</v>
      </c>
      <c r="E239" s="92" t="b">
        <v>0</v>
      </c>
      <c r="F239" s="92" t="b">
        <v>1</v>
      </c>
      <c r="G239" s="92" t="b">
        <v>0</v>
      </c>
    </row>
    <row r="240" spans="1:7" ht="15">
      <c r="A240" s="93" t="s">
        <v>1085</v>
      </c>
      <c r="B240" s="92">
        <v>2</v>
      </c>
      <c r="C240" s="125">
        <v>0.0025759113820322853</v>
      </c>
      <c r="D240" s="92" t="s">
        <v>1137</v>
      </c>
      <c r="E240" s="92" t="b">
        <v>0</v>
      </c>
      <c r="F240" s="92" t="b">
        <v>0</v>
      </c>
      <c r="G240" s="92" t="b">
        <v>0</v>
      </c>
    </row>
    <row r="241" spans="1:7" ht="15">
      <c r="A241" s="93" t="s">
        <v>1086</v>
      </c>
      <c r="B241" s="92">
        <v>2</v>
      </c>
      <c r="C241" s="125">
        <v>0.0025759113820322853</v>
      </c>
      <c r="D241" s="92" t="s">
        <v>1137</v>
      </c>
      <c r="E241" s="92" t="b">
        <v>0</v>
      </c>
      <c r="F241" s="92" t="b">
        <v>0</v>
      </c>
      <c r="G241" s="92" t="b">
        <v>0</v>
      </c>
    </row>
    <row r="242" spans="1:7" ht="15">
      <c r="A242" s="93" t="s">
        <v>1087</v>
      </c>
      <c r="B242" s="92">
        <v>2</v>
      </c>
      <c r="C242" s="125">
        <v>0.0025759113820322853</v>
      </c>
      <c r="D242" s="92" t="s">
        <v>1137</v>
      </c>
      <c r="E242" s="92" t="b">
        <v>0</v>
      </c>
      <c r="F242" s="92" t="b">
        <v>0</v>
      </c>
      <c r="G242" s="92" t="b">
        <v>0</v>
      </c>
    </row>
    <row r="243" spans="1:7" ht="15">
      <c r="A243" s="93" t="s">
        <v>1088</v>
      </c>
      <c r="B243" s="92">
        <v>2</v>
      </c>
      <c r="C243" s="125">
        <v>0.0025759113820322853</v>
      </c>
      <c r="D243" s="92" t="s">
        <v>1137</v>
      </c>
      <c r="E243" s="92" t="b">
        <v>0</v>
      </c>
      <c r="F243" s="92" t="b">
        <v>0</v>
      </c>
      <c r="G243" s="92" t="b">
        <v>0</v>
      </c>
    </row>
    <row r="244" spans="1:7" ht="15">
      <c r="A244" s="93" t="s">
        <v>1089</v>
      </c>
      <c r="B244" s="92">
        <v>2</v>
      </c>
      <c r="C244" s="125">
        <v>0.0025759113820322853</v>
      </c>
      <c r="D244" s="92" t="s">
        <v>1137</v>
      </c>
      <c r="E244" s="92" t="b">
        <v>0</v>
      </c>
      <c r="F244" s="92" t="b">
        <v>0</v>
      </c>
      <c r="G244" s="92" t="b">
        <v>0</v>
      </c>
    </row>
    <row r="245" spans="1:7" ht="15">
      <c r="A245" s="93" t="s">
        <v>1090</v>
      </c>
      <c r="B245" s="92">
        <v>2</v>
      </c>
      <c r="C245" s="125">
        <v>0.0025759113820322853</v>
      </c>
      <c r="D245" s="92" t="s">
        <v>1137</v>
      </c>
      <c r="E245" s="92" t="b">
        <v>0</v>
      </c>
      <c r="F245" s="92" t="b">
        <v>0</v>
      </c>
      <c r="G245" s="92" t="b">
        <v>0</v>
      </c>
    </row>
    <row r="246" spans="1:7" ht="15">
      <c r="A246" s="93" t="s">
        <v>1091</v>
      </c>
      <c r="B246" s="92">
        <v>2</v>
      </c>
      <c r="C246" s="125">
        <v>0.0025759113820322853</v>
      </c>
      <c r="D246" s="92" t="s">
        <v>1137</v>
      </c>
      <c r="E246" s="92" t="b">
        <v>0</v>
      </c>
      <c r="F246" s="92" t="b">
        <v>0</v>
      </c>
      <c r="G246" s="92" t="b">
        <v>0</v>
      </c>
    </row>
    <row r="247" spans="1:7" ht="15">
      <c r="A247" s="93" t="s">
        <v>1092</v>
      </c>
      <c r="B247" s="92">
        <v>2</v>
      </c>
      <c r="C247" s="125">
        <v>0.0025759113820322853</v>
      </c>
      <c r="D247" s="92" t="s">
        <v>1137</v>
      </c>
      <c r="E247" s="92" t="b">
        <v>0</v>
      </c>
      <c r="F247" s="92" t="b">
        <v>0</v>
      </c>
      <c r="G247" s="92" t="b">
        <v>0</v>
      </c>
    </row>
    <row r="248" spans="1:7" ht="15">
      <c r="A248" s="93" t="s">
        <v>1093</v>
      </c>
      <c r="B248" s="92">
        <v>2</v>
      </c>
      <c r="C248" s="125">
        <v>0.0025759113820322853</v>
      </c>
      <c r="D248" s="92" t="s">
        <v>1137</v>
      </c>
      <c r="E248" s="92" t="b">
        <v>0</v>
      </c>
      <c r="F248" s="92" t="b">
        <v>0</v>
      </c>
      <c r="G248" s="92" t="b">
        <v>0</v>
      </c>
    </row>
    <row r="249" spans="1:7" ht="15">
      <c r="A249" s="93" t="s">
        <v>1094</v>
      </c>
      <c r="B249" s="92">
        <v>2</v>
      </c>
      <c r="C249" s="125">
        <v>0.0025759113820322853</v>
      </c>
      <c r="D249" s="92" t="s">
        <v>1137</v>
      </c>
      <c r="E249" s="92" t="b">
        <v>1</v>
      </c>
      <c r="F249" s="92" t="b">
        <v>0</v>
      </c>
      <c r="G249" s="92" t="b">
        <v>0</v>
      </c>
    </row>
    <row r="250" spans="1:7" ht="15">
      <c r="A250" s="93" t="s">
        <v>1095</v>
      </c>
      <c r="B250" s="92">
        <v>2</v>
      </c>
      <c r="C250" s="125">
        <v>0.0025759113820322853</v>
      </c>
      <c r="D250" s="92" t="s">
        <v>1137</v>
      </c>
      <c r="E250" s="92" t="b">
        <v>0</v>
      </c>
      <c r="F250" s="92" t="b">
        <v>0</v>
      </c>
      <c r="G250" s="92" t="b">
        <v>0</v>
      </c>
    </row>
    <row r="251" spans="1:7" ht="15">
      <c r="A251" s="93" t="s">
        <v>1096</v>
      </c>
      <c r="B251" s="92">
        <v>2</v>
      </c>
      <c r="C251" s="125">
        <v>0.0025759113820322853</v>
      </c>
      <c r="D251" s="92" t="s">
        <v>1137</v>
      </c>
      <c r="E251" s="92" t="b">
        <v>0</v>
      </c>
      <c r="F251" s="92" t="b">
        <v>0</v>
      </c>
      <c r="G251" s="92" t="b">
        <v>0</v>
      </c>
    </row>
    <row r="252" spans="1:7" ht="15">
      <c r="A252" s="93" t="s">
        <v>1097</v>
      </c>
      <c r="B252" s="92">
        <v>2</v>
      </c>
      <c r="C252" s="125">
        <v>0.0025759113820322853</v>
      </c>
      <c r="D252" s="92" t="s">
        <v>1137</v>
      </c>
      <c r="E252" s="92" t="b">
        <v>0</v>
      </c>
      <c r="F252" s="92" t="b">
        <v>0</v>
      </c>
      <c r="G252" s="92" t="b">
        <v>0</v>
      </c>
    </row>
    <row r="253" spans="1:7" ht="15">
      <c r="A253" s="93" t="s">
        <v>1098</v>
      </c>
      <c r="B253" s="92">
        <v>2</v>
      </c>
      <c r="C253" s="125">
        <v>0.0025759113820322853</v>
      </c>
      <c r="D253" s="92" t="s">
        <v>1137</v>
      </c>
      <c r="E253" s="92" t="b">
        <v>0</v>
      </c>
      <c r="F253" s="92" t="b">
        <v>0</v>
      </c>
      <c r="G253" s="92" t="b">
        <v>0</v>
      </c>
    </row>
    <row r="254" spans="1:7" ht="15">
      <c r="A254" s="93" t="s">
        <v>1099</v>
      </c>
      <c r="B254" s="92">
        <v>2</v>
      </c>
      <c r="C254" s="125">
        <v>0.0025759113820322853</v>
      </c>
      <c r="D254" s="92" t="s">
        <v>1137</v>
      </c>
      <c r="E254" s="92" t="b">
        <v>0</v>
      </c>
      <c r="F254" s="92" t="b">
        <v>0</v>
      </c>
      <c r="G254" s="92" t="b">
        <v>0</v>
      </c>
    </row>
    <row r="255" spans="1:7" ht="15">
      <c r="A255" s="93" t="s">
        <v>1100</v>
      </c>
      <c r="B255" s="92">
        <v>2</v>
      </c>
      <c r="C255" s="125">
        <v>0.0025759113820322853</v>
      </c>
      <c r="D255" s="92" t="s">
        <v>1137</v>
      </c>
      <c r="E255" s="92" t="b">
        <v>0</v>
      </c>
      <c r="F255" s="92" t="b">
        <v>0</v>
      </c>
      <c r="G255" s="92" t="b">
        <v>0</v>
      </c>
    </row>
    <row r="256" spans="1:7" ht="15">
      <c r="A256" s="93" t="s">
        <v>1101</v>
      </c>
      <c r="B256" s="92">
        <v>2</v>
      </c>
      <c r="C256" s="125">
        <v>0.0025759113820322853</v>
      </c>
      <c r="D256" s="92" t="s">
        <v>1137</v>
      </c>
      <c r="E256" s="92" t="b">
        <v>0</v>
      </c>
      <c r="F256" s="92" t="b">
        <v>0</v>
      </c>
      <c r="G256" s="92" t="b">
        <v>0</v>
      </c>
    </row>
    <row r="257" spans="1:7" ht="15">
      <c r="A257" s="93" t="s">
        <v>1102</v>
      </c>
      <c r="B257" s="92">
        <v>2</v>
      </c>
      <c r="C257" s="125">
        <v>0.0025759113820322853</v>
      </c>
      <c r="D257" s="92" t="s">
        <v>1137</v>
      </c>
      <c r="E257" s="92" t="b">
        <v>0</v>
      </c>
      <c r="F257" s="92" t="b">
        <v>0</v>
      </c>
      <c r="G257" s="92" t="b">
        <v>0</v>
      </c>
    </row>
    <row r="258" spans="1:7" ht="15">
      <c r="A258" s="93" t="s">
        <v>1103</v>
      </c>
      <c r="B258" s="92">
        <v>2</v>
      </c>
      <c r="C258" s="125">
        <v>0.0025759113820322853</v>
      </c>
      <c r="D258" s="92" t="s">
        <v>1137</v>
      </c>
      <c r="E258" s="92" t="b">
        <v>0</v>
      </c>
      <c r="F258" s="92" t="b">
        <v>0</v>
      </c>
      <c r="G258" s="92" t="b">
        <v>0</v>
      </c>
    </row>
    <row r="259" spans="1:7" ht="15">
      <c r="A259" s="93" t="s">
        <v>1104</v>
      </c>
      <c r="B259" s="92">
        <v>2</v>
      </c>
      <c r="C259" s="125">
        <v>0.0025759113820322853</v>
      </c>
      <c r="D259" s="92" t="s">
        <v>1137</v>
      </c>
      <c r="E259" s="92" t="b">
        <v>1</v>
      </c>
      <c r="F259" s="92" t="b">
        <v>0</v>
      </c>
      <c r="G259" s="92" t="b">
        <v>0</v>
      </c>
    </row>
    <row r="260" spans="1:7" ht="15">
      <c r="A260" s="93" t="s">
        <v>1105</v>
      </c>
      <c r="B260" s="92">
        <v>2</v>
      </c>
      <c r="C260" s="125">
        <v>0.0025759113820322853</v>
      </c>
      <c r="D260" s="92" t="s">
        <v>1137</v>
      </c>
      <c r="E260" s="92" t="b">
        <v>0</v>
      </c>
      <c r="F260" s="92" t="b">
        <v>0</v>
      </c>
      <c r="G260" s="92" t="b">
        <v>0</v>
      </c>
    </row>
    <row r="261" spans="1:7" ht="15">
      <c r="A261" s="93" t="s">
        <v>1106</v>
      </c>
      <c r="B261" s="92">
        <v>2</v>
      </c>
      <c r="C261" s="125">
        <v>0.0025759113820322853</v>
      </c>
      <c r="D261" s="92" t="s">
        <v>1137</v>
      </c>
      <c r="E261" s="92" t="b">
        <v>0</v>
      </c>
      <c r="F261" s="92" t="b">
        <v>0</v>
      </c>
      <c r="G261" s="92" t="b">
        <v>0</v>
      </c>
    </row>
    <row r="262" spans="1:7" ht="15">
      <c r="A262" s="93" t="s">
        <v>1107</v>
      </c>
      <c r="B262" s="92">
        <v>2</v>
      </c>
      <c r="C262" s="125">
        <v>0.0025759113820322853</v>
      </c>
      <c r="D262" s="92" t="s">
        <v>1137</v>
      </c>
      <c r="E262" s="92" t="b">
        <v>1</v>
      </c>
      <c r="F262" s="92" t="b">
        <v>0</v>
      </c>
      <c r="G262" s="92" t="b">
        <v>0</v>
      </c>
    </row>
    <row r="263" spans="1:7" ht="15">
      <c r="A263" s="93" t="s">
        <v>1108</v>
      </c>
      <c r="B263" s="92">
        <v>2</v>
      </c>
      <c r="C263" s="125">
        <v>0.0025759113820322853</v>
      </c>
      <c r="D263" s="92" t="s">
        <v>1137</v>
      </c>
      <c r="E263" s="92" t="b">
        <v>0</v>
      </c>
      <c r="F263" s="92" t="b">
        <v>0</v>
      </c>
      <c r="G263" s="92" t="b">
        <v>0</v>
      </c>
    </row>
    <row r="264" spans="1:7" ht="15">
      <c r="A264" s="93" t="s">
        <v>1109</v>
      </c>
      <c r="B264" s="92">
        <v>2</v>
      </c>
      <c r="C264" s="125">
        <v>0.0025759113820322853</v>
      </c>
      <c r="D264" s="92" t="s">
        <v>1137</v>
      </c>
      <c r="E264" s="92" t="b">
        <v>0</v>
      </c>
      <c r="F264" s="92" t="b">
        <v>0</v>
      </c>
      <c r="G264" s="92" t="b">
        <v>0</v>
      </c>
    </row>
    <row r="265" spans="1:7" ht="15">
      <c r="A265" s="93" t="s">
        <v>1110</v>
      </c>
      <c r="B265" s="92">
        <v>2</v>
      </c>
      <c r="C265" s="125">
        <v>0.0025759113820322853</v>
      </c>
      <c r="D265" s="92" t="s">
        <v>1137</v>
      </c>
      <c r="E265" s="92" t="b">
        <v>0</v>
      </c>
      <c r="F265" s="92" t="b">
        <v>0</v>
      </c>
      <c r="G265" s="92" t="b">
        <v>0</v>
      </c>
    </row>
    <row r="266" spans="1:7" ht="15">
      <c r="A266" s="93" t="s">
        <v>1111</v>
      </c>
      <c r="B266" s="92">
        <v>2</v>
      </c>
      <c r="C266" s="125">
        <v>0.0025759113820322853</v>
      </c>
      <c r="D266" s="92" t="s">
        <v>1137</v>
      </c>
      <c r="E266" s="92" t="b">
        <v>0</v>
      </c>
      <c r="F266" s="92" t="b">
        <v>0</v>
      </c>
      <c r="G266" s="92" t="b">
        <v>0</v>
      </c>
    </row>
    <row r="267" spans="1:7" ht="15">
      <c r="A267" s="93" t="s">
        <v>1112</v>
      </c>
      <c r="B267" s="92">
        <v>2</v>
      </c>
      <c r="C267" s="125">
        <v>0.0025759113820322853</v>
      </c>
      <c r="D267" s="92" t="s">
        <v>1137</v>
      </c>
      <c r="E267" s="92" t="b">
        <v>0</v>
      </c>
      <c r="F267" s="92" t="b">
        <v>0</v>
      </c>
      <c r="G267" s="92" t="b">
        <v>0</v>
      </c>
    </row>
    <row r="268" spans="1:7" ht="15">
      <c r="A268" s="93" t="s">
        <v>1113</v>
      </c>
      <c r="B268" s="92">
        <v>2</v>
      </c>
      <c r="C268" s="125">
        <v>0.0025759113820322853</v>
      </c>
      <c r="D268" s="92" t="s">
        <v>1137</v>
      </c>
      <c r="E268" s="92" t="b">
        <v>0</v>
      </c>
      <c r="F268" s="92" t="b">
        <v>0</v>
      </c>
      <c r="G268" s="92" t="b">
        <v>0</v>
      </c>
    </row>
    <row r="269" spans="1:7" ht="15">
      <c r="A269" s="93" t="s">
        <v>1114</v>
      </c>
      <c r="B269" s="92">
        <v>2</v>
      </c>
      <c r="C269" s="125">
        <v>0.0025759113820322853</v>
      </c>
      <c r="D269" s="92" t="s">
        <v>1137</v>
      </c>
      <c r="E269" s="92" t="b">
        <v>0</v>
      </c>
      <c r="F269" s="92" t="b">
        <v>0</v>
      </c>
      <c r="G269" s="92" t="b">
        <v>0</v>
      </c>
    </row>
    <row r="270" spans="1:7" ht="15">
      <c r="A270" s="93" t="s">
        <v>1115</v>
      </c>
      <c r="B270" s="92">
        <v>2</v>
      </c>
      <c r="C270" s="125">
        <v>0.0025759113820322853</v>
      </c>
      <c r="D270" s="92" t="s">
        <v>1137</v>
      </c>
      <c r="E270" s="92" t="b">
        <v>0</v>
      </c>
      <c r="F270" s="92" t="b">
        <v>0</v>
      </c>
      <c r="G270" s="92" t="b">
        <v>0</v>
      </c>
    </row>
    <row r="271" spans="1:7" ht="15">
      <c r="A271" s="93" t="s">
        <v>1116</v>
      </c>
      <c r="B271" s="92">
        <v>2</v>
      </c>
      <c r="C271" s="125">
        <v>0.0025759113820322853</v>
      </c>
      <c r="D271" s="92" t="s">
        <v>1137</v>
      </c>
      <c r="E271" s="92" t="b">
        <v>0</v>
      </c>
      <c r="F271" s="92" t="b">
        <v>0</v>
      </c>
      <c r="G271" s="92" t="b">
        <v>0</v>
      </c>
    </row>
    <row r="272" spans="1:7" ht="15">
      <c r="A272" s="93" t="s">
        <v>1117</v>
      </c>
      <c r="B272" s="92">
        <v>2</v>
      </c>
      <c r="C272" s="125">
        <v>0.0025759113820322853</v>
      </c>
      <c r="D272" s="92" t="s">
        <v>1137</v>
      </c>
      <c r="E272" s="92" t="b">
        <v>1</v>
      </c>
      <c r="F272" s="92" t="b">
        <v>0</v>
      </c>
      <c r="G272" s="92" t="b">
        <v>0</v>
      </c>
    </row>
    <row r="273" spans="1:7" ht="15">
      <c r="A273" s="93" t="s">
        <v>736</v>
      </c>
      <c r="B273" s="92">
        <v>2</v>
      </c>
      <c r="C273" s="125">
        <v>0.0030801492307156704</v>
      </c>
      <c r="D273" s="92" t="s">
        <v>1137</v>
      </c>
      <c r="E273" s="92" t="b">
        <v>0</v>
      </c>
      <c r="F273" s="92" t="b">
        <v>0</v>
      </c>
      <c r="G273" s="92" t="b">
        <v>0</v>
      </c>
    </row>
    <row r="274" spans="1:7" ht="15">
      <c r="A274" s="93" t="s">
        <v>690</v>
      </c>
      <c r="B274" s="92">
        <v>2</v>
      </c>
      <c r="C274" s="125">
        <v>0.0025759113820322853</v>
      </c>
      <c r="D274" s="92" t="s">
        <v>1137</v>
      </c>
      <c r="E274" s="92" t="b">
        <v>0</v>
      </c>
      <c r="F274" s="92" t="b">
        <v>0</v>
      </c>
      <c r="G274" s="92" t="b">
        <v>0</v>
      </c>
    </row>
    <row r="275" spans="1:7" ht="15">
      <c r="A275" s="93" t="s">
        <v>1118</v>
      </c>
      <c r="B275" s="92">
        <v>2</v>
      </c>
      <c r="C275" s="125">
        <v>0.0025759113820322853</v>
      </c>
      <c r="D275" s="92" t="s">
        <v>1137</v>
      </c>
      <c r="E275" s="92" t="b">
        <v>0</v>
      </c>
      <c r="F275" s="92" t="b">
        <v>0</v>
      </c>
      <c r="G275" s="92" t="b">
        <v>0</v>
      </c>
    </row>
    <row r="276" spans="1:7" ht="15">
      <c r="A276" s="93" t="s">
        <v>1119</v>
      </c>
      <c r="B276" s="92">
        <v>2</v>
      </c>
      <c r="C276" s="125">
        <v>0.0025759113820322853</v>
      </c>
      <c r="D276" s="92" t="s">
        <v>1137</v>
      </c>
      <c r="E276" s="92" t="b">
        <v>1</v>
      </c>
      <c r="F276" s="92" t="b">
        <v>0</v>
      </c>
      <c r="G276" s="92" t="b">
        <v>0</v>
      </c>
    </row>
    <row r="277" spans="1:7" ht="15">
      <c r="A277" s="93" t="s">
        <v>1120</v>
      </c>
      <c r="B277" s="92">
        <v>2</v>
      </c>
      <c r="C277" s="125">
        <v>0.0030801492307156704</v>
      </c>
      <c r="D277" s="92" t="s">
        <v>1137</v>
      </c>
      <c r="E277" s="92" t="b">
        <v>0</v>
      </c>
      <c r="F277" s="92" t="b">
        <v>0</v>
      </c>
      <c r="G277" s="92" t="b">
        <v>0</v>
      </c>
    </row>
    <row r="278" spans="1:7" ht="15">
      <c r="A278" s="93" t="s">
        <v>280</v>
      </c>
      <c r="B278" s="92">
        <v>2</v>
      </c>
      <c r="C278" s="125">
        <v>0.0025759113820322853</v>
      </c>
      <c r="D278" s="92" t="s">
        <v>1137</v>
      </c>
      <c r="E278" s="92" t="b">
        <v>0</v>
      </c>
      <c r="F278" s="92" t="b">
        <v>0</v>
      </c>
      <c r="G278" s="92" t="b">
        <v>0</v>
      </c>
    </row>
    <row r="279" spans="1:7" ht="15">
      <c r="A279" s="93" t="s">
        <v>731</v>
      </c>
      <c r="B279" s="92">
        <v>2</v>
      </c>
      <c r="C279" s="125">
        <v>0.0025759113820322853</v>
      </c>
      <c r="D279" s="92" t="s">
        <v>1137</v>
      </c>
      <c r="E279" s="92" t="b">
        <v>1</v>
      </c>
      <c r="F279" s="92" t="b">
        <v>0</v>
      </c>
      <c r="G279" s="92" t="b">
        <v>0</v>
      </c>
    </row>
    <row r="280" spans="1:7" ht="15">
      <c r="A280" s="93" t="s">
        <v>733</v>
      </c>
      <c r="B280" s="92">
        <v>2</v>
      </c>
      <c r="C280" s="125">
        <v>0.0025759113820322853</v>
      </c>
      <c r="D280" s="92" t="s">
        <v>1137</v>
      </c>
      <c r="E280" s="92" t="b">
        <v>0</v>
      </c>
      <c r="F280" s="92" t="b">
        <v>0</v>
      </c>
      <c r="G280" s="92" t="b">
        <v>0</v>
      </c>
    </row>
    <row r="281" spans="1:7" ht="15">
      <c r="A281" s="93" t="s">
        <v>1121</v>
      </c>
      <c r="B281" s="92">
        <v>2</v>
      </c>
      <c r="C281" s="125">
        <v>0.0025759113820322853</v>
      </c>
      <c r="D281" s="92" t="s">
        <v>1137</v>
      </c>
      <c r="E281" s="92" t="b">
        <v>0</v>
      </c>
      <c r="F281" s="92" t="b">
        <v>0</v>
      </c>
      <c r="G281" s="92" t="b">
        <v>0</v>
      </c>
    </row>
    <row r="282" spans="1:7" ht="15">
      <c r="A282" s="93" t="s">
        <v>1122</v>
      </c>
      <c r="B282" s="92">
        <v>2</v>
      </c>
      <c r="C282" s="125">
        <v>0.0025759113820322853</v>
      </c>
      <c r="D282" s="92" t="s">
        <v>1137</v>
      </c>
      <c r="E282" s="92" t="b">
        <v>0</v>
      </c>
      <c r="F282" s="92" t="b">
        <v>0</v>
      </c>
      <c r="G282" s="92" t="b">
        <v>0</v>
      </c>
    </row>
    <row r="283" spans="1:7" ht="15">
      <c r="A283" s="93" t="s">
        <v>1123</v>
      </c>
      <c r="B283" s="92">
        <v>2</v>
      </c>
      <c r="C283" s="125">
        <v>0.0025759113820322853</v>
      </c>
      <c r="D283" s="92" t="s">
        <v>1137</v>
      </c>
      <c r="E283" s="92" t="b">
        <v>0</v>
      </c>
      <c r="F283" s="92" t="b">
        <v>0</v>
      </c>
      <c r="G283" s="92" t="b">
        <v>0</v>
      </c>
    </row>
    <row r="284" spans="1:7" ht="15">
      <c r="A284" s="93" t="s">
        <v>1124</v>
      </c>
      <c r="B284" s="92">
        <v>2</v>
      </c>
      <c r="C284" s="125">
        <v>0.0025759113820322853</v>
      </c>
      <c r="D284" s="92" t="s">
        <v>1137</v>
      </c>
      <c r="E284" s="92" t="b">
        <v>0</v>
      </c>
      <c r="F284" s="92" t="b">
        <v>0</v>
      </c>
      <c r="G284" s="92" t="b">
        <v>0</v>
      </c>
    </row>
    <row r="285" spans="1:7" ht="15">
      <c r="A285" s="93" t="s">
        <v>1125</v>
      </c>
      <c r="B285" s="92">
        <v>2</v>
      </c>
      <c r="C285" s="125">
        <v>0.0025759113820322853</v>
      </c>
      <c r="D285" s="92" t="s">
        <v>1137</v>
      </c>
      <c r="E285" s="92" t="b">
        <v>0</v>
      </c>
      <c r="F285" s="92" t="b">
        <v>0</v>
      </c>
      <c r="G285" s="92" t="b">
        <v>0</v>
      </c>
    </row>
    <row r="286" spans="1:7" ht="15">
      <c r="A286" s="93" t="s">
        <v>1126</v>
      </c>
      <c r="B286" s="92">
        <v>2</v>
      </c>
      <c r="C286" s="125">
        <v>0.0025759113820322853</v>
      </c>
      <c r="D286" s="92" t="s">
        <v>1137</v>
      </c>
      <c r="E286" s="92" t="b">
        <v>0</v>
      </c>
      <c r="F286" s="92" t="b">
        <v>0</v>
      </c>
      <c r="G286" s="92" t="b">
        <v>0</v>
      </c>
    </row>
    <row r="287" spans="1:7" ht="15">
      <c r="A287" s="93" t="s">
        <v>1127</v>
      </c>
      <c r="B287" s="92">
        <v>2</v>
      </c>
      <c r="C287" s="125">
        <v>0.0025759113820322853</v>
      </c>
      <c r="D287" s="92" t="s">
        <v>1137</v>
      </c>
      <c r="E287" s="92" t="b">
        <v>0</v>
      </c>
      <c r="F287" s="92" t="b">
        <v>0</v>
      </c>
      <c r="G287" s="92" t="b">
        <v>0</v>
      </c>
    </row>
    <row r="288" spans="1:7" ht="15">
      <c r="A288" s="93" t="s">
        <v>1128</v>
      </c>
      <c r="B288" s="92">
        <v>2</v>
      </c>
      <c r="C288" s="125">
        <v>0.0025759113820322853</v>
      </c>
      <c r="D288" s="92" t="s">
        <v>1137</v>
      </c>
      <c r="E288" s="92" t="b">
        <v>1</v>
      </c>
      <c r="F288" s="92" t="b">
        <v>0</v>
      </c>
      <c r="G288" s="92" t="b">
        <v>0</v>
      </c>
    </row>
    <row r="289" spans="1:7" ht="15">
      <c r="A289" s="93" t="s">
        <v>1129</v>
      </c>
      <c r="B289" s="92">
        <v>2</v>
      </c>
      <c r="C289" s="125">
        <v>0.0030801492307156704</v>
      </c>
      <c r="D289" s="92" t="s">
        <v>1137</v>
      </c>
      <c r="E289" s="92" t="b">
        <v>0</v>
      </c>
      <c r="F289" s="92" t="b">
        <v>0</v>
      </c>
      <c r="G289" s="92" t="b">
        <v>0</v>
      </c>
    </row>
    <row r="290" spans="1:7" ht="15">
      <c r="A290" s="93" t="s">
        <v>1130</v>
      </c>
      <c r="B290" s="92">
        <v>2</v>
      </c>
      <c r="C290" s="125">
        <v>0.0030801492307156704</v>
      </c>
      <c r="D290" s="92" t="s">
        <v>1137</v>
      </c>
      <c r="E290" s="92" t="b">
        <v>0</v>
      </c>
      <c r="F290" s="92" t="b">
        <v>0</v>
      </c>
      <c r="G290" s="92" t="b">
        <v>0</v>
      </c>
    </row>
    <row r="291" spans="1:7" ht="15">
      <c r="A291" s="93" t="s">
        <v>1131</v>
      </c>
      <c r="B291" s="92">
        <v>2</v>
      </c>
      <c r="C291" s="125">
        <v>0.0030801492307156704</v>
      </c>
      <c r="D291" s="92" t="s">
        <v>1137</v>
      </c>
      <c r="E291" s="92" t="b">
        <v>0</v>
      </c>
      <c r="F291" s="92" t="b">
        <v>0</v>
      </c>
      <c r="G291" s="92" t="b">
        <v>0</v>
      </c>
    </row>
    <row r="292" spans="1:7" ht="15">
      <c r="A292" s="93" t="s">
        <v>701</v>
      </c>
      <c r="B292" s="92">
        <v>48</v>
      </c>
      <c r="C292" s="125">
        <v>0</v>
      </c>
      <c r="D292" s="92" t="s">
        <v>649</v>
      </c>
      <c r="E292" s="92" t="b">
        <v>0</v>
      </c>
      <c r="F292" s="92" t="b">
        <v>0</v>
      </c>
      <c r="G292" s="92" t="b">
        <v>0</v>
      </c>
    </row>
    <row r="293" spans="1:7" ht="15">
      <c r="A293" s="93" t="s">
        <v>703</v>
      </c>
      <c r="B293" s="92">
        <v>15</v>
      </c>
      <c r="C293" s="125">
        <v>0.01193747298912989</v>
      </c>
      <c r="D293" s="92" t="s">
        <v>649</v>
      </c>
      <c r="E293" s="92" t="b">
        <v>0</v>
      </c>
      <c r="F293" s="92" t="b">
        <v>0</v>
      </c>
      <c r="G293" s="92" t="b">
        <v>0</v>
      </c>
    </row>
    <row r="294" spans="1:7" ht="15">
      <c r="A294" s="93" t="s">
        <v>702</v>
      </c>
      <c r="B294" s="92">
        <v>15</v>
      </c>
      <c r="C294" s="125">
        <v>0.009424439894028098</v>
      </c>
      <c r="D294" s="92" t="s">
        <v>649</v>
      </c>
      <c r="E294" s="92" t="b">
        <v>0</v>
      </c>
      <c r="F294" s="92" t="b">
        <v>0</v>
      </c>
      <c r="G294" s="92" t="b">
        <v>0</v>
      </c>
    </row>
    <row r="295" spans="1:7" ht="15">
      <c r="A295" s="93" t="s">
        <v>706</v>
      </c>
      <c r="B295" s="92">
        <v>12</v>
      </c>
      <c r="C295" s="125">
        <v>0.008985970019820334</v>
      </c>
      <c r="D295" s="92" t="s">
        <v>649</v>
      </c>
      <c r="E295" s="92" t="b">
        <v>0</v>
      </c>
      <c r="F295" s="92" t="b">
        <v>0</v>
      </c>
      <c r="G295" s="92" t="b">
        <v>0</v>
      </c>
    </row>
    <row r="296" spans="1:7" ht="15">
      <c r="A296" s="93" t="s">
        <v>705</v>
      </c>
      <c r="B296" s="92">
        <v>10</v>
      </c>
      <c r="C296" s="125">
        <v>0.00847314971860183</v>
      </c>
      <c r="D296" s="92" t="s">
        <v>649</v>
      </c>
      <c r="E296" s="92" t="b">
        <v>1</v>
      </c>
      <c r="F296" s="92" t="b">
        <v>0</v>
      </c>
      <c r="G296" s="92" t="b">
        <v>0</v>
      </c>
    </row>
    <row r="297" spans="1:7" ht="15">
      <c r="A297" s="93" t="s">
        <v>704</v>
      </c>
      <c r="B297" s="92">
        <v>9</v>
      </c>
      <c r="C297" s="125">
        <v>0.008138045461973085</v>
      </c>
      <c r="D297" s="92" t="s">
        <v>649</v>
      </c>
      <c r="E297" s="92" t="b">
        <v>0</v>
      </c>
      <c r="F297" s="92" t="b">
        <v>0</v>
      </c>
      <c r="G297" s="92" t="b">
        <v>0</v>
      </c>
    </row>
    <row r="298" spans="1:7" ht="15">
      <c r="A298" s="93" t="s">
        <v>707</v>
      </c>
      <c r="B298" s="92">
        <v>8</v>
      </c>
      <c r="C298" s="125">
        <v>0.007742798511280036</v>
      </c>
      <c r="D298" s="92" t="s">
        <v>649</v>
      </c>
      <c r="E298" s="92" t="b">
        <v>0</v>
      </c>
      <c r="F298" s="92" t="b">
        <v>0</v>
      </c>
      <c r="G298" s="92" t="b">
        <v>0</v>
      </c>
    </row>
    <row r="299" spans="1:7" ht="15">
      <c r="A299" s="93" t="s">
        <v>712</v>
      </c>
      <c r="B299" s="92">
        <v>8</v>
      </c>
      <c r="C299" s="125">
        <v>0.010738121851220148</v>
      </c>
      <c r="D299" s="92" t="s">
        <v>649</v>
      </c>
      <c r="E299" s="92" t="b">
        <v>0</v>
      </c>
      <c r="F299" s="92" t="b">
        <v>0</v>
      </c>
      <c r="G299" s="92" t="b">
        <v>0</v>
      </c>
    </row>
    <row r="300" spans="1:7" ht="15">
      <c r="A300" s="93" t="s">
        <v>713</v>
      </c>
      <c r="B300" s="92">
        <v>8</v>
      </c>
      <c r="C300" s="125">
        <v>0.010738121851220148</v>
      </c>
      <c r="D300" s="92" t="s">
        <v>649</v>
      </c>
      <c r="E300" s="92" t="b">
        <v>0</v>
      </c>
      <c r="F300" s="92" t="b">
        <v>0</v>
      </c>
      <c r="G300" s="92" t="b">
        <v>0</v>
      </c>
    </row>
    <row r="301" spans="1:7" ht="15">
      <c r="A301" s="93" t="s">
        <v>710</v>
      </c>
      <c r="B301" s="92">
        <v>8</v>
      </c>
      <c r="C301" s="125">
        <v>0.007742798511280036</v>
      </c>
      <c r="D301" s="92" t="s">
        <v>649</v>
      </c>
      <c r="E301" s="92" t="b">
        <v>0</v>
      </c>
      <c r="F301" s="92" t="b">
        <v>0</v>
      </c>
      <c r="G301" s="92" t="b">
        <v>0</v>
      </c>
    </row>
    <row r="302" spans="1:7" ht="15">
      <c r="A302" s="93" t="s">
        <v>708</v>
      </c>
      <c r="B302" s="92">
        <v>8</v>
      </c>
      <c r="C302" s="125">
        <v>0.007742798511280036</v>
      </c>
      <c r="D302" s="92" t="s">
        <v>649</v>
      </c>
      <c r="E302" s="92" t="b">
        <v>1</v>
      </c>
      <c r="F302" s="92" t="b">
        <v>0</v>
      </c>
      <c r="G302" s="92" t="b">
        <v>0</v>
      </c>
    </row>
    <row r="303" spans="1:7" ht="15">
      <c r="A303" s="93" t="s">
        <v>887</v>
      </c>
      <c r="B303" s="92">
        <v>7</v>
      </c>
      <c r="C303" s="125">
        <v>0.007279853708369792</v>
      </c>
      <c r="D303" s="92" t="s">
        <v>649</v>
      </c>
      <c r="E303" s="92" t="b">
        <v>1</v>
      </c>
      <c r="F303" s="92" t="b">
        <v>0</v>
      </c>
      <c r="G303" s="92" t="b">
        <v>0</v>
      </c>
    </row>
    <row r="304" spans="1:7" ht="15">
      <c r="A304" s="93" t="s">
        <v>889</v>
      </c>
      <c r="B304" s="92">
        <v>7</v>
      </c>
      <c r="C304" s="125">
        <v>0.007862723767342792</v>
      </c>
      <c r="D304" s="92" t="s">
        <v>649</v>
      </c>
      <c r="E304" s="92" t="b">
        <v>0</v>
      </c>
      <c r="F304" s="92" t="b">
        <v>0</v>
      </c>
      <c r="G304" s="92" t="b">
        <v>0</v>
      </c>
    </row>
    <row r="305" spans="1:7" ht="15">
      <c r="A305" s="93" t="s">
        <v>890</v>
      </c>
      <c r="B305" s="92">
        <v>6</v>
      </c>
      <c r="C305" s="125">
        <v>0.00673947751486525</v>
      </c>
      <c r="D305" s="92" t="s">
        <v>649</v>
      </c>
      <c r="E305" s="92" t="b">
        <v>0</v>
      </c>
      <c r="F305" s="92" t="b">
        <v>0</v>
      </c>
      <c r="G305" s="92" t="b">
        <v>0</v>
      </c>
    </row>
    <row r="306" spans="1:7" ht="15">
      <c r="A306" s="93" t="s">
        <v>886</v>
      </c>
      <c r="B306" s="92">
        <v>6</v>
      </c>
      <c r="C306" s="125">
        <v>0.00673947751486525</v>
      </c>
      <c r="D306" s="92" t="s">
        <v>649</v>
      </c>
      <c r="E306" s="92" t="b">
        <v>0</v>
      </c>
      <c r="F306" s="92" t="b">
        <v>0</v>
      </c>
      <c r="G306" s="92" t="b">
        <v>0</v>
      </c>
    </row>
    <row r="307" spans="1:7" ht="15">
      <c r="A307" s="93" t="s">
        <v>901</v>
      </c>
      <c r="B307" s="92">
        <v>6</v>
      </c>
      <c r="C307" s="125">
        <v>0.00673947751486525</v>
      </c>
      <c r="D307" s="92" t="s">
        <v>649</v>
      </c>
      <c r="E307" s="92" t="b">
        <v>0</v>
      </c>
      <c r="F307" s="92" t="b">
        <v>0</v>
      </c>
      <c r="G307" s="92" t="b">
        <v>0</v>
      </c>
    </row>
    <row r="308" spans="1:7" ht="15">
      <c r="A308" s="93" t="s">
        <v>888</v>
      </c>
      <c r="B308" s="92">
        <v>6</v>
      </c>
      <c r="C308" s="125">
        <v>0.00673947751486525</v>
      </c>
      <c r="D308" s="92" t="s">
        <v>649</v>
      </c>
      <c r="E308" s="92" t="b">
        <v>0</v>
      </c>
      <c r="F308" s="92" t="b">
        <v>0</v>
      </c>
      <c r="G308" s="92" t="b">
        <v>0</v>
      </c>
    </row>
    <row r="309" spans="1:7" ht="15">
      <c r="A309" s="93" t="s">
        <v>725</v>
      </c>
      <c r="B309" s="92">
        <v>6</v>
      </c>
      <c r="C309" s="125">
        <v>0.0073303823361161825</v>
      </c>
      <c r="D309" s="92" t="s">
        <v>649</v>
      </c>
      <c r="E309" s="92" t="b">
        <v>0</v>
      </c>
      <c r="F309" s="92" t="b">
        <v>0</v>
      </c>
      <c r="G309" s="92" t="b">
        <v>0</v>
      </c>
    </row>
    <row r="310" spans="1:7" ht="15">
      <c r="A310" s="93" t="s">
        <v>893</v>
      </c>
      <c r="B310" s="92">
        <v>5</v>
      </c>
      <c r="C310" s="125">
        <v>0.006108651946763486</v>
      </c>
      <c r="D310" s="92" t="s">
        <v>649</v>
      </c>
      <c r="E310" s="92" t="b">
        <v>0</v>
      </c>
      <c r="F310" s="92" t="b">
        <v>1</v>
      </c>
      <c r="G310" s="92" t="b">
        <v>0</v>
      </c>
    </row>
    <row r="311" spans="1:7" ht="15">
      <c r="A311" s="93" t="s">
        <v>925</v>
      </c>
      <c r="B311" s="92">
        <v>5</v>
      </c>
      <c r="C311" s="125">
        <v>0.006108651946763486</v>
      </c>
      <c r="D311" s="92" t="s">
        <v>649</v>
      </c>
      <c r="E311" s="92" t="b">
        <v>0</v>
      </c>
      <c r="F311" s="92" t="b">
        <v>0</v>
      </c>
      <c r="G311" s="92" t="b">
        <v>0</v>
      </c>
    </row>
    <row r="312" spans="1:7" ht="15">
      <c r="A312" s="93" t="s">
        <v>918</v>
      </c>
      <c r="B312" s="92">
        <v>5</v>
      </c>
      <c r="C312" s="125">
        <v>0.006108651946763486</v>
      </c>
      <c r="D312" s="92" t="s">
        <v>649</v>
      </c>
      <c r="E312" s="92" t="b">
        <v>0</v>
      </c>
      <c r="F312" s="92" t="b">
        <v>0</v>
      </c>
      <c r="G312" s="92" t="b">
        <v>0</v>
      </c>
    </row>
    <row r="313" spans="1:7" ht="15">
      <c r="A313" s="93" t="s">
        <v>919</v>
      </c>
      <c r="B313" s="92">
        <v>5</v>
      </c>
      <c r="C313" s="125">
        <v>0.006108651946763486</v>
      </c>
      <c r="D313" s="92" t="s">
        <v>649</v>
      </c>
      <c r="E313" s="92" t="b">
        <v>0</v>
      </c>
      <c r="F313" s="92" t="b">
        <v>0</v>
      </c>
      <c r="G313" s="92" t="b">
        <v>0</v>
      </c>
    </row>
    <row r="314" spans="1:7" ht="15">
      <c r="A314" s="93" t="s">
        <v>709</v>
      </c>
      <c r="B314" s="92">
        <v>5</v>
      </c>
      <c r="C314" s="125">
        <v>0.006108651946763486</v>
      </c>
      <c r="D314" s="92" t="s">
        <v>649</v>
      </c>
      <c r="E314" s="92" t="b">
        <v>0</v>
      </c>
      <c r="F314" s="92" t="b">
        <v>0</v>
      </c>
      <c r="G314" s="92" t="b">
        <v>0</v>
      </c>
    </row>
    <row r="315" spans="1:7" ht="15">
      <c r="A315" s="93" t="s">
        <v>923</v>
      </c>
      <c r="B315" s="92">
        <v>5</v>
      </c>
      <c r="C315" s="125">
        <v>0.007488308349850279</v>
      </c>
      <c r="D315" s="92" t="s">
        <v>649</v>
      </c>
      <c r="E315" s="92" t="b">
        <v>0</v>
      </c>
      <c r="F315" s="92" t="b">
        <v>0</v>
      </c>
      <c r="G315" s="92" t="b">
        <v>0</v>
      </c>
    </row>
    <row r="316" spans="1:7" ht="15">
      <c r="A316" s="93" t="s">
        <v>921</v>
      </c>
      <c r="B316" s="92">
        <v>5</v>
      </c>
      <c r="C316" s="125">
        <v>0.007488308349850279</v>
      </c>
      <c r="D316" s="92" t="s">
        <v>649</v>
      </c>
      <c r="E316" s="92" t="b">
        <v>0</v>
      </c>
      <c r="F316" s="92" t="b">
        <v>0</v>
      </c>
      <c r="G316" s="92" t="b">
        <v>0</v>
      </c>
    </row>
    <row r="317" spans="1:7" ht="15">
      <c r="A317" s="93" t="s">
        <v>959</v>
      </c>
      <c r="B317" s="92">
        <v>4</v>
      </c>
      <c r="C317" s="125">
        <v>0.005369060925610074</v>
      </c>
      <c r="D317" s="92" t="s">
        <v>649</v>
      </c>
      <c r="E317" s="92" t="b">
        <v>0</v>
      </c>
      <c r="F317" s="92" t="b">
        <v>0</v>
      </c>
      <c r="G317" s="92" t="b">
        <v>0</v>
      </c>
    </row>
    <row r="318" spans="1:7" ht="15">
      <c r="A318" s="93" t="s">
        <v>960</v>
      </c>
      <c r="B318" s="92">
        <v>4</v>
      </c>
      <c r="C318" s="125">
        <v>0.005369060925610074</v>
      </c>
      <c r="D318" s="92" t="s">
        <v>649</v>
      </c>
      <c r="E318" s="92" t="b">
        <v>0</v>
      </c>
      <c r="F318" s="92" t="b">
        <v>0</v>
      </c>
      <c r="G318" s="92" t="b">
        <v>0</v>
      </c>
    </row>
    <row r="319" spans="1:7" ht="15">
      <c r="A319" s="93" t="s">
        <v>961</v>
      </c>
      <c r="B319" s="92">
        <v>4</v>
      </c>
      <c r="C319" s="125">
        <v>0.005369060925610074</v>
      </c>
      <c r="D319" s="92" t="s">
        <v>649</v>
      </c>
      <c r="E319" s="92" t="b">
        <v>0</v>
      </c>
      <c r="F319" s="92" t="b">
        <v>0</v>
      </c>
      <c r="G319" s="92" t="b">
        <v>0</v>
      </c>
    </row>
    <row r="320" spans="1:7" ht="15">
      <c r="A320" s="93" t="s">
        <v>962</v>
      </c>
      <c r="B320" s="92">
        <v>4</v>
      </c>
      <c r="C320" s="125">
        <v>0.005369060925610074</v>
      </c>
      <c r="D320" s="92" t="s">
        <v>649</v>
      </c>
      <c r="E320" s="92" t="b">
        <v>1</v>
      </c>
      <c r="F320" s="92" t="b">
        <v>0</v>
      </c>
      <c r="G320" s="92" t="b">
        <v>0</v>
      </c>
    </row>
    <row r="321" spans="1:7" ht="15">
      <c r="A321" s="93" t="s">
        <v>963</v>
      </c>
      <c r="B321" s="92">
        <v>4</v>
      </c>
      <c r="C321" s="125">
        <v>0.005369060925610074</v>
      </c>
      <c r="D321" s="92" t="s">
        <v>649</v>
      </c>
      <c r="E321" s="92" t="b">
        <v>0</v>
      </c>
      <c r="F321" s="92" t="b">
        <v>0</v>
      </c>
      <c r="G321" s="92" t="b">
        <v>0</v>
      </c>
    </row>
    <row r="322" spans="1:7" ht="15">
      <c r="A322" s="93" t="s">
        <v>964</v>
      </c>
      <c r="B322" s="92">
        <v>4</v>
      </c>
      <c r="C322" s="125">
        <v>0.005369060925610074</v>
      </c>
      <c r="D322" s="92" t="s">
        <v>649</v>
      </c>
      <c r="E322" s="92" t="b">
        <v>0</v>
      </c>
      <c r="F322" s="92" t="b">
        <v>0</v>
      </c>
      <c r="G322" s="92" t="b">
        <v>0</v>
      </c>
    </row>
    <row r="323" spans="1:7" ht="15">
      <c r="A323" s="93" t="s">
        <v>965</v>
      </c>
      <c r="B323" s="92">
        <v>4</v>
      </c>
      <c r="C323" s="125">
        <v>0.005369060925610074</v>
      </c>
      <c r="D323" s="92" t="s">
        <v>649</v>
      </c>
      <c r="E323" s="92" t="b">
        <v>0</v>
      </c>
      <c r="F323" s="92" t="b">
        <v>0</v>
      </c>
      <c r="G323" s="92" t="b">
        <v>0</v>
      </c>
    </row>
    <row r="324" spans="1:7" ht="15">
      <c r="A324" s="93" t="s">
        <v>966</v>
      </c>
      <c r="B324" s="92">
        <v>4</v>
      </c>
      <c r="C324" s="125">
        <v>0.005369060925610074</v>
      </c>
      <c r="D324" s="92" t="s">
        <v>649</v>
      </c>
      <c r="E324" s="92" t="b">
        <v>0</v>
      </c>
      <c r="F324" s="92" t="b">
        <v>0</v>
      </c>
      <c r="G324" s="92" t="b">
        <v>0</v>
      </c>
    </row>
    <row r="325" spans="1:7" ht="15">
      <c r="A325" s="93" t="s">
        <v>924</v>
      </c>
      <c r="B325" s="92">
        <v>4</v>
      </c>
      <c r="C325" s="125">
        <v>0.005369060925610074</v>
      </c>
      <c r="D325" s="92" t="s">
        <v>649</v>
      </c>
      <c r="E325" s="92" t="b">
        <v>0</v>
      </c>
      <c r="F325" s="92" t="b">
        <v>0</v>
      </c>
      <c r="G325" s="92" t="b">
        <v>0</v>
      </c>
    </row>
    <row r="326" spans="1:7" ht="15">
      <c r="A326" s="93" t="s">
        <v>967</v>
      </c>
      <c r="B326" s="92">
        <v>4</v>
      </c>
      <c r="C326" s="125">
        <v>0.005369060925610074</v>
      </c>
      <c r="D326" s="92" t="s">
        <v>649</v>
      </c>
      <c r="E326" s="92" t="b">
        <v>1</v>
      </c>
      <c r="F326" s="92" t="b">
        <v>0</v>
      </c>
      <c r="G326" s="92" t="b">
        <v>0</v>
      </c>
    </row>
    <row r="327" spans="1:7" ht="15">
      <c r="A327" s="93" t="s">
        <v>899</v>
      </c>
      <c r="B327" s="92">
        <v>4</v>
      </c>
      <c r="C327" s="125">
        <v>0.005369060925610074</v>
      </c>
      <c r="D327" s="92" t="s">
        <v>649</v>
      </c>
      <c r="E327" s="92" t="b">
        <v>0</v>
      </c>
      <c r="F327" s="92" t="b">
        <v>0</v>
      </c>
      <c r="G327" s="92" t="b">
        <v>0</v>
      </c>
    </row>
    <row r="328" spans="1:7" ht="15">
      <c r="A328" s="93" t="s">
        <v>900</v>
      </c>
      <c r="B328" s="92">
        <v>4</v>
      </c>
      <c r="C328" s="125">
        <v>0.005369060925610074</v>
      </c>
      <c r="D328" s="92" t="s">
        <v>649</v>
      </c>
      <c r="E328" s="92" t="b">
        <v>0</v>
      </c>
      <c r="F328" s="92" t="b">
        <v>0</v>
      </c>
      <c r="G328" s="92" t="b">
        <v>0</v>
      </c>
    </row>
    <row r="329" spans="1:7" ht="15">
      <c r="A329" s="93" t="s">
        <v>968</v>
      </c>
      <c r="B329" s="92">
        <v>4</v>
      </c>
      <c r="C329" s="125">
        <v>0.005369060925610074</v>
      </c>
      <c r="D329" s="92" t="s">
        <v>649</v>
      </c>
      <c r="E329" s="92" t="b">
        <v>0</v>
      </c>
      <c r="F329" s="92" t="b">
        <v>0</v>
      </c>
      <c r="G329" s="92" t="b">
        <v>0</v>
      </c>
    </row>
    <row r="330" spans="1:7" ht="15">
      <c r="A330" s="93" t="s">
        <v>969</v>
      </c>
      <c r="B330" s="92">
        <v>4</v>
      </c>
      <c r="C330" s="125">
        <v>0.005369060925610074</v>
      </c>
      <c r="D330" s="92" t="s">
        <v>649</v>
      </c>
      <c r="E330" s="92" t="b">
        <v>0</v>
      </c>
      <c r="F330" s="92" t="b">
        <v>0</v>
      </c>
      <c r="G330" s="92" t="b">
        <v>0</v>
      </c>
    </row>
    <row r="331" spans="1:7" ht="15">
      <c r="A331" s="93" t="s">
        <v>970</v>
      </c>
      <c r="B331" s="92">
        <v>4</v>
      </c>
      <c r="C331" s="125">
        <v>0.005369060925610074</v>
      </c>
      <c r="D331" s="92" t="s">
        <v>649</v>
      </c>
      <c r="E331" s="92" t="b">
        <v>0</v>
      </c>
      <c r="F331" s="92" t="b">
        <v>0</v>
      </c>
      <c r="G331" s="92" t="b">
        <v>0</v>
      </c>
    </row>
    <row r="332" spans="1:7" ht="15">
      <c r="A332" s="93" t="s">
        <v>971</v>
      </c>
      <c r="B332" s="92">
        <v>4</v>
      </c>
      <c r="C332" s="125">
        <v>0.005369060925610074</v>
      </c>
      <c r="D332" s="92" t="s">
        <v>649</v>
      </c>
      <c r="E332" s="92" t="b">
        <v>0</v>
      </c>
      <c r="F332" s="92" t="b">
        <v>0</v>
      </c>
      <c r="G332" s="92" t="b">
        <v>0</v>
      </c>
    </row>
    <row r="333" spans="1:7" ht="15">
      <c r="A333" s="93" t="s">
        <v>920</v>
      </c>
      <c r="B333" s="92">
        <v>4</v>
      </c>
      <c r="C333" s="125">
        <v>0.005369060925610074</v>
      </c>
      <c r="D333" s="92" t="s">
        <v>649</v>
      </c>
      <c r="E333" s="92" t="b">
        <v>1</v>
      </c>
      <c r="F333" s="92" t="b">
        <v>0</v>
      </c>
      <c r="G333" s="92" t="b">
        <v>0</v>
      </c>
    </row>
    <row r="334" spans="1:7" ht="15">
      <c r="A334" s="93" t="s">
        <v>949</v>
      </c>
      <c r="B334" s="92">
        <v>4</v>
      </c>
      <c r="C334" s="125">
        <v>0.005369060925610074</v>
      </c>
      <c r="D334" s="92" t="s">
        <v>649</v>
      </c>
      <c r="E334" s="92" t="b">
        <v>0</v>
      </c>
      <c r="F334" s="92" t="b">
        <v>0</v>
      </c>
      <c r="G334" s="92" t="b">
        <v>0</v>
      </c>
    </row>
    <row r="335" spans="1:7" ht="15">
      <c r="A335" s="93" t="s">
        <v>716</v>
      </c>
      <c r="B335" s="92">
        <v>4</v>
      </c>
      <c r="C335" s="125">
        <v>0.005369060925610074</v>
      </c>
      <c r="D335" s="92" t="s">
        <v>649</v>
      </c>
      <c r="E335" s="92" t="b">
        <v>0</v>
      </c>
      <c r="F335" s="92" t="b">
        <v>0</v>
      </c>
      <c r="G335" s="92" t="b">
        <v>0</v>
      </c>
    </row>
    <row r="336" spans="1:7" ht="15">
      <c r="A336" s="93" t="s">
        <v>950</v>
      </c>
      <c r="B336" s="92">
        <v>4</v>
      </c>
      <c r="C336" s="125">
        <v>0.005369060925610074</v>
      </c>
      <c r="D336" s="92" t="s">
        <v>649</v>
      </c>
      <c r="E336" s="92" t="b">
        <v>0</v>
      </c>
      <c r="F336" s="92" t="b">
        <v>0</v>
      </c>
      <c r="G336" s="92" t="b">
        <v>0</v>
      </c>
    </row>
    <row r="337" spans="1:7" ht="15">
      <c r="A337" s="93" t="s">
        <v>951</v>
      </c>
      <c r="B337" s="92">
        <v>4</v>
      </c>
      <c r="C337" s="125">
        <v>0.005369060925610074</v>
      </c>
      <c r="D337" s="92" t="s">
        <v>649</v>
      </c>
      <c r="E337" s="92" t="b">
        <v>0</v>
      </c>
      <c r="F337" s="92" t="b">
        <v>0</v>
      </c>
      <c r="G337" s="92" t="b">
        <v>0</v>
      </c>
    </row>
    <row r="338" spans="1:7" ht="15">
      <c r="A338" s="93" t="s">
        <v>897</v>
      </c>
      <c r="B338" s="92">
        <v>4</v>
      </c>
      <c r="C338" s="125">
        <v>0.005369060925610074</v>
      </c>
      <c r="D338" s="92" t="s">
        <v>649</v>
      </c>
      <c r="E338" s="92" t="b">
        <v>0</v>
      </c>
      <c r="F338" s="92" t="b">
        <v>0</v>
      </c>
      <c r="G338" s="92" t="b">
        <v>0</v>
      </c>
    </row>
    <row r="339" spans="1:7" ht="15">
      <c r="A339" s="93" t="s">
        <v>898</v>
      </c>
      <c r="B339" s="92">
        <v>4</v>
      </c>
      <c r="C339" s="125">
        <v>0.005369060925610074</v>
      </c>
      <c r="D339" s="92" t="s">
        <v>649</v>
      </c>
      <c r="E339" s="92" t="b">
        <v>1</v>
      </c>
      <c r="F339" s="92" t="b">
        <v>0</v>
      </c>
      <c r="G339" s="92" t="b">
        <v>0</v>
      </c>
    </row>
    <row r="340" spans="1:7" ht="15">
      <c r="A340" s="93" t="s">
        <v>892</v>
      </c>
      <c r="B340" s="92">
        <v>4</v>
      </c>
      <c r="C340" s="125">
        <v>0.005369060925610074</v>
      </c>
      <c r="D340" s="92" t="s">
        <v>649</v>
      </c>
      <c r="E340" s="92" t="b">
        <v>0</v>
      </c>
      <c r="F340" s="92" t="b">
        <v>0</v>
      </c>
      <c r="G340" s="92" t="b">
        <v>0</v>
      </c>
    </row>
    <row r="341" spans="1:7" ht="15">
      <c r="A341" s="93" t="s">
        <v>938</v>
      </c>
      <c r="B341" s="92">
        <v>4</v>
      </c>
      <c r="C341" s="125">
        <v>0.005369060925610074</v>
      </c>
      <c r="D341" s="92" t="s">
        <v>649</v>
      </c>
      <c r="E341" s="92" t="b">
        <v>0</v>
      </c>
      <c r="F341" s="92" t="b">
        <v>1</v>
      </c>
      <c r="G341" s="92" t="b">
        <v>0</v>
      </c>
    </row>
    <row r="342" spans="1:7" ht="15">
      <c r="A342" s="93" t="s">
        <v>939</v>
      </c>
      <c r="B342" s="92">
        <v>4</v>
      </c>
      <c r="C342" s="125">
        <v>0.005369060925610074</v>
      </c>
      <c r="D342" s="92" t="s">
        <v>649</v>
      </c>
      <c r="E342" s="92" t="b">
        <v>0</v>
      </c>
      <c r="F342" s="92" t="b">
        <v>0</v>
      </c>
      <c r="G342" s="92" t="b">
        <v>0</v>
      </c>
    </row>
    <row r="343" spans="1:7" ht="15">
      <c r="A343" s="93" t="s">
        <v>917</v>
      </c>
      <c r="B343" s="92">
        <v>4</v>
      </c>
      <c r="C343" s="125">
        <v>0.005369060925610074</v>
      </c>
      <c r="D343" s="92" t="s">
        <v>649</v>
      </c>
      <c r="E343" s="92" t="b">
        <v>0</v>
      </c>
      <c r="F343" s="92" t="b">
        <v>0</v>
      </c>
      <c r="G343" s="92" t="b">
        <v>0</v>
      </c>
    </row>
    <row r="344" spans="1:7" ht="15">
      <c r="A344" s="93" t="s">
        <v>940</v>
      </c>
      <c r="B344" s="92">
        <v>4</v>
      </c>
      <c r="C344" s="125">
        <v>0.005369060925610074</v>
      </c>
      <c r="D344" s="92" t="s">
        <v>649</v>
      </c>
      <c r="E344" s="92" t="b">
        <v>0</v>
      </c>
      <c r="F344" s="92" t="b">
        <v>0</v>
      </c>
      <c r="G344" s="92" t="b">
        <v>0</v>
      </c>
    </row>
    <row r="345" spans="1:7" ht="15">
      <c r="A345" s="93" t="s">
        <v>941</v>
      </c>
      <c r="B345" s="92">
        <v>4</v>
      </c>
      <c r="C345" s="125">
        <v>0.005369060925610074</v>
      </c>
      <c r="D345" s="92" t="s">
        <v>649</v>
      </c>
      <c r="E345" s="92" t="b">
        <v>0</v>
      </c>
      <c r="F345" s="92" t="b">
        <v>0</v>
      </c>
      <c r="G345" s="92" t="b">
        <v>0</v>
      </c>
    </row>
    <row r="346" spans="1:7" ht="15">
      <c r="A346" s="93" t="s">
        <v>942</v>
      </c>
      <c r="B346" s="92">
        <v>4</v>
      </c>
      <c r="C346" s="125">
        <v>0.005369060925610074</v>
      </c>
      <c r="D346" s="92" t="s">
        <v>649</v>
      </c>
      <c r="E346" s="92" t="b">
        <v>0</v>
      </c>
      <c r="F346" s="92" t="b">
        <v>0</v>
      </c>
      <c r="G346" s="92" t="b">
        <v>0</v>
      </c>
    </row>
    <row r="347" spans="1:7" ht="15">
      <c r="A347" s="93" t="s">
        <v>943</v>
      </c>
      <c r="B347" s="92">
        <v>4</v>
      </c>
      <c r="C347" s="125">
        <v>0.005369060925610074</v>
      </c>
      <c r="D347" s="92" t="s">
        <v>649</v>
      </c>
      <c r="E347" s="92" t="b">
        <v>0</v>
      </c>
      <c r="F347" s="92" t="b">
        <v>0</v>
      </c>
      <c r="G347" s="92" t="b">
        <v>0</v>
      </c>
    </row>
    <row r="348" spans="1:7" ht="15">
      <c r="A348" s="93" t="s">
        <v>944</v>
      </c>
      <c r="B348" s="92">
        <v>4</v>
      </c>
      <c r="C348" s="125">
        <v>0.005369060925610074</v>
      </c>
      <c r="D348" s="92" t="s">
        <v>649</v>
      </c>
      <c r="E348" s="92" t="b">
        <v>0</v>
      </c>
      <c r="F348" s="92" t="b">
        <v>0</v>
      </c>
      <c r="G348" s="92" t="b">
        <v>0</v>
      </c>
    </row>
    <row r="349" spans="1:7" ht="15">
      <c r="A349" s="93" t="s">
        <v>954</v>
      </c>
      <c r="B349" s="92">
        <v>4</v>
      </c>
      <c r="C349" s="125">
        <v>0.005369060925610074</v>
      </c>
      <c r="D349" s="92" t="s">
        <v>649</v>
      </c>
      <c r="E349" s="92" t="b">
        <v>0</v>
      </c>
      <c r="F349" s="92" t="b">
        <v>0</v>
      </c>
      <c r="G349" s="92" t="b">
        <v>0</v>
      </c>
    </row>
    <row r="350" spans="1:7" ht="15">
      <c r="A350" s="93" t="s">
        <v>922</v>
      </c>
      <c r="B350" s="92">
        <v>4</v>
      </c>
      <c r="C350" s="125">
        <v>0.005369060925610074</v>
      </c>
      <c r="D350" s="92" t="s">
        <v>649</v>
      </c>
      <c r="E350" s="92" t="b">
        <v>0</v>
      </c>
      <c r="F350" s="92" t="b">
        <v>0</v>
      </c>
      <c r="G350" s="92" t="b">
        <v>0</v>
      </c>
    </row>
    <row r="351" spans="1:7" ht="15">
      <c r="A351" s="93" t="s">
        <v>902</v>
      </c>
      <c r="B351" s="92">
        <v>4</v>
      </c>
      <c r="C351" s="125">
        <v>0.005990646679880223</v>
      </c>
      <c r="D351" s="92" t="s">
        <v>649</v>
      </c>
      <c r="E351" s="92" t="b">
        <v>0</v>
      </c>
      <c r="F351" s="92" t="b">
        <v>0</v>
      </c>
      <c r="G351" s="92" t="b">
        <v>0</v>
      </c>
    </row>
    <row r="352" spans="1:7" ht="15">
      <c r="A352" s="93" t="s">
        <v>955</v>
      </c>
      <c r="B352" s="92">
        <v>4</v>
      </c>
      <c r="C352" s="125">
        <v>0.006866722595580129</v>
      </c>
      <c r="D352" s="92" t="s">
        <v>649</v>
      </c>
      <c r="E352" s="92" t="b">
        <v>0</v>
      </c>
      <c r="F352" s="92" t="b">
        <v>0</v>
      </c>
      <c r="G352" s="92" t="b">
        <v>0</v>
      </c>
    </row>
    <row r="353" spans="1:7" ht="15">
      <c r="A353" s="93" t="s">
        <v>948</v>
      </c>
      <c r="B353" s="92">
        <v>4</v>
      </c>
      <c r="C353" s="125">
        <v>0.005369060925610074</v>
      </c>
      <c r="D353" s="92" t="s">
        <v>649</v>
      </c>
      <c r="E353" s="92" t="b">
        <v>0</v>
      </c>
      <c r="F353" s="92" t="b">
        <v>0</v>
      </c>
      <c r="G353" s="92" t="b">
        <v>0</v>
      </c>
    </row>
    <row r="354" spans="1:7" ht="15">
      <c r="A354" s="93" t="s">
        <v>914</v>
      </c>
      <c r="B354" s="92">
        <v>4</v>
      </c>
      <c r="C354" s="125">
        <v>0.005369060925610074</v>
      </c>
      <c r="D354" s="92" t="s">
        <v>649</v>
      </c>
      <c r="E354" s="92" t="b">
        <v>0</v>
      </c>
      <c r="F354" s="92" t="b">
        <v>0</v>
      </c>
      <c r="G354" s="92" t="b">
        <v>0</v>
      </c>
    </row>
    <row r="355" spans="1:7" ht="15">
      <c r="A355" s="93" t="s">
        <v>906</v>
      </c>
      <c r="B355" s="92">
        <v>4</v>
      </c>
      <c r="C355" s="125">
        <v>0.005369060925610074</v>
      </c>
      <c r="D355" s="92" t="s">
        <v>649</v>
      </c>
      <c r="E355" s="92" t="b">
        <v>0</v>
      </c>
      <c r="F355" s="92" t="b">
        <v>0</v>
      </c>
      <c r="G355" s="92" t="b">
        <v>0</v>
      </c>
    </row>
    <row r="356" spans="1:7" ht="15">
      <c r="A356" s="93" t="s">
        <v>275</v>
      </c>
      <c r="B356" s="92">
        <v>4</v>
      </c>
      <c r="C356" s="125">
        <v>0.005369060925610074</v>
      </c>
      <c r="D356" s="92" t="s">
        <v>649</v>
      </c>
      <c r="E356" s="92" t="b">
        <v>0</v>
      </c>
      <c r="F356" s="92" t="b">
        <v>0</v>
      </c>
      <c r="G356" s="92" t="b">
        <v>0</v>
      </c>
    </row>
    <row r="357" spans="1:7" ht="15">
      <c r="A357" s="93" t="s">
        <v>732</v>
      </c>
      <c r="B357" s="92">
        <v>4</v>
      </c>
      <c r="C357" s="125">
        <v>0.005369060925610074</v>
      </c>
      <c r="D357" s="92" t="s">
        <v>649</v>
      </c>
      <c r="E357" s="92" t="b">
        <v>0</v>
      </c>
      <c r="F357" s="92" t="b">
        <v>0</v>
      </c>
      <c r="G357" s="92" t="b">
        <v>0</v>
      </c>
    </row>
    <row r="358" spans="1:7" ht="15">
      <c r="A358" s="93" t="s">
        <v>907</v>
      </c>
      <c r="B358" s="92">
        <v>4</v>
      </c>
      <c r="C358" s="125">
        <v>0.005369060925610074</v>
      </c>
      <c r="D358" s="92" t="s">
        <v>649</v>
      </c>
      <c r="E358" s="92" t="b">
        <v>0</v>
      </c>
      <c r="F358" s="92" t="b">
        <v>0</v>
      </c>
      <c r="G358" s="92" t="b">
        <v>0</v>
      </c>
    </row>
    <row r="359" spans="1:7" ht="15">
      <c r="A359" s="93" t="s">
        <v>908</v>
      </c>
      <c r="B359" s="92">
        <v>4</v>
      </c>
      <c r="C359" s="125">
        <v>0.005369060925610074</v>
      </c>
      <c r="D359" s="92" t="s">
        <v>649</v>
      </c>
      <c r="E359" s="92" t="b">
        <v>0</v>
      </c>
      <c r="F359" s="92" t="b">
        <v>0</v>
      </c>
      <c r="G359" s="92" t="b">
        <v>0</v>
      </c>
    </row>
    <row r="360" spans="1:7" ht="15">
      <c r="A360" s="93" t="s">
        <v>909</v>
      </c>
      <c r="B360" s="92">
        <v>4</v>
      </c>
      <c r="C360" s="125">
        <v>0.005369060925610074</v>
      </c>
      <c r="D360" s="92" t="s">
        <v>649</v>
      </c>
      <c r="E360" s="92" t="b">
        <v>0</v>
      </c>
      <c r="F360" s="92" t="b">
        <v>0</v>
      </c>
      <c r="G360" s="92" t="b">
        <v>0</v>
      </c>
    </row>
    <row r="361" spans="1:7" ht="15">
      <c r="A361" s="93" t="s">
        <v>891</v>
      </c>
      <c r="B361" s="92">
        <v>4</v>
      </c>
      <c r="C361" s="125">
        <v>0.005369060925610074</v>
      </c>
      <c r="D361" s="92" t="s">
        <v>649</v>
      </c>
      <c r="E361" s="92" t="b">
        <v>0</v>
      </c>
      <c r="F361" s="92" t="b">
        <v>0</v>
      </c>
      <c r="G361" s="92" t="b">
        <v>0</v>
      </c>
    </row>
    <row r="362" spans="1:7" ht="15">
      <c r="A362" s="93" t="s">
        <v>910</v>
      </c>
      <c r="B362" s="92">
        <v>4</v>
      </c>
      <c r="C362" s="125">
        <v>0.005369060925610074</v>
      </c>
      <c r="D362" s="92" t="s">
        <v>649</v>
      </c>
      <c r="E362" s="92" t="b">
        <v>0</v>
      </c>
      <c r="F362" s="92" t="b">
        <v>0</v>
      </c>
      <c r="G362" s="92" t="b">
        <v>0</v>
      </c>
    </row>
    <row r="363" spans="1:7" ht="15">
      <c r="A363" s="93" t="s">
        <v>911</v>
      </c>
      <c r="B363" s="92">
        <v>4</v>
      </c>
      <c r="C363" s="125">
        <v>0.005369060925610074</v>
      </c>
      <c r="D363" s="92" t="s">
        <v>649</v>
      </c>
      <c r="E363" s="92" t="b">
        <v>0</v>
      </c>
      <c r="F363" s="92" t="b">
        <v>0</v>
      </c>
      <c r="G363" s="92" t="b">
        <v>0</v>
      </c>
    </row>
    <row r="364" spans="1:7" ht="15">
      <c r="A364" s="93" t="s">
        <v>912</v>
      </c>
      <c r="B364" s="92">
        <v>4</v>
      </c>
      <c r="C364" s="125">
        <v>0.005369060925610074</v>
      </c>
      <c r="D364" s="92" t="s">
        <v>649</v>
      </c>
      <c r="E364" s="92" t="b">
        <v>0</v>
      </c>
      <c r="F364" s="92" t="b">
        <v>0</v>
      </c>
      <c r="G364" s="92" t="b">
        <v>0</v>
      </c>
    </row>
    <row r="365" spans="1:7" ht="15">
      <c r="A365" s="93" t="s">
        <v>913</v>
      </c>
      <c r="B365" s="92">
        <v>4</v>
      </c>
      <c r="C365" s="125">
        <v>0.005369060925610074</v>
      </c>
      <c r="D365" s="92" t="s">
        <v>649</v>
      </c>
      <c r="E365" s="92" t="b">
        <v>0</v>
      </c>
      <c r="F365" s="92" t="b">
        <v>0</v>
      </c>
      <c r="G365" s="92" t="b">
        <v>0</v>
      </c>
    </row>
    <row r="366" spans="1:7" ht="15">
      <c r="A366" s="93" t="s">
        <v>903</v>
      </c>
      <c r="B366" s="92">
        <v>3</v>
      </c>
      <c r="C366" s="125">
        <v>0.004492985009910167</v>
      </c>
      <c r="D366" s="92" t="s">
        <v>649</v>
      </c>
      <c r="E366" s="92" t="b">
        <v>0</v>
      </c>
      <c r="F366" s="92" t="b">
        <v>0</v>
      </c>
      <c r="G366" s="92" t="b">
        <v>0</v>
      </c>
    </row>
    <row r="367" spans="1:7" ht="15">
      <c r="A367" s="93" t="s">
        <v>904</v>
      </c>
      <c r="B367" s="92">
        <v>3</v>
      </c>
      <c r="C367" s="125">
        <v>0.004492985009910167</v>
      </c>
      <c r="D367" s="92" t="s">
        <v>649</v>
      </c>
      <c r="E367" s="92" t="b">
        <v>0</v>
      </c>
      <c r="F367" s="92" t="b">
        <v>0</v>
      </c>
      <c r="G367" s="92" t="b">
        <v>0</v>
      </c>
    </row>
    <row r="368" spans="1:7" ht="15">
      <c r="A368" s="93" t="s">
        <v>957</v>
      </c>
      <c r="B368" s="92">
        <v>3</v>
      </c>
      <c r="C368" s="125">
        <v>0.004492985009910167</v>
      </c>
      <c r="D368" s="92" t="s">
        <v>649</v>
      </c>
      <c r="E368" s="92" t="b">
        <v>1</v>
      </c>
      <c r="F368" s="92" t="b">
        <v>0</v>
      </c>
      <c r="G368" s="92" t="b">
        <v>0</v>
      </c>
    </row>
    <row r="369" spans="1:7" ht="15">
      <c r="A369" s="93" t="s">
        <v>958</v>
      </c>
      <c r="B369" s="92">
        <v>3</v>
      </c>
      <c r="C369" s="125">
        <v>0.004492985009910167</v>
      </c>
      <c r="D369" s="92" t="s">
        <v>649</v>
      </c>
      <c r="E369" s="92" t="b">
        <v>1</v>
      </c>
      <c r="F369" s="92" t="b">
        <v>0</v>
      </c>
      <c r="G369" s="92" t="b">
        <v>0</v>
      </c>
    </row>
    <row r="370" spans="1:7" ht="15">
      <c r="A370" s="93" t="s">
        <v>926</v>
      </c>
      <c r="B370" s="92">
        <v>3</v>
      </c>
      <c r="C370" s="125">
        <v>0.004492985009910167</v>
      </c>
      <c r="D370" s="92" t="s">
        <v>649</v>
      </c>
      <c r="E370" s="92" t="b">
        <v>0</v>
      </c>
      <c r="F370" s="92" t="b">
        <v>0</v>
      </c>
      <c r="G370" s="92" t="b">
        <v>0</v>
      </c>
    </row>
    <row r="371" spans="1:7" ht="15">
      <c r="A371" s="93" t="s">
        <v>927</v>
      </c>
      <c r="B371" s="92">
        <v>3</v>
      </c>
      <c r="C371" s="125">
        <v>0.004492985009910167</v>
      </c>
      <c r="D371" s="92" t="s">
        <v>649</v>
      </c>
      <c r="E371" s="92" t="b">
        <v>0</v>
      </c>
      <c r="F371" s="92" t="b">
        <v>0</v>
      </c>
      <c r="G371" s="92" t="b">
        <v>0</v>
      </c>
    </row>
    <row r="372" spans="1:7" ht="15">
      <c r="A372" s="93" t="s">
        <v>905</v>
      </c>
      <c r="B372" s="92">
        <v>3</v>
      </c>
      <c r="C372" s="125">
        <v>0.004492985009910167</v>
      </c>
      <c r="D372" s="92" t="s">
        <v>649</v>
      </c>
      <c r="E372" s="92" t="b">
        <v>0</v>
      </c>
      <c r="F372" s="92" t="b">
        <v>0</v>
      </c>
      <c r="G372" s="92" t="b">
        <v>0</v>
      </c>
    </row>
    <row r="373" spans="1:7" ht="15">
      <c r="A373" s="93" t="s">
        <v>928</v>
      </c>
      <c r="B373" s="92">
        <v>3</v>
      </c>
      <c r="C373" s="125">
        <v>0.004492985009910167</v>
      </c>
      <c r="D373" s="92" t="s">
        <v>649</v>
      </c>
      <c r="E373" s="92" t="b">
        <v>0</v>
      </c>
      <c r="F373" s="92" t="b">
        <v>0</v>
      </c>
      <c r="G373" s="92" t="b">
        <v>0</v>
      </c>
    </row>
    <row r="374" spans="1:7" ht="15">
      <c r="A374" s="93" t="s">
        <v>945</v>
      </c>
      <c r="B374" s="92">
        <v>3</v>
      </c>
      <c r="C374" s="125">
        <v>0.004492985009910167</v>
      </c>
      <c r="D374" s="92" t="s">
        <v>649</v>
      </c>
      <c r="E374" s="92" t="b">
        <v>0</v>
      </c>
      <c r="F374" s="92" t="b">
        <v>0</v>
      </c>
      <c r="G374" s="92" t="b">
        <v>0</v>
      </c>
    </row>
    <row r="375" spans="1:7" ht="15">
      <c r="A375" s="93" t="s">
        <v>932</v>
      </c>
      <c r="B375" s="92">
        <v>3</v>
      </c>
      <c r="C375" s="125">
        <v>0.004492985009910167</v>
      </c>
      <c r="D375" s="92" t="s">
        <v>649</v>
      </c>
      <c r="E375" s="92" t="b">
        <v>1</v>
      </c>
      <c r="F375" s="92" t="b">
        <v>0</v>
      </c>
      <c r="G375" s="92" t="b">
        <v>0</v>
      </c>
    </row>
    <row r="376" spans="1:7" ht="15">
      <c r="A376" s="93" t="s">
        <v>933</v>
      </c>
      <c r="B376" s="92">
        <v>3</v>
      </c>
      <c r="C376" s="125">
        <v>0.004492985009910167</v>
      </c>
      <c r="D376" s="92" t="s">
        <v>649</v>
      </c>
      <c r="E376" s="92" t="b">
        <v>0</v>
      </c>
      <c r="F376" s="92" t="b">
        <v>0</v>
      </c>
      <c r="G376" s="92" t="b">
        <v>0</v>
      </c>
    </row>
    <row r="377" spans="1:7" ht="15">
      <c r="A377" s="93" t="s">
        <v>894</v>
      </c>
      <c r="B377" s="92">
        <v>3</v>
      </c>
      <c r="C377" s="125">
        <v>0.004492985009910167</v>
      </c>
      <c r="D377" s="92" t="s">
        <v>649</v>
      </c>
      <c r="E377" s="92" t="b">
        <v>0</v>
      </c>
      <c r="F377" s="92" t="b">
        <v>0</v>
      </c>
      <c r="G377" s="92" t="b">
        <v>0</v>
      </c>
    </row>
    <row r="378" spans="1:7" ht="15">
      <c r="A378" s="93" t="s">
        <v>934</v>
      </c>
      <c r="B378" s="92">
        <v>3</v>
      </c>
      <c r="C378" s="125">
        <v>0.004492985009910167</v>
      </c>
      <c r="D378" s="92" t="s">
        <v>649</v>
      </c>
      <c r="E378" s="92" t="b">
        <v>1</v>
      </c>
      <c r="F378" s="92" t="b">
        <v>0</v>
      </c>
      <c r="G378" s="92" t="b">
        <v>0</v>
      </c>
    </row>
    <row r="379" spans="1:7" ht="15">
      <c r="A379" s="93" t="s">
        <v>935</v>
      </c>
      <c r="B379" s="92">
        <v>3</v>
      </c>
      <c r="C379" s="125">
        <v>0.004492985009910167</v>
      </c>
      <c r="D379" s="92" t="s">
        <v>649</v>
      </c>
      <c r="E379" s="92" t="b">
        <v>0</v>
      </c>
      <c r="F379" s="92" t="b">
        <v>0</v>
      </c>
      <c r="G379" s="92" t="b">
        <v>0</v>
      </c>
    </row>
    <row r="380" spans="1:7" ht="15">
      <c r="A380" s="93" t="s">
        <v>915</v>
      </c>
      <c r="B380" s="92">
        <v>3</v>
      </c>
      <c r="C380" s="125">
        <v>0.004492985009910167</v>
      </c>
      <c r="D380" s="92" t="s">
        <v>649</v>
      </c>
      <c r="E380" s="92" t="b">
        <v>0</v>
      </c>
      <c r="F380" s="92" t="b">
        <v>0</v>
      </c>
      <c r="G380" s="92" t="b">
        <v>0</v>
      </c>
    </row>
    <row r="381" spans="1:7" ht="15">
      <c r="A381" s="93" t="s">
        <v>936</v>
      </c>
      <c r="B381" s="92">
        <v>3</v>
      </c>
      <c r="C381" s="125">
        <v>0.004492985009910167</v>
      </c>
      <c r="D381" s="92" t="s">
        <v>649</v>
      </c>
      <c r="E381" s="92" t="b">
        <v>0</v>
      </c>
      <c r="F381" s="92" t="b">
        <v>0</v>
      </c>
      <c r="G381" s="92" t="b">
        <v>0</v>
      </c>
    </row>
    <row r="382" spans="1:7" ht="15">
      <c r="A382" s="93" t="s">
        <v>916</v>
      </c>
      <c r="B382" s="92">
        <v>3</v>
      </c>
      <c r="C382" s="125">
        <v>0.004492985009910167</v>
      </c>
      <c r="D382" s="92" t="s">
        <v>649</v>
      </c>
      <c r="E382" s="92" t="b">
        <v>0</v>
      </c>
      <c r="F382" s="92" t="b">
        <v>0</v>
      </c>
      <c r="G382" s="92" t="b">
        <v>0</v>
      </c>
    </row>
    <row r="383" spans="1:7" ht="15">
      <c r="A383" s="93" t="s">
        <v>895</v>
      </c>
      <c r="B383" s="92">
        <v>3</v>
      </c>
      <c r="C383" s="125">
        <v>0.004492985009910167</v>
      </c>
      <c r="D383" s="92" t="s">
        <v>649</v>
      </c>
      <c r="E383" s="92" t="b">
        <v>0</v>
      </c>
      <c r="F383" s="92" t="b">
        <v>0</v>
      </c>
      <c r="G383" s="92" t="b">
        <v>0</v>
      </c>
    </row>
    <row r="384" spans="1:7" ht="15">
      <c r="A384" s="93" t="s">
        <v>896</v>
      </c>
      <c r="B384" s="92">
        <v>3</v>
      </c>
      <c r="C384" s="125">
        <v>0.004492985009910167</v>
      </c>
      <c r="D384" s="92" t="s">
        <v>649</v>
      </c>
      <c r="E384" s="92" t="b">
        <v>0</v>
      </c>
      <c r="F384" s="92" t="b">
        <v>0</v>
      </c>
      <c r="G384" s="92" t="b">
        <v>0</v>
      </c>
    </row>
    <row r="385" spans="1:7" ht="15">
      <c r="A385" s="93" t="s">
        <v>937</v>
      </c>
      <c r="B385" s="92">
        <v>3</v>
      </c>
      <c r="C385" s="125">
        <v>0.004492985009910167</v>
      </c>
      <c r="D385" s="92" t="s">
        <v>649</v>
      </c>
      <c r="E385" s="92" t="b">
        <v>0</v>
      </c>
      <c r="F385" s="92" t="b">
        <v>0</v>
      </c>
      <c r="G385" s="92" t="b">
        <v>0</v>
      </c>
    </row>
    <row r="386" spans="1:7" ht="15">
      <c r="A386" s="93" t="s">
        <v>722</v>
      </c>
      <c r="B386" s="92">
        <v>3</v>
      </c>
      <c r="C386" s="125">
        <v>0.005150041946685097</v>
      </c>
      <c r="D386" s="92" t="s">
        <v>649</v>
      </c>
      <c r="E386" s="92" t="b">
        <v>0</v>
      </c>
      <c r="F386" s="92" t="b">
        <v>1</v>
      </c>
      <c r="G386" s="92" t="b">
        <v>0</v>
      </c>
    </row>
    <row r="387" spans="1:7" ht="15">
      <c r="A387" s="93" t="s">
        <v>723</v>
      </c>
      <c r="B387" s="92">
        <v>3</v>
      </c>
      <c r="C387" s="125">
        <v>0.005150041946685097</v>
      </c>
      <c r="D387" s="92" t="s">
        <v>649</v>
      </c>
      <c r="E387" s="92" t="b">
        <v>0</v>
      </c>
      <c r="F387" s="92" t="b">
        <v>0</v>
      </c>
      <c r="G387" s="92" t="b">
        <v>0</v>
      </c>
    </row>
    <row r="388" spans="1:7" ht="15">
      <c r="A388" s="93" t="s">
        <v>976</v>
      </c>
      <c r="B388" s="92">
        <v>3</v>
      </c>
      <c r="C388" s="125">
        <v>0.004492985009910167</v>
      </c>
      <c r="D388" s="92" t="s">
        <v>649</v>
      </c>
      <c r="E388" s="92" t="b">
        <v>0</v>
      </c>
      <c r="F388" s="92" t="b">
        <v>0</v>
      </c>
      <c r="G388" s="92" t="b">
        <v>0</v>
      </c>
    </row>
    <row r="389" spans="1:7" ht="15">
      <c r="A389" s="93" t="s">
        <v>724</v>
      </c>
      <c r="B389" s="92">
        <v>2</v>
      </c>
      <c r="C389" s="125">
        <v>0.0041821921327750925</v>
      </c>
      <c r="D389" s="92" t="s">
        <v>649</v>
      </c>
      <c r="E389" s="92" t="b">
        <v>0</v>
      </c>
      <c r="F389" s="92" t="b">
        <v>0</v>
      </c>
      <c r="G389" s="92" t="b">
        <v>0</v>
      </c>
    </row>
    <row r="390" spans="1:7" ht="15">
      <c r="A390" s="93" t="s">
        <v>972</v>
      </c>
      <c r="B390" s="92">
        <v>2</v>
      </c>
      <c r="C390" s="125">
        <v>0.0034333612977900645</v>
      </c>
      <c r="D390" s="92" t="s">
        <v>649</v>
      </c>
      <c r="E390" s="92" t="b">
        <v>1</v>
      </c>
      <c r="F390" s="92" t="b">
        <v>0</v>
      </c>
      <c r="G390" s="92" t="b">
        <v>0</v>
      </c>
    </row>
    <row r="391" spans="1:7" ht="15">
      <c r="A391" s="93" t="s">
        <v>1130</v>
      </c>
      <c r="B391" s="92">
        <v>2</v>
      </c>
      <c r="C391" s="125">
        <v>0.0041821921327750925</v>
      </c>
      <c r="D391" s="92" t="s">
        <v>649</v>
      </c>
      <c r="E391" s="92" t="b">
        <v>0</v>
      </c>
      <c r="F391" s="92" t="b">
        <v>0</v>
      </c>
      <c r="G391" s="92" t="b">
        <v>0</v>
      </c>
    </row>
    <row r="392" spans="1:7" ht="15">
      <c r="A392" s="93" t="s">
        <v>1131</v>
      </c>
      <c r="B392" s="92">
        <v>2</v>
      </c>
      <c r="C392" s="125">
        <v>0.0041821921327750925</v>
      </c>
      <c r="D392" s="92" t="s">
        <v>649</v>
      </c>
      <c r="E392" s="92" t="b">
        <v>0</v>
      </c>
      <c r="F392" s="92" t="b">
        <v>0</v>
      </c>
      <c r="G392" s="92" t="b">
        <v>0</v>
      </c>
    </row>
    <row r="393" spans="1:7" ht="15">
      <c r="A393" s="93" t="s">
        <v>1128</v>
      </c>
      <c r="B393" s="92">
        <v>2</v>
      </c>
      <c r="C393" s="125">
        <v>0.0034333612977900645</v>
      </c>
      <c r="D393" s="92" t="s">
        <v>649</v>
      </c>
      <c r="E393" s="92" t="b">
        <v>1</v>
      </c>
      <c r="F393" s="92" t="b">
        <v>0</v>
      </c>
      <c r="G393" s="92" t="b">
        <v>0</v>
      </c>
    </row>
    <row r="394" spans="1:7" ht="15">
      <c r="A394" s="93" t="s">
        <v>1107</v>
      </c>
      <c r="B394" s="92">
        <v>2</v>
      </c>
      <c r="C394" s="125">
        <v>0.0034333612977900645</v>
      </c>
      <c r="D394" s="92" t="s">
        <v>649</v>
      </c>
      <c r="E394" s="92" t="b">
        <v>1</v>
      </c>
      <c r="F394" s="92" t="b">
        <v>0</v>
      </c>
      <c r="G394" s="92" t="b">
        <v>0</v>
      </c>
    </row>
    <row r="395" spans="1:7" ht="15">
      <c r="A395" s="93" t="s">
        <v>953</v>
      </c>
      <c r="B395" s="92">
        <v>2</v>
      </c>
      <c r="C395" s="125">
        <v>0.0034333612977900645</v>
      </c>
      <c r="D395" s="92" t="s">
        <v>649</v>
      </c>
      <c r="E395" s="92" t="b">
        <v>0</v>
      </c>
      <c r="F395" s="92" t="b">
        <v>0</v>
      </c>
      <c r="G395" s="92" t="b">
        <v>0</v>
      </c>
    </row>
    <row r="396" spans="1:7" ht="15">
      <c r="A396" s="93" t="s">
        <v>1089</v>
      </c>
      <c r="B396" s="92">
        <v>2</v>
      </c>
      <c r="C396" s="125">
        <v>0.0034333612977900645</v>
      </c>
      <c r="D396" s="92" t="s">
        <v>649</v>
      </c>
      <c r="E396" s="92" t="b">
        <v>0</v>
      </c>
      <c r="F396" s="92" t="b">
        <v>0</v>
      </c>
      <c r="G396" s="92" t="b">
        <v>0</v>
      </c>
    </row>
    <row r="397" spans="1:7" ht="15">
      <c r="A397" s="93" t="s">
        <v>1090</v>
      </c>
      <c r="B397" s="92">
        <v>2</v>
      </c>
      <c r="C397" s="125">
        <v>0.0034333612977900645</v>
      </c>
      <c r="D397" s="92" t="s">
        <v>649</v>
      </c>
      <c r="E397" s="92" t="b">
        <v>0</v>
      </c>
      <c r="F397" s="92" t="b">
        <v>0</v>
      </c>
      <c r="G397" s="92" t="b">
        <v>0</v>
      </c>
    </row>
    <row r="398" spans="1:7" ht="15">
      <c r="A398" s="93" t="s">
        <v>1091</v>
      </c>
      <c r="B398" s="92">
        <v>2</v>
      </c>
      <c r="C398" s="125">
        <v>0.0034333612977900645</v>
      </c>
      <c r="D398" s="92" t="s">
        <v>649</v>
      </c>
      <c r="E398" s="92" t="b">
        <v>0</v>
      </c>
      <c r="F398" s="92" t="b">
        <v>0</v>
      </c>
      <c r="G398" s="92" t="b">
        <v>0</v>
      </c>
    </row>
    <row r="399" spans="1:7" ht="15">
      <c r="A399" s="93" t="s">
        <v>1092</v>
      </c>
      <c r="B399" s="92">
        <v>2</v>
      </c>
      <c r="C399" s="125">
        <v>0.0034333612977900645</v>
      </c>
      <c r="D399" s="92" t="s">
        <v>649</v>
      </c>
      <c r="E399" s="92" t="b">
        <v>0</v>
      </c>
      <c r="F399" s="92" t="b">
        <v>0</v>
      </c>
      <c r="G399" s="92" t="b">
        <v>0</v>
      </c>
    </row>
    <row r="400" spans="1:7" ht="15">
      <c r="A400" s="93" t="s">
        <v>1093</v>
      </c>
      <c r="B400" s="92">
        <v>2</v>
      </c>
      <c r="C400" s="125">
        <v>0.0034333612977900645</v>
      </c>
      <c r="D400" s="92" t="s">
        <v>649</v>
      </c>
      <c r="E400" s="92" t="b">
        <v>0</v>
      </c>
      <c r="F400" s="92" t="b">
        <v>0</v>
      </c>
      <c r="G400" s="92" t="b">
        <v>0</v>
      </c>
    </row>
    <row r="401" spans="1:7" ht="15">
      <c r="A401" s="93" t="s">
        <v>1094</v>
      </c>
      <c r="B401" s="92">
        <v>2</v>
      </c>
      <c r="C401" s="125">
        <v>0.0034333612977900645</v>
      </c>
      <c r="D401" s="92" t="s">
        <v>649</v>
      </c>
      <c r="E401" s="92" t="b">
        <v>1</v>
      </c>
      <c r="F401" s="92" t="b">
        <v>0</v>
      </c>
      <c r="G401" s="92" t="b">
        <v>0</v>
      </c>
    </row>
    <row r="402" spans="1:7" ht="15">
      <c r="A402" s="93" t="s">
        <v>1095</v>
      </c>
      <c r="B402" s="92">
        <v>2</v>
      </c>
      <c r="C402" s="125">
        <v>0.0034333612977900645</v>
      </c>
      <c r="D402" s="92" t="s">
        <v>649</v>
      </c>
      <c r="E402" s="92" t="b">
        <v>0</v>
      </c>
      <c r="F402" s="92" t="b">
        <v>0</v>
      </c>
      <c r="G402" s="92" t="b">
        <v>0</v>
      </c>
    </row>
    <row r="403" spans="1:7" ht="15">
      <c r="A403" s="93" t="s">
        <v>1096</v>
      </c>
      <c r="B403" s="92">
        <v>2</v>
      </c>
      <c r="C403" s="125">
        <v>0.0034333612977900645</v>
      </c>
      <c r="D403" s="92" t="s">
        <v>649</v>
      </c>
      <c r="E403" s="92" t="b">
        <v>0</v>
      </c>
      <c r="F403" s="92" t="b">
        <v>0</v>
      </c>
      <c r="G403" s="92" t="b">
        <v>0</v>
      </c>
    </row>
    <row r="404" spans="1:7" ht="15">
      <c r="A404" s="93" t="s">
        <v>1097</v>
      </c>
      <c r="B404" s="92">
        <v>2</v>
      </c>
      <c r="C404" s="125">
        <v>0.0034333612977900645</v>
      </c>
      <c r="D404" s="92" t="s">
        <v>649</v>
      </c>
      <c r="E404" s="92" t="b">
        <v>0</v>
      </c>
      <c r="F404" s="92" t="b">
        <v>0</v>
      </c>
      <c r="G404" s="92" t="b">
        <v>0</v>
      </c>
    </row>
    <row r="405" spans="1:7" ht="15">
      <c r="A405" s="93" t="s">
        <v>1098</v>
      </c>
      <c r="B405" s="92">
        <v>2</v>
      </c>
      <c r="C405" s="125">
        <v>0.0034333612977900645</v>
      </c>
      <c r="D405" s="92" t="s">
        <v>649</v>
      </c>
      <c r="E405" s="92" t="b">
        <v>0</v>
      </c>
      <c r="F405" s="92" t="b">
        <v>0</v>
      </c>
      <c r="G405" s="92" t="b">
        <v>0</v>
      </c>
    </row>
    <row r="406" spans="1:7" ht="15">
      <c r="A406" s="93" t="s">
        <v>1099</v>
      </c>
      <c r="B406" s="92">
        <v>2</v>
      </c>
      <c r="C406" s="125">
        <v>0.0034333612977900645</v>
      </c>
      <c r="D406" s="92" t="s">
        <v>649</v>
      </c>
      <c r="E406" s="92" t="b">
        <v>0</v>
      </c>
      <c r="F406" s="92" t="b">
        <v>0</v>
      </c>
      <c r="G406" s="92" t="b">
        <v>0</v>
      </c>
    </row>
    <row r="407" spans="1:7" ht="15">
      <c r="A407" s="93" t="s">
        <v>1100</v>
      </c>
      <c r="B407" s="92">
        <v>2</v>
      </c>
      <c r="C407" s="125">
        <v>0.0034333612977900645</v>
      </c>
      <c r="D407" s="92" t="s">
        <v>649</v>
      </c>
      <c r="E407" s="92" t="b">
        <v>0</v>
      </c>
      <c r="F407" s="92" t="b">
        <v>0</v>
      </c>
      <c r="G407" s="92" t="b">
        <v>0</v>
      </c>
    </row>
    <row r="408" spans="1:7" ht="15">
      <c r="A408" s="93" t="s">
        <v>1101</v>
      </c>
      <c r="B408" s="92">
        <v>2</v>
      </c>
      <c r="C408" s="125">
        <v>0.0034333612977900645</v>
      </c>
      <c r="D408" s="92" t="s">
        <v>649</v>
      </c>
      <c r="E408" s="92" t="b">
        <v>0</v>
      </c>
      <c r="F408" s="92" t="b">
        <v>0</v>
      </c>
      <c r="G408" s="92" t="b">
        <v>0</v>
      </c>
    </row>
    <row r="409" spans="1:7" ht="15">
      <c r="A409" s="93" t="s">
        <v>1102</v>
      </c>
      <c r="B409" s="92">
        <v>2</v>
      </c>
      <c r="C409" s="125">
        <v>0.0034333612977900645</v>
      </c>
      <c r="D409" s="92" t="s">
        <v>649</v>
      </c>
      <c r="E409" s="92" t="b">
        <v>0</v>
      </c>
      <c r="F409" s="92" t="b">
        <v>0</v>
      </c>
      <c r="G409" s="92" t="b">
        <v>0</v>
      </c>
    </row>
    <row r="410" spans="1:7" ht="15">
      <c r="A410" s="93" t="s">
        <v>1103</v>
      </c>
      <c r="B410" s="92">
        <v>2</v>
      </c>
      <c r="C410" s="125">
        <v>0.0034333612977900645</v>
      </c>
      <c r="D410" s="92" t="s">
        <v>649</v>
      </c>
      <c r="E410" s="92" t="b">
        <v>0</v>
      </c>
      <c r="F410" s="92" t="b">
        <v>0</v>
      </c>
      <c r="G410" s="92" t="b">
        <v>0</v>
      </c>
    </row>
    <row r="411" spans="1:7" ht="15">
      <c r="A411" s="93" t="s">
        <v>1104</v>
      </c>
      <c r="B411" s="92">
        <v>2</v>
      </c>
      <c r="C411" s="125">
        <v>0.0034333612977900645</v>
      </c>
      <c r="D411" s="92" t="s">
        <v>649</v>
      </c>
      <c r="E411" s="92" t="b">
        <v>1</v>
      </c>
      <c r="F411" s="92" t="b">
        <v>0</v>
      </c>
      <c r="G411" s="92" t="b">
        <v>0</v>
      </c>
    </row>
    <row r="412" spans="1:7" ht="15">
      <c r="A412" s="93" t="s">
        <v>1105</v>
      </c>
      <c r="B412" s="92">
        <v>2</v>
      </c>
      <c r="C412" s="125">
        <v>0.0034333612977900645</v>
      </c>
      <c r="D412" s="92" t="s">
        <v>649</v>
      </c>
      <c r="E412" s="92" t="b">
        <v>0</v>
      </c>
      <c r="F412" s="92" t="b">
        <v>0</v>
      </c>
      <c r="G412" s="92" t="b">
        <v>0</v>
      </c>
    </row>
    <row r="413" spans="1:7" ht="15">
      <c r="A413" s="93" t="s">
        <v>1106</v>
      </c>
      <c r="B413" s="92">
        <v>2</v>
      </c>
      <c r="C413" s="125">
        <v>0.0034333612977900645</v>
      </c>
      <c r="D413" s="92" t="s">
        <v>649</v>
      </c>
      <c r="E413" s="92" t="b">
        <v>0</v>
      </c>
      <c r="F413" s="92" t="b">
        <v>0</v>
      </c>
      <c r="G413" s="92" t="b">
        <v>0</v>
      </c>
    </row>
    <row r="414" spans="1:7" ht="15">
      <c r="A414" s="93" t="s">
        <v>984</v>
      </c>
      <c r="B414" s="92">
        <v>2</v>
      </c>
      <c r="C414" s="125">
        <v>0.0034333612977900645</v>
      </c>
      <c r="D414" s="92" t="s">
        <v>649</v>
      </c>
      <c r="E414" s="92" t="b">
        <v>0</v>
      </c>
      <c r="F414" s="92" t="b">
        <v>0</v>
      </c>
      <c r="G414" s="92" t="b">
        <v>0</v>
      </c>
    </row>
    <row r="415" spans="1:7" ht="15">
      <c r="A415" s="93" t="s">
        <v>1108</v>
      </c>
      <c r="B415" s="92">
        <v>2</v>
      </c>
      <c r="C415" s="125">
        <v>0.0034333612977900645</v>
      </c>
      <c r="D415" s="92" t="s">
        <v>649</v>
      </c>
      <c r="E415" s="92" t="b">
        <v>0</v>
      </c>
      <c r="F415" s="92" t="b">
        <v>0</v>
      </c>
      <c r="G415" s="92" t="b">
        <v>0</v>
      </c>
    </row>
    <row r="416" spans="1:7" ht="15">
      <c r="A416" s="93" t="s">
        <v>946</v>
      </c>
      <c r="B416" s="92">
        <v>2</v>
      </c>
      <c r="C416" s="125">
        <v>0.0034333612977900645</v>
      </c>
      <c r="D416" s="92" t="s">
        <v>649</v>
      </c>
      <c r="E416" s="92" t="b">
        <v>1</v>
      </c>
      <c r="F416" s="92" t="b">
        <v>0</v>
      </c>
      <c r="G416" s="92" t="b">
        <v>0</v>
      </c>
    </row>
    <row r="417" spans="1:7" ht="15">
      <c r="A417" s="93" t="s">
        <v>1109</v>
      </c>
      <c r="B417" s="92">
        <v>2</v>
      </c>
      <c r="C417" s="125">
        <v>0.0034333612977900645</v>
      </c>
      <c r="D417" s="92" t="s">
        <v>649</v>
      </c>
      <c r="E417" s="92" t="b">
        <v>0</v>
      </c>
      <c r="F417" s="92" t="b">
        <v>0</v>
      </c>
      <c r="G417" s="92" t="b">
        <v>0</v>
      </c>
    </row>
    <row r="418" spans="1:7" ht="15">
      <c r="A418" s="93" t="s">
        <v>956</v>
      </c>
      <c r="B418" s="92">
        <v>2</v>
      </c>
      <c r="C418" s="125">
        <v>0.0034333612977900645</v>
      </c>
      <c r="D418" s="92" t="s">
        <v>649</v>
      </c>
      <c r="E418" s="92" t="b">
        <v>0</v>
      </c>
      <c r="F418" s="92" t="b">
        <v>0</v>
      </c>
      <c r="G418" s="92" t="b">
        <v>0</v>
      </c>
    </row>
    <row r="419" spans="1:7" ht="15">
      <c r="A419" s="93" t="s">
        <v>1110</v>
      </c>
      <c r="B419" s="92">
        <v>2</v>
      </c>
      <c r="C419" s="125">
        <v>0.0034333612977900645</v>
      </c>
      <c r="D419" s="92" t="s">
        <v>649</v>
      </c>
      <c r="E419" s="92" t="b">
        <v>0</v>
      </c>
      <c r="F419" s="92" t="b">
        <v>0</v>
      </c>
      <c r="G419" s="92" t="b">
        <v>0</v>
      </c>
    </row>
    <row r="420" spans="1:7" ht="15">
      <c r="A420" s="93" t="s">
        <v>1111</v>
      </c>
      <c r="B420" s="92">
        <v>2</v>
      </c>
      <c r="C420" s="125">
        <v>0.0034333612977900645</v>
      </c>
      <c r="D420" s="92" t="s">
        <v>649</v>
      </c>
      <c r="E420" s="92" t="b">
        <v>0</v>
      </c>
      <c r="F420" s="92" t="b">
        <v>0</v>
      </c>
      <c r="G420" s="92" t="b">
        <v>0</v>
      </c>
    </row>
    <row r="421" spans="1:7" ht="15">
      <c r="A421" s="93" t="s">
        <v>1112</v>
      </c>
      <c r="B421" s="92">
        <v>2</v>
      </c>
      <c r="C421" s="125">
        <v>0.0034333612977900645</v>
      </c>
      <c r="D421" s="92" t="s">
        <v>649</v>
      </c>
      <c r="E421" s="92" t="b">
        <v>0</v>
      </c>
      <c r="F421" s="92" t="b">
        <v>0</v>
      </c>
      <c r="G421" s="92" t="b">
        <v>0</v>
      </c>
    </row>
    <row r="422" spans="1:7" ht="15">
      <c r="A422" s="93" t="s">
        <v>985</v>
      </c>
      <c r="B422" s="92">
        <v>2</v>
      </c>
      <c r="C422" s="125">
        <v>0.0034333612977900645</v>
      </c>
      <c r="D422" s="92" t="s">
        <v>649</v>
      </c>
      <c r="E422" s="92" t="b">
        <v>1</v>
      </c>
      <c r="F422" s="92" t="b">
        <v>0</v>
      </c>
      <c r="G422" s="92" t="b">
        <v>0</v>
      </c>
    </row>
    <row r="423" spans="1:7" ht="15">
      <c r="A423" s="93" t="s">
        <v>1113</v>
      </c>
      <c r="B423" s="92">
        <v>2</v>
      </c>
      <c r="C423" s="125">
        <v>0.0034333612977900645</v>
      </c>
      <c r="D423" s="92" t="s">
        <v>649</v>
      </c>
      <c r="E423" s="92" t="b">
        <v>0</v>
      </c>
      <c r="F423" s="92" t="b">
        <v>0</v>
      </c>
      <c r="G423" s="92" t="b">
        <v>0</v>
      </c>
    </row>
    <row r="424" spans="1:7" ht="15">
      <c r="A424" s="93" t="s">
        <v>1114</v>
      </c>
      <c r="B424" s="92">
        <v>2</v>
      </c>
      <c r="C424" s="125">
        <v>0.0034333612977900645</v>
      </c>
      <c r="D424" s="92" t="s">
        <v>649</v>
      </c>
      <c r="E424" s="92" t="b">
        <v>0</v>
      </c>
      <c r="F424" s="92" t="b">
        <v>0</v>
      </c>
      <c r="G424" s="92" t="b">
        <v>0</v>
      </c>
    </row>
    <row r="425" spans="1:7" ht="15">
      <c r="A425" s="93" t="s">
        <v>1115</v>
      </c>
      <c r="B425" s="92">
        <v>2</v>
      </c>
      <c r="C425" s="125">
        <v>0.0034333612977900645</v>
      </c>
      <c r="D425" s="92" t="s">
        <v>649</v>
      </c>
      <c r="E425" s="92" t="b">
        <v>0</v>
      </c>
      <c r="F425" s="92" t="b">
        <v>0</v>
      </c>
      <c r="G425" s="92" t="b">
        <v>0</v>
      </c>
    </row>
    <row r="426" spans="1:7" ht="15">
      <c r="A426" s="93" t="s">
        <v>1116</v>
      </c>
      <c r="B426" s="92">
        <v>2</v>
      </c>
      <c r="C426" s="125">
        <v>0.0034333612977900645</v>
      </c>
      <c r="D426" s="92" t="s">
        <v>649</v>
      </c>
      <c r="E426" s="92" t="b">
        <v>0</v>
      </c>
      <c r="F426" s="92" t="b">
        <v>0</v>
      </c>
      <c r="G426" s="92" t="b">
        <v>0</v>
      </c>
    </row>
    <row r="427" spans="1:7" ht="15">
      <c r="A427" s="93" t="s">
        <v>1117</v>
      </c>
      <c r="B427" s="92">
        <v>2</v>
      </c>
      <c r="C427" s="125">
        <v>0.0034333612977900645</v>
      </c>
      <c r="D427" s="92" t="s">
        <v>649</v>
      </c>
      <c r="E427" s="92" t="b">
        <v>1</v>
      </c>
      <c r="F427" s="92" t="b">
        <v>0</v>
      </c>
      <c r="G427" s="92" t="b">
        <v>0</v>
      </c>
    </row>
    <row r="428" spans="1:7" ht="15">
      <c r="A428" s="93" t="s">
        <v>1078</v>
      </c>
      <c r="B428" s="92">
        <v>2</v>
      </c>
      <c r="C428" s="125">
        <v>0.0034333612977900645</v>
      </c>
      <c r="D428" s="92" t="s">
        <v>649</v>
      </c>
      <c r="E428" s="92" t="b">
        <v>0</v>
      </c>
      <c r="F428" s="92" t="b">
        <v>0</v>
      </c>
      <c r="G428" s="92" t="b">
        <v>0</v>
      </c>
    </row>
    <row r="429" spans="1:7" ht="15">
      <c r="A429" s="93" t="s">
        <v>1079</v>
      </c>
      <c r="B429" s="92">
        <v>2</v>
      </c>
      <c r="C429" s="125">
        <v>0.0034333612977900645</v>
      </c>
      <c r="D429" s="92" t="s">
        <v>649</v>
      </c>
      <c r="E429" s="92" t="b">
        <v>0</v>
      </c>
      <c r="F429" s="92" t="b">
        <v>0</v>
      </c>
      <c r="G429" s="92" t="b">
        <v>0</v>
      </c>
    </row>
    <row r="430" spans="1:7" ht="15">
      <c r="A430" s="93" t="s">
        <v>981</v>
      </c>
      <c r="B430" s="92">
        <v>2</v>
      </c>
      <c r="C430" s="125">
        <v>0.0034333612977900645</v>
      </c>
      <c r="D430" s="92" t="s">
        <v>649</v>
      </c>
      <c r="E430" s="92" t="b">
        <v>0</v>
      </c>
      <c r="F430" s="92" t="b">
        <v>0</v>
      </c>
      <c r="G430" s="92" t="b">
        <v>0</v>
      </c>
    </row>
    <row r="431" spans="1:7" ht="15">
      <c r="A431" s="93" t="s">
        <v>1080</v>
      </c>
      <c r="B431" s="92">
        <v>2</v>
      </c>
      <c r="C431" s="125">
        <v>0.0034333612977900645</v>
      </c>
      <c r="D431" s="92" t="s">
        <v>649</v>
      </c>
      <c r="E431" s="92" t="b">
        <v>0</v>
      </c>
      <c r="F431" s="92" t="b">
        <v>0</v>
      </c>
      <c r="G431" s="92" t="b">
        <v>0</v>
      </c>
    </row>
    <row r="432" spans="1:7" ht="15">
      <c r="A432" s="93" t="s">
        <v>1081</v>
      </c>
      <c r="B432" s="92">
        <v>2</v>
      </c>
      <c r="C432" s="125">
        <v>0.0034333612977900645</v>
      </c>
      <c r="D432" s="92" t="s">
        <v>649</v>
      </c>
      <c r="E432" s="92" t="b">
        <v>0</v>
      </c>
      <c r="F432" s="92" t="b">
        <v>0</v>
      </c>
      <c r="G432" s="92" t="b">
        <v>0</v>
      </c>
    </row>
    <row r="433" spans="1:7" ht="15">
      <c r="A433" s="93" t="s">
        <v>1082</v>
      </c>
      <c r="B433" s="92">
        <v>2</v>
      </c>
      <c r="C433" s="125">
        <v>0.0034333612977900645</v>
      </c>
      <c r="D433" s="92" t="s">
        <v>649</v>
      </c>
      <c r="E433" s="92" t="b">
        <v>0</v>
      </c>
      <c r="F433" s="92" t="b">
        <v>0</v>
      </c>
      <c r="G433" s="92" t="b">
        <v>0</v>
      </c>
    </row>
    <row r="434" spans="1:7" ht="15">
      <c r="A434" s="93" t="s">
        <v>982</v>
      </c>
      <c r="B434" s="92">
        <v>2</v>
      </c>
      <c r="C434" s="125">
        <v>0.0034333612977900645</v>
      </c>
      <c r="D434" s="92" t="s">
        <v>649</v>
      </c>
      <c r="E434" s="92" t="b">
        <v>0</v>
      </c>
      <c r="F434" s="92" t="b">
        <v>0</v>
      </c>
      <c r="G434" s="92" t="b">
        <v>0</v>
      </c>
    </row>
    <row r="435" spans="1:7" ht="15">
      <c r="A435" s="93" t="s">
        <v>983</v>
      </c>
      <c r="B435" s="92">
        <v>2</v>
      </c>
      <c r="C435" s="125">
        <v>0.0034333612977900645</v>
      </c>
      <c r="D435" s="92" t="s">
        <v>649</v>
      </c>
      <c r="E435" s="92" t="b">
        <v>0</v>
      </c>
      <c r="F435" s="92" t="b">
        <v>1</v>
      </c>
      <c r="G435" s="92" t="b">
        <v>0</v>
      </c>
    </row>
    <row r="436" spans="1:7" ht="15">
      <c r="A436" s="93" t="s">
        <v>1083</v>
      </c>
      <c r="B436" s="92">
        <v>2</v>
      </c>
      <c r="C436" s="125">
        <v>0.0034333612977900645</v>
      </c>
      <c r="D436" s="92" t="s">
        <v>649</v>
      </c>
      <c r="E436" s="92" t="b">
        <v>0</v>
      </c>
      <c r="F436" s="92" t="b">
        <v>0</v>
      </c>
      <c r="G436" s="92" t="b">
        <v>0</v>
      </c>
    </row>
    <row r="437" spans="1:7" ht="15">
      <c r="A437" s="93" t="s">
        <v>1084</v>
      </c>
      <c r="B437" s="92">
        <v>2</v>
      </c>
      <c r="C437" s="125">
        <v>0.0034333612977900645</v>
      </c>
      <c r="D437" s="92" t="s">
        <v>649</v>
      </c>
      <c r="E437" s="92" t="b">
        <v>0</v>
      </c>
      <c r="F437" s="92" t="b">
        <v>1</v>
      </c>
      <c r="G437" s="92" t="b">
        <v>0</v>
      </c>
    </row>
    <row r="438" spans="1:7" ht="15">
      <c r="A438" s="93" t="s">
        <v>952</v>
      </c>
      <c r="B438" s="92">
        <v>2</v>
      </c>
      <c r="C438" s="125">
        <v>0.0034333612977900645</v>
      </c>
      <c r="D438" s="92" t="s">
        <v>649</v>
      </c>
      <c r="E438" s="92" t="b">
        <v>0</v>
      </c>
      <c r="F438" s="92" t="b">
        <v>1</v>
      </c>
      <c r="G438" s="92" t="b">
        <v>0</v>
      </c>
    </row>
    <row r="439" spans="1:7" ht="15">
      <c r="A439" s="93" t="s">
        <v>1085</v>
      </c>
      <c r="B439" s="92">
        <v>2</v>
      </c>
      <c r="C439" s="125">
        <v>0.0034333612977900645</v>
      </c>
      <c r="D439" s="92" t="s">
        <v>649</v>
      </c>
      <c r="E439" s="92" t="b">
        <v>0</v>
      </c>
      <c r="F439" s="92" t="b">
        <v>0</v>
      </c>
      <c r="G439" s="92" t="b">
        <v>0</v>
      </c>
    </row>
    <row r="440" spans="1:7" ht="15">
      <c r="A440" s="93" t="s">
        <v>947</v>
      </c>
      <c r="B440" s="92">
        <v>2</v>
      </c>
      <c r="C440" s="125">
        <v>0.0034333612977900645</v>
      </c>
      <c r="D440" s="92" t="s">
        <v>649</v>
      </c>
      <c r="E440" s="92" t="b">
        <v>0</v>
      </c>
      <c r="F440" s="92" t="b">
        <v>0</v>
      </c>
      <c r="G440" s="92" t="b">
        <v>0</v>
      </c>
    </row>
    <row r="441" spans="1:7" ht="15">
      <c r="A441" s="93" t="s">
        <v>1086</v>
      </c>
      <c r="B441" s="92">
        <v>2</v>
      </c>
      <c r="C441" s="125">
        <v>0.0034333612977900645</v>
      </c>
      <c r="D441" s="92" t="s">
        <v>649</v>
      </c>
      <c r="E441" s="92" t="b">
        <v>0</v>
      </c>
      <c r="F441" s="92" t="b">
        <v>0</v>
      </c>
      <c r="G441" s="92" t="b">
        <v>0</v>
      </c>
    </row>
    <row r="442" spans="1:7" ht="15">
      <c r="A442" s="93" t="s">
        <v>1087</v>
      </c>
      <c r="B442" s="92">
        <v>2</v>
      </c>
      <c r="C442" s="125">
        <v>0.0034333612977900645</v>
      </c>
      <c r="D442" s="92" t="s">
        <v>649</v>
      </c>
      <c r="E442" s="92" t="b">
        <v>0</v>
      </c>
      <c r="F442" s="92" t="b">
        <v>0</v>
      </c>
      <c r="G442" s="92" t="b">
        <v>0</v>
      </c>
    </row>
    <row r="443" spans="1:7" ht="15">
      <c r="A443" s="93" t="s">
        <v>1088</v>
      </c>
      <c r="B443" s="92">
        <v>2</v>
      </c>
      <c r="C443" s="125">
        <v>0.0034333612977900645</v>
      </c>
      <c r="D443" s="92" t="s">
        <v>649</v>
      </c>
      <c r="E443" s="92" t="b">
        <v>0</v>
      </c>
      <c r="F443" s="92" t="b">
        <v>0</v>
      </c>
      <c r="G443" s="92" t="b">
        <v>0</v>
      </c>
    </row>
    <row r="444" spans="1:7" ht="15">
      <c r="A444" s="93" t="s">
        <v>973</v>
      </c>
      <c r="B444" s="92">
        <v>2</v>
      </c>
      <c r="C444" s="125">
        <v>0.0034333612977900645</v>
      </c>
      <c r="D444" s="92" t="s">
        <v>649</v>
      </c>
      <c r="E444" s="92" t="b">
        <v>0</v>
      </c>
      <c r="F444" s="92" t="b">
        <v>0</v>
      </c>
      <c r="G444" s="92" t="b">
        <v>0</v>
      </c>
    </row>
    <row r="445" spans="1:7" ht="15">
      <c r="A445" s="93" t="s">
        <v>975</v>
      </c>
      <c r="B445" s="92">
        <v>2</v>
      </c>
      <c r="C445" s="125">
        <v>0.0034333612977900645</v>
      </c>
      <c r="D445" s="92" t="s">
        <v>649</v>
      </c>
      <c r="E445" s="92" t="b">
        <v>0</v>
      </c>
      <c r="F445" s="92" t="b">
        <v>0</v>
      </c>
      <c r="G445" s="92" t="b">
        <v>0</v>
      </c>
    </row>
    <row r="446" spans="1:7" ht="15">
      <c r="A446" s="93" t="s">
        <v>1129</v>
      </c>
      <c r="B446" s="92">
        <v>2</v>
      </c>
      <c r="C446" s="125">
        <v>0.0041821921327750925</v>
      </c>
      <c r="D446" s="92" t="s">
        <v>649</v>
      </c>
      <c r="E446" s="92" t="b">
        <v>0</v>
      </c>
      <c r="F446" s="92" t="b">
        <v>0</v>
      </c>
      <c r="G446" s="92" t="b">
        <v>0</v>
      </c>
    </row>
    <row r="447" spans="1:7" ht="15">
      <c r="A447" s="93" t="s">
        <v>1066</v>
      </c>
      <c r="B447" s="92">
        <v>2</v>
      </c>
      <c r="C447" s="125">
        <v>0.0034333612977900645</v>
      </c>
      <c r="D447" s="92" t="s">
        <v>649</v>
      </c>
      <c r="E447" s="92" t="b">
        <v>0</v>
      </c>
      <c r="F447" s="92" t="b">
        <v>0</v>
      </c>
      <c r="G447" s="92" t="b">
        <v>0</v>
      </c>
    </row>
    <row r="448" spans="1:7" ht="15">
      <c r="A448" s="93" t="s">
        <v>1067</v>
      </c>
      <c r="B448" s="92">
        <v>2</v>
      </c>
      <c r="C448" s="125">
        <v>0.0034333612977900645</v>
      </c>
      <c r="D448" s="92" t="s">
        <v>649</v>
      </c>
      <c r="E448" s="92" t="b">
        <v>0</v>
      </c>
      <c r="F448" s="92" t="b">
        <v>0</v>
      </c>
      <c r="G448" s="92" t="b">
        <v>0</v>
      </c>
    </row>
    <row r="449" spans="1:7" ht="15">
      <c r="A449" s="93" t="s">
        <v>1068</v>
      </c>
      <c r="B449" s="92">
        <v>2</v>
      </c>
      <c r="C449" s="125">
        <v>0.0034333612977900645</v>
      </c>
      <c r="D449" s="92" t="s">
        <v>649</v>
      </c>
      <c r="E449" s="92" t="b">
        <v>0</v>
      </c>
      <c r="F449" s="92" t="b">
        <v>0</v>
      </c>
      <c r="G449" s="92" t="b">
        <v>0</v>
      </c>
    </row>
    <row r="450" spans="1:7" ht="15">
      <c r="A450" s="93" t="s">
        <v>1069</v>
      </c>
      <c r="B450" s="92">
        <v>2</v>
      </c>
      <c r="C450" s="125">
        <v>0.0034333612977900645</v>
      </c>
      <c r="D450" s="92" t="s">
        <v>649</v>
      </c>
      <c r="E450" s="92" t="b">
        <v>0</v>
      </c>
      <c r="F450" s="92" t="b">
        <v>0</v>
      </c>
      <c r="G450" s="92" t="b">
        <v>0</v>
      </c>
    </row>
    <row r="451" spans="1:7" ht="15">
      <c r="A451" s="93" t="s">
        <v>1070</v>
      </c>
      <c r="B451" s="92">
        <v>2</v>
      </c>
      <c r="C451" s="125">
        <v>0.0034333612977900645</v>
      </c>
      <c r="D451" s="92" t="s">
        <v>649</v>
      </c>
      <c r="E451" s="92" t="b">
        <v>0</v>
      </c>
      <c r="F451" s="92" t="b">
        <v>0</v>
      </c>
      <c r="G451" s="92" t="b">
        <v>0</v>
      </c>
    </row>
    <row r="452" spans="1:7" ht="15">
      <c r="A452" s="93" t="s">
        <v>1071</v>
      </c>
      <c r="B452" s="92">
        <v>2</v>
      </c>
      <c r="C452" s="125">
        <v>0.0034333612977900645</v>
      </c>
      <c r="D452" s="92" t="s">
        <v>649</v>
      </c>
      <c r="E452" s="92" t="b">
        <v>0</v>
      </c>
      <c r="F452" s="92" t="b">
        <v>0</v>
      </c>
      <c r="G452" s="92" t="b">
        <v>0</v>
      </c>
    </row>
    <row r="453" spans="1:7" ht="15">
      <c r="A453" s="93" t="s">
        <v>1072</v>
      </c>
      <c r="B453" s="92">
        <v>2</v>
      </c>
      <c r="C453" s="125">
        <v>0.0034333612977900645</v>
      </c>
      <c r="D453" s="92" t="s">
        <v>649</v>
      </c>
      <c r="E453" s="92" t="b">
        <v>0</v>
      </c>
      <c r="F453" s="92" t="b">
        <v>1</v>
      </c>
      <c r="G453" s="92" t="b">
        <v>0</v>
      </c>
    </row>
    <row r="454" spans="1:7" ht="15">
      <c r="A454" s="93" t="s">
        <v>1073</v>
      </c>
      <c r="B454" s="92">
        <v>2</v>
      </c>
      <c r="C454" s="125">
        <v>0.0034333612977900645</v>
      </c>
      <c r="D454" s="92" t="s">
        <v>649</v>
      </c>
      <c r="E454" s="92" t="b">
        <v>0</v>
      </c>
      <c r="F454" s="92" t="b">
        <v>0</v>
      </c>
      <c r="G454" s="92" t="b">
        <v>0</v>
      </c>
    </row>
    <row r="455" spans="1:7" ht="15">
      <c r="A455" s="93" t="s">
        <v>1074</v>
      </c>
      <c r="B455" s="92">
        <v>2</v>
      </c>
      <c r="C455" s="125">
        <v>0.0034333612977900645</v>
      </c>
      <c r="D455" s="92" t="s">
        <v>649</v>
      </c>
      <c r="E455" s="92" t="b">
        <v>0</v>
      </c>
      <c r="F455" s="92" t="b">
        <v>0</v>
      </c>
      <c r="G455" s="92" t="b">
        <v>0</v>
      </c>
    </row>
    <row r="456" spans="1:7" ht="15">
      <c r="A456" s="93" t="s">
        <v>1075</v>
      </c>
      <c r="B456" s="92">
        <v>2</v>
      </c>
      <c r="C456" s="125">
        <v>0.0034333612977900645</v>
      </c>
      <c r="D456" s="92" t="s">
        <v>649</v>
      </c>
      <c r="E456" s="92" t="b">
        <v>0</v>
      </c>
      <c r="F456" s="92" t="b">
        <v>0</v>
      </c>
      <c r="G456" s="92" t="b">
        <v>0</v>
      </c>
    </row>
    <row r="457" spans="1:7" ht="15">
      <c r="A457" s="93" t="s">
        <v>1076</v>
      </c>
      <c r="B457" s="92">
        <v>2</v>
      </c>
      <c r="C457" s="125">
        <v>0.0034333612977900645</v>
      </c>
      <c r="D457" s="92" t="s">
        <v>649</v>
      </c>
      <c r="E457" s="92" t="b">
        <v>0</v>
      </c>
      <c r="F457" s="92" t="b">
        <v>0</v>
      </c>
      <c r="G457" s="92" t="b">
        <v>0</v>
      </c>
    </row>
    <row r="458" spans="1:7" ht="15">
      <c r="A458" s="93" t="s">
        <v>1077</v>
      </c>
      <c r="B458" s="92">
        <v>2</v>
      </c>
      <c r="C458" s="125">
        <v>0.0034333612977900645</v>
      </c>
      <c r="D458" s="92" t="s">
        <v>649</v>
      </c>
      <c r="E458" s="92" t="b">
        <v>0</v>
      </c>
      <c r="F458" s="92" t="b">
        <v>0</v>
      </c>
      <c r="G458" s="92" t="b">
        <v>0</v>
      </c>
    </row>
    <row r="459" spans="1:7" ht="15">
      <c r="A459" s="93" t="s">
        <v>1042</v>
      </c>
      <c r="B459" s="92">
        <v>2</v>
      </c>
      <c r="C459" s="125">
        <v>0.0034333612977900645</v>
      </c>
      <c r="D459" s="92" t="s">
        <v>649</v>
      </c>
      <c r="E459" s="92" t="b">
        <v>0</v>
      </c>
      <c r="F459" s="92" t="b">
        <v>0</v>
      </c>
      <c r="G459" s="92" t="b">
        <v>0</v>
      </c>
    </row>
    <row r="460" spans="1:7" ht="15">
      <c r="A460" s="93" t="s">
        <v>1043</v>
      </c>
      <c r="B460" s="92">
        <v>2</v>
      </c>
      <c r="C460" s="125">
        <v>0.0034333612977900645</v>
      </c>
      <c r="D460" s="92" t="s">
        <v>649</v>
      </c>
      <c r="E460" s="92" t="b">
        <v>0</v>
      </c>
      <c r="F460" s="92" t="b">
        <v>0</v>
      </c>
      <c r="G460" s="92" t="b">
        <v>0</v>
      </c>
    </row>
    <row r="461" spans="1:7" ht="15">
      <c r="A461" s="93" t="s">
        <v>1044</v>
      </c>
      <c r="B461" s="92">
        <v>2</v>
      </c>
      <c r="C461" s="125">
        <v>0.0034333612977900645</v>
      </c>
      <c r="D461" s="92" t="s">
        <v>649</v>
      </c>
      <c r="E461" s="92" t="b">
        <v>0</v>
      </c>
      <c r="F461" s="92" t="b">
        <v>0</v>
      </c>
      <c r="G461" s="92" t="b">
        <v>0</v>
      </c>
    </row>
    <row r="462" spans="1:7" ht="15">
      <c r="A462" s="93" t="s">
        <v>1045</v>
      </c>
      <c r="B462" s="92">
        <v>2</v>
      </c>
      <c r="C462" s="125">
        <v>0.0034333612977900645</v>
      </c>
      <c r="D462" s="92" t="s">
        <v>649</v>
      </c>
      <c r="E462" s="92" t="b">
        <v>0</v>
      </c>
      <c r="F462" s="92" t="b">
        <v>0</v>
      </c>
      <c r="G462" s="92" t="b">
        <v>0</v>
      </c>
    </row>
    <row r="463" spans="1:7" ht="15">
      <c r="A463" s="93" t="s">
        <v>1046</v>
      </c>
      <c r="B463" s="92">
        <v>2</v>
      </c>
      <c r="C463" s="125">
        <v>0.0034333612977900645</v>
      </c>
      <c r="D463" s="92" t="s">
        <v>649</v>
      </c>
      <c r="E463" s="92" t="b">
        <v>0</v>
      </c>
      <c r="F463" s="92" t="b">
        <v>0</v>
      </c>
      <c r="G463" s="92" t="b">
        <v>0</v>
      </c>
    </row>
    <row r="464" spans="1:7" ht="15">
      <c r="A464" s="93" t="s">
        <v>1047</v>
      </c>
      <c r="B464" s="92">
        <v>2</v>
      </c>
      <c r="C464" s="125">
        <v>0.0034333612977900645</v>
      </c>
      <c r="D464" s="92" t="s">
        <v>649</v>
      </c>
      <c r="E464" s="92" t="b">
        <v>0</v>
      </c>
      <c r="F464" s="92" t="b">
        <v>0</v>
      </c>
      <c r="G464" s="92" t="b">
        <v>0</v>
      </c>
    </row>
    <row r="465" spans="1:7" ht="15">
      <c r="A465" s="93" t="s">
        <v>1048</v>
      </c>
      <c r="B465" s="92">
        <v>2</v>
      </c>
      <c r="C465" s="125">
        <v>0.0034333612977900645</v>
      </c>
      <c r="D465" s="92" t="s">
        <v>649</v>
      </c>
      <c r="E465" s="92" t="b">
        <v>0</v>
      </c>
      <c r="F465" s="92" t="b">
        <v>0</v>
      </c>
      <c r="G465" s="92" t="b">
        <v>0</v>
      </c>
    </row>
    <row r="466" spans="1:7" ht="15">
      <c r="A466" s="93" t="s">
        <v>1049</v>
      </c>
      <c r="B466" s="92">
        <v>2</v>
      </c>
      <c r="C466" s="125">
        <v>0.0034333612977900645</v>
      </c>
      <c r="D466" s="92" t="s">
        <v>649</v>
      </c>
      <c r="E466" s="92" t="b">
        <v>0</v>
      </c>
      <c r="F466" s="92" t="b">
        <v>0</v>
      </c>
      <c r="G466" s="92" t="b">
        <v>0</v>
      </c>
    </row>
    <row r="467" spans="1:7" ht="15">
      <c r="A467" s="93" t="s">
        <v>1050</v>
      </c>
      <c r="B467" s="92">
        <v>2</v>
      </c>
      <c r="C467" s="125">
        <v>0.0034333612977900645</v>
      </c>
      <c r="D467" s="92" t="s">
        <v>649</v>
      </c>
      <c r="E467" s="92" t="b">
        <v>0</v>
      </c>
      <c r="F467" s="92" t="b">
        <v>1</v>
      </c>
      <c r="G467" s="92" t="b">
        <v>0</v>
      </c>
    </row>
    <row r="468" spans="1:7" ht="15">
      <c r="A468" s="93" t="s">
        <v>1051</v>
      </c>
      <c r="B468" s="92">
        <v>2</v>
      </c>
      <c r="C468" s="125">
        <v>0.0034333612977900645</v>
      </c>
      <c r="D468" s="92" t="s">
        <v>649</v>
      </c>
      <c r="E468" s="92" t="b">
        <v>0</v>
      </c>
      <c r="F468" s="92" t="b">
        <v>0</v>
      </c>
      <c r="G468" s="92" t="b">
        <v>0</v>
      </c>
    </row>
    <row r="469" spans="1:7" ht="15">
      <c r="A469" s="93" t="s">
        <v>1127</v>
      </c>
      <c r="B469" s="92">
        <v>2</v>
      </c>
      <c r="C469" s="125">
        <v>0.0034333612977900645</v>
      </c>
      <c r="D469" s="92" t="s">
        <v>649</v>
      </c>
      <c r="E469" s="92" t="b">
        <v>0</v>
      </c>
      <c r="F469" s="92" t="b">
        <v>0</v>
      </c>
      <c r="G469" s="92" t="b">
        <v>0</v>
      </c>
    </row>
    <row r="470" spans="1:7" ht="15">
      <c r="A470" s="93" t="s">
        <v>1126</v>
      </c>
      <c r="B470" s="92">
        <v>2</v>
      </c>
      <c r="C470" s="125">
        <v>0.0034333612977900645</v>
      </c>
      <c r="D470" s="92" t="s">
        <v>649</v>
      </c>
      <c r="E470" s="92" t="b">
        <v>0</v>
      </c>
      <c r="F470" s="92" t="b">
        <v>0</v>
      </c>
      <c r="G470" s="92" t="b">
        <v>0</v>
      </c>
    </row>
    <row r="471" spans="1:7" ht="15">
      <c r="A471" s="93" t="s">
        <v>977</v>
      </c>
      <c r="B471" s="92">
        <v>2</v>
      </c>
      <c r="C471" s="125">
        <v>0.0034333612977900645</v>
      </c>
      <c r="D471" s="92" t="s">
        <v>649</v>
      </c>
      <c r="E471" s="92" t="b">
        <v>0</v>
      </c>
      <c r="F471" s="92" t="b">
        <v>0</v>
      </c>
      <c r="G471" s="92" t="b">
        <v>0</v>
      </c>
    </row>
    <row r="472" spans="1:7" ht="15">
      <c r="A472" s="93" t="s">
        <v>281</v>
      </c>
      <c r="B472" s="92">
        <v>2</v>
      </c>
      <c r="C472" s="125">
        <v>0.0034333612977900645</v>
      </c>
      <c r="D472" s="92" t="s">
        <v>649</v>
      </c>
      <c r="E472" s="92" t="b">
        <v>0</v>
      </c>
      <c r="F472" s="92" t="b">
        <v>0</v>
      </c>
      <c r="G472" s="92" t="b">
        <v>0</v>
      </c>
    </row>
    <row r="473" spans="1:7" ht="15">
      <c r="A473" s="93" t="s">
        <v>726</v>
      </c>
      <c r="B473" s="92">
        <v>2</v>
      </c>
      <c r="C473" s="125">
        <v>0.0041821921327750925</v>
      </c>
      <c r="D473" s="92" t="s">
        <v>649</v>
      </c>
      <c r="E473" s="92" t="b">
        <v>0</v>
      </c>
      <c r="F473" s="92" t="b">
        <v>0</v>
      </c>
      <c r="G473" s="92" t="b">
        <v>0</v>
      </c>
    </row>
    <row r="474" spans="1:7" ht="15">
      <c r="A474" s="93" t="s">
        <v>701</v>
      </c>
      <c r="B474" s="92">
        <v>8</v>
      </c>
      <c r="C474" s="125">
        <v>0</v>
      </c>
      <c r="D474" s="92" t="s">
        <v>650</v>
      </c>
      <c r="E474" s="92" t="b">
        <v>0</v>
      </c>
      <c r="F474" s="92" t="b">
        <v>0</v>
      </c>
      <c r="G474" s="92" t="b">
        <v>0</v>
      </c>
    </row>
    <row r="475" spans="1:7" ht="15">
      <c r="A475" s="93" t="s">
        <v>703</v>
      </c>
      <c r="B475" s="92">
        <v>4</v>
      </c>
      <c r="C475" s="125">
        <v>0.006960231113618062</v>
      </c>
      <c r="D475" s="92" t="s">
        <v>650</v>
      </c>
      <c r="E475" s="92" t="b">
        <v>0</v>
      </c>
      <c r="F475" s="92" t="b">
        <v>0</v>
      </c>
      <c r="G475" s="92" t="b">
        <v>0</v>
      </c>
    </row>
    <row r="476" spans="1:7" ht="15">
      <c r="A476" s="93" t="s">
        <v>704</v>
      </c>
      <c r="B476" s="92">
        <v>4</v>
      </c>
      <c r="C476" s="125">
        <v>0.006960231113618062</v>
      </c>
      <c r="D476" s="92" t="s">
        <v>650</v>
      </c>
      <c r="E476" s="92" t="b">
        <v>0</v>
      </c>
      <c r="F476" s="92" t="b">
        <v>0</v>
      </c>
      <c r="G476" s="92" t="b">
        <v>0</v>
      </c>
    </row>
    <row r="477" spans="1:7" ht="15">
      <c r="A477" s="93" t="s">
        <v>715</v>
      </c>
      <c r="B477" s="92">
        <v>4</v>
      </c>
      <c r="C477" s="125">
        <v>0.020880693340854184</v>
      </c>
      <c r="D477" s="92" t="s">
        <v>650</v>
      </c>
      <c r="E477" s="92" t="b">
        <v>0</v>
      </c>
      <c r="F477" s="92" t="b">
        <v>0</v>
      </c>
      <c r="G477" s="92" t="b">
        <v>0</v>
      </c>
    </row>
    <row r="478" spans="1:7" ht="15">
      <c r="A478" s="93" t="s">
        <v>716</v>
      </c>
      <c r="B478" s="92">
        <v>3</v>
      </c>
      <c r="C478" s="125">
        <v>0.007386741022062678</v>
      </c>
      <c r="D478" s="92" t="s">
        <v>650</v>
      </c>
      <c r="E478" s="92" t="b">
        <v>0</v>
      </c>
      <c r="F478" s="92" t="b">
        <v>0</v>
      </c>
      <c r="G478" s="92" t="b">
        <v>0</v>
      </c>
    </row>
    <row r="479" spans="1:7" ht="15">
      <c r="A479" s="93" t="s">
        <v>717</v>
      </c>
      <c r="B479" s="92">
        <v>3</v>
      </c>
      <c r="C479" s="125">
        <v>0.007386741022062678</v>
      </c>
      <c r="D479" s="92" t="s">
        <v>650</v>
      </c>
      <c r="E479" s="92" t="b">
        <v>0</v>
      </c>
      <c r="F479" s="92" t="b">
        <v>0</v>
      </c>
      <c r="G479" s="92" t="b">
        <v>0</v>
      </c>
    </row>
    <row r="480" spans="1:7" ht="15">
      <c r="A480" s="93" t="s">
        <v>709</v>
      </c>
      <c r="B480" s="92">
        <v>3</v>
      </c>
      <c r="C480" s="125">
        <v>0.007386741022062678</v>
      </c>
      <c r="D480" s="92" t="s">
        <v>650</v>
      </c>
      <c r="E480" s="92" t="b">
        <v>0</v>
      </c>
      <c r="F480" s="92" t="b">
        <v>0</v>
      </c>
      <c r="G480" s="92" t="b">
        <v>0</v>
      </c>
    </row>
    <row r="481" spans="1:7" ht="15">
      <c r="A481" s="93" t="s">
        <v>718</v>
      </c>
      <c r="B481" s="92">
        <v>2</v>
      </c>
      <c r="C481" s="125">
        <v>0.006960231113618062</v>
      </c>
      <c r="D481" s="92" t="s">
        <v>650</v>
      </c>
      <c r="E481" s="92" t="b">
        <v>1</v>
      </c>
      <c r="F481" s="92" t="b">
        <v>0</v>
      </c>
      <c r="G481" s="92" t="b">
        <v>0</v>
      </c>
    </row>
    <row r="482" spans="1:7" ht="15">
      <c r="A482" s="93" t="s">
        <v>719</v>
      </c>
      <c r="B482" s="92">
        <v>2</v>
      </c>
      <c r="C482" s="125">
        <v>0.006960231113618062</v>
      </c>
      <c r="D482" s="92" t="s">
        <v>650</v>
      </c>
      <c r="E482" s="92" t="b">
        <v>0</v>
      </c>
      <c r="F482" s="92" t="b">
        <v>0</v>
      </c>
      <c r="G482" s="92" t="b">
        <v>0</v>
      </c>
    </row>
    <row r="483" spans="1:7" ht="15">
      <c r="A483" s="93" t="s">
        <v>720</v>
      </c>
      <c r="B483" s="92">
        <v>2</v>
      </c>
      <c r="C483" s="125">
        <v>0.006960231113618062</v>
      </c>
      <c r="D483" s="92" t="s">
        <v>650</v>
      </c>
      <c r="E483" s="92" t="b">
        <v>0</v>
      </c>
      <c r="F483" s="92" t="b">
        <v>0</v>
      </c>
      <c r="G483" s="92" t="b">
        <v>0</v>
      </c>
    </row>
    <row r="484" spans="1:7" ht="15">
      <c r="A484" s="93" t="s">
        <v>978</v>
      </c>
      <c r="B484" s="92">
        <v>2</v>
      </c>
      <c r="C484" s="125">
        <v>0.006960231113618062</v>
      </c>
      <c r="D484" s="92" t="s">
        <v>650</v>
      </c>
      <c r="E484" s="92" t="b">
        <v>0</v>
      </c>
      <c r="F484" s="92" t="b">
        <v>0</v>
      </c>
      <c r="G484" s="92" t="b">
        <v>0</v>
      </c>
    </row>
    <row r="485" spans="1:7" ht="15">
      <c r="A485" s="93" t="s">
        <v>897</v>
      </c>
      <c r="B485" s="92">
        <v>2</v>
      </c>
      <c r="C485" s="125">
        <v>0.006960231113618062</v>
      </c>
      <c r="D485" s="92" t="s">
        <v>650</v>
      </c>
      <c r="E485" s="92" t="b">
        <v>0</v>
      </c>
      <c r="F485" s="92" t="b">
        <v>0</v>
      </c>
      <c r="G485" s="92" t="b">
        <v>0</v>
      </c>
    </row>
    <row r="486" spans="1:7" ht="15">
      <c r="A486" s="93" t="s">
        <v>898</v>
      </c>
      <c r="B486" s="92">
        <v>2</v>
      </c>
      <c r="C486" s="125">
        <v>0.006960231113618062</v>
      </c>
      <c r="D486" s="92" t="s">
        <v>650</v>
      </c>
      <c r="E486" s="92" t="b">
        <v>1</v>
      </c>
      <c r="F486" s="92" t="b">
        <v>0</v>
      </c>
      <c r="G486" s="92" t="b">
        <v>0</v>
      </c>
    </row>
    <row r="487" spans="1:7" ht="15">
      <c r="A487" s="93" t="s">
        <v>946</v>
      </c>
      <c r="B487" s="92">
        <v>2</v>
      </c>
      <c r="C487" s="125">
        <v>0.006960231113618062</v>
      </c>
      <c r="D487" s="92" t="s">
        <v>650</v>
      </c>
      <c r="E487" s="92" t="b">
        <v>1</v>
      </c>
      <c r="F487" s="92" t="b">
        <v>0</v>
      </c>
      <c r="G487" s="92" t="b">
        <v>0</v>
      </c>
    </row>
    <row r="488" spans="1:7" ht="15">
      <c r="A488" s="93" t="s">
        <v>899</v>
      </c>
      <c r="B488" s="92">
        <v>2</v>
      </c>
      <c r="C488" s="125">
        <v>0.006960231113618062</v>
      </c>
      <c r="D488" s="92" t="s">
        <v>650</v>
      </c>
      <c r="E488" s="92" t="b">
        <v>0</v>
      </c>
      <c r="F488" s="92" t="b">
        <v>0</v>
      </c>
      <c r="G488" s="92" t="b">
        <v>0</v>
      </c>
    </row>
    <row r="489" spans="1:7" ht="15">
      <c r="A489" s="93" t="s">
        <v>886</v>
      </c>
      <c r="B489" s="92">
        <v>2</v>
      </c>
      <c r="C489" s="125">
        <v>0.006960231113618062</v>
      </c>
      <c r="D489" s="92" t="s">
        <v>650</v>
      </c>
      <c r="E489" s="92" t="b">
        <v>0</v>
      </c>
      <c r="F489" s="92" t="b">
        <v>0</v>
      </c>
      <c r="G489" s="92" t="b">
        <v>0</v>
      </c>
    </row>
    <row r="490" spans="1:7" ht="15">
      <c r="A490" s="93" t="s">
        <v>900</v>
      </c>
      <c r="B490" s="92">
        <v>2</v>
      </c>
      <c r="C490" s="125">
        <v>0.006960231113618062</v>
      </c>
      <c r="D490" s="92" t="s">
        <v>650</v>
      </c>
      <c r="E490" s="92" t="b">
        <v>0</v>
      </c>
      <c r="F490" s="92" t="b">
        <v>0</v>
      </c>
      <c r="G490" s="92" t="b">
        <v>0</v>
      </c>
    </row>
    <row r="491" spans="1:7" ht="15">
      <c r="A491" s="93" t="s">
        <v>1063</v>
      </c>
      <c r="B491" s="92">
        <v>2</v>
      </c>
      <c r="C491" s="125">
        <v>0.006960231113618062</v>
      </c>
      <c r="D491" s="92" t="s">
        <v>650</v>
      </c>
      <c r="E491" s="92" t="b">
        <v>0</v>
      </c>
      <c r="F491" s="92" t="b">
        <v>0</v>
      </c>
      <c r="G491" s="92" t="b">
        <v>0</v>
      </c>
    </row>
    <row r="492" spans="1:7" ht="15">
      <c r="A492" s="93" t="s">
        <v>979</v>
      </c>
      <c r="B492" s="92">
        <v>2</v>
      </c>
      <c r="C492" s="125">
        <v>0.006960231113618062</v>
      </c>
      <c r="D492" s="92" t="s">
        <v>650</v>
      </c>
      <c r="E492" s="92" t="b">
        <v>0</v>
      </c>
      <c r="F492" s="92" t="b">
        <v>0</v>
      </c>
      <c r="G492" s="92" t="b">
        <v>0</v>
      </c>
    </row>
    <row r="493" spans="1:7" ht="15">
      <c r="A493" s="93" t="s">
        <v>980</v>
      </c>
      <c r="B493" s="92">
        <v>2</v>
      </c>
      <c r="C493" s="125">
        <v>0.006960231113618062</v>
      </c>
      <c r="D493" s="92" t="s">
        <v>650</v>
      </c>
      <c r="E493" s="92" t="b">
        <v>0</v>
      </c>
      <c r="F493" s="92" t="b">
        <v>0</v>
      </c>
      <c r="G493" s="92" t="b">
        <v>0</v>
      </c>
    </row>
    <row r="494" spans="1:7" ht="15">
      <c r="A494" s="93" t="s">
        <v>1064</v>
      </c>
      <c r="B494" s="92">
        <v>2</v>
      </c>
      <c r="C494" s="125">
        <v>0.006960231113618062</v>
      </c>
      <c r="D494" s="92" t="s">
        <v>650</v>
      </c>
      <c r="E494" s="92" t="b">
        <v>0</v>
      </c>
      <c r="F494" s="92" t="b">
        <v>0</v>
      </c>
      <c r="G494" s="92" t="b">
        <v>0</v>
      </c>
    </row>
    <row r="495" spans="1:7" ht="15">
      <c r="A495" s="93" t="s">
        <v>929</v>
      </c>
      <c r="B495" s="92">
        <v>2</v>
      </c>
      <c r="C495" s="125">
        <v>0.006960231113618062</v>
      </c>
      <c r="D495" s="92" t="s">
        <v>650</v>
      </c>
      <c r="E495" s="92" t="b">
        <v>0</v>
      </c>
      <c r="F495" s="92" t="b">
        <v>0</v>
      </c>
      <c r="G495" s="92" t="b">
        <v>0</v>
      </c>
    </row>
    <row r="496" spans="1:7" ht="15">
      <c r="A496" s="93" t="s">
        <v>947</v>
      </c>
      <c r="B496" s="92">
        <v>2</v>
      </c>
      <c r="C496" s="125">
        <v>0.006960231113618062</v>
      </c>
      <c r="D496" s="92" t="s">
        <v>650</v>
      </c>
      <c r="E496" s="92" t="b">
        <v>0</v>
      </c>
      <c r="F496" s="92" t="b">
        <v>0</v>
      </c>
      <c r="G496" s="92" t="b">
        <v>0</v>
      </c>
    </row>
    <row r="497" spans="1:7" ht="15">
      <c r="A497" s="93" t="s">
        <v>1065</v>
      </c>
      <c r="B497" s="92">
        <v>2</v>
      </c>
      <c r="C497" s="125">
        <v>0.006960231113618062</v>
      </c>
      <c r="D497" s="92" t="s">
        <v>650</v>
      </c>
      <c r="E497" s="92" t="b">
        <v>0</v>
      </c>
      <c r="F497" s="92" t="b">
        <v>0</v>
      </c>
      <c r="G497" s="92" t="b">
        <v>0</v>
      </c>
    </row>
    <row r="498" spans="1:7" ht="15">
      <c r="A498" s="93" t="s">
        <v>1118</v>
      </c>
      <c r="B498" s="92">
        <v>2</v>
      </c>
      <c r="C498" s="125">
        <v>0.006960231113618062</v>
      </c>
      <c r="D498" s="92" t="s">
        <v>650</v>
      </c>
      <c r="E498" s="92" t="b">
        <v>0</v>
      </c>
      <c r="F498" s="92" t="b">
        <v>0</v>
      </c>
      <c r="G498" s="92" t="b">
        <v>0</v>
      </c>
    </row>
    <row r="499" spans="1:7" ht="15">
      <c r="A499" s="93" t="s">
        <v>1119</v>
      </c>
      <c r="B499" s="92">
        <v>2</v>
      </c>
      <c r="C499" s="125">
        <v>0.006960231113618062</v>
      </c>
      <c r="D499" s="92" t="s">
        <v>650</v>
      </c>
      <c r="E499" s="92" t="b">
        <v>1</v>
      </c>
      <c r="F499" s="92" t="b">
        <v>0</v>
      </c>
      <c r="G499" s="92" t="b">
        <v>0</v>
      </c>
    </row>
    <row r="500" spans="1:7" ht="15">
      <c r="A500" s="93" t="s">
        <v>931</v>
      </c>
      <c r="B500" s="92">
        <v>2</v>
      </c>
      <c r="C500" s="125">
        <v>0.006960231113618062</v>
      </c>
      <c r="D500" s="92" t="s">
        <v>650</v>
      </c>
      <c r="E500" s="92" t="b">
        <v>0</v>
      </c>
      <c r="F500" s="92" t="b">
        <v>0</v>
      </c>
      <c r="G500" s="92" t="b">
        <v>0</v>
      </c>
    </row>
    <row r="501" spans="1:7" ht="15">
      <c r="A501" s="93" t="s">
        <v>930</v>
      </c>
      <c r="B501" s="92">
        <v>2</v>
      </c>
      <c r="C501" s="125">
        <v>0.006960231113618062</v>
      </c>
      <c r="D501" s="92" t="s">
        <v>650</v>
      </c>
      <c r="E501" s="92" t="b">
        <v>0</v>
      </c>
      <c r="F501" s="92" t="b">
        <v>0</v>
      </c>
      <c r="G501" s="92" t="b">
        <v>0</v>
      </c>
    </row>
    <row r="502" spans="1:7" ht="15">
      <c r="A502" s="93" t="s">
        <v>1120</v>
      </c>
      <c r="B502" s="92">
        <v>2</v>
      </c>
      <c r="C502" s="125">
        <v>0.010440346670427092</v>
      </c>
      <c r="D502" s="92" t="s">
        <v>650</v>
      </c>
      <c r="E502" s="92" t="b">
        <v>0</v>
      </c>
      <c r="F502" s="92" t="b">
        <v>0</v>
      </c>
      <c r="G502" s="92" t="b">
        <v>0</v>
      </c>
    </row>
    <row r="503" spans="1:7" ht="15">
      <c r="A503" s="93" t="s">
        <v>902</v>
      </c>
      <c r="B503" s="92">
        <v>2</v>
      </c>
      <c r="C503" s="125">
        <v>0.006960231113618062</v>
      </c>
      <c r="D503" s="92" t="s">
        <v>650</v>
      </c>
      <c r="E503" s="92" t="b">
        <v>0</v>
      </c>
      <c r="F503" s="92" t="b">
        <v>0</v>
      </c>
      <c r="G503" s="92" t="b">
        <v>0</v>
      </c>
    </row>
    <row r="504" spans="1:7" ht="15">
      <c r="A504" s="93" t="s">
        <v>280</v>
      </c>
      <c r="B504" s="92">
        <v>2</v>
      </c>
      <c r="C504" s="125">
        <v>0.006960231113618062</v>
      </c>
      <c r="D504" s="92" t="s">
        <v>650</v>
      </c>
      <c r="E504" s="92" t="b">
        <v>0</v>
      </c>
      <c r="F504" s="92" t="b">
        <v>0</v>
      </c>
      <c r="G504" s="92" t="b">
        <v>0</v>
      </c>
    </row>
    <row r="505" spans="1:7" ht="15">
      <c r="A505" s="93" t="s">
        <v>702</v>
      </c>
      <c r="B505" s="92">
        <v>2</v>
      </c>
      <c r="C505" s="125">
        <v>0.006960231113618062</v>
      </c>
      <c r="D505" s="92" t="s">
        <v>650</v>
      </c>
      <c r="E505" s="92" t="b">
        <v>0</v>
      </c>
      <c r="F505" s="92" t="b">
        <v>0</v>
      </c>
      <c r="G505" s="92" t="b">
        <v>0</v>
      </c>
    </row>
    <row r="506" spans="1:7" ht="15">
      <c r="A506" s="93" t="s">
        <v>894</v>
      </c>
      <c r="B506" s="92">
        <v>2</v>
      </c>
      <c r="C506" s="125">
        <v>0.006960231113618062</v>
      </c>
      <c r="D506" s="92" t="s">
        <v>650</v>
      </c>
      <c r="E506" s="92" t="b">
        <v>0</v>
      </c>
      <c r="F506" s="92" t="b">
        <v>0</v>
      </c>
      <c r="G506" s="92" t="b">
        <v>0</v>
      </c>
    </row>
    <row r="507" spans="1:7" ht="15">
      <c r="A507" s="93" t="s">
        <v>892</v>
      </c>
      <c r="B507" s="92">
        <v>2</v>
      </c>
      <c r="C507" s="125">
        <v>0.006960231113618062</v>
      </c>
      <c r="D507" s="92" t="s">
        <v>650</v>
      </c>
      <c r="E507" s="92" t="b">
        <v>0</v>
      </c>
      <c r="F507" s="92" t="b">
        <v>0</v>
      </c>
      <c r="G507" s="92" t="b">
        <v>0</v>
      </c>
    </row>
    <row r="508" spans="1:7" ht="15">
      <c r="A508" s="93" t="s">
        <v>895</v>
      </c>
      <c r="B508" s="92">
        <v>2</v>
      </c>
      <c r="C508" s="125">
        <v>0.006960231113618062</v>
      </c>
      <c r="D508" s="92" t="s">
        <v>650</v>
      </c>
      <c r="E508" s="92" t="b">
        <v>0</v>
      </c>
      <c r="F508" s="92" t="b">
        <v>0</v>
      </c>
      <c r="G508" s="92" t="b">
        <v>0</v>
      </c>
    </row>
    <row r="509" spans="1:7" ht="15">
      <c r="A509" s="93" t="s">
        <v>896</v>
      </c>
      <c r="B509" s="92">
        <v>2</v>
      </c>
      <c r="C509" s="125">
        <v>0.006960231113618062</v>
      </c>
      <c r="D509" s="92" t="s">
        <v>650</v>
      </c>
      <c r="E509" s="92" t="b">
        <v>0</v>
      </c>
      <c r="F509" s="92" t="b">
        <v>0</v>
      </c>
      <c r="G509" s="92" t="b">
        <v>0</v>
      </c>
    </row>
    <row r="510" spans="1:7" ht="15">
      <c r="A510" s="93" t="s">
        <v>952</v>
      </c>
      <c r="B510" s="92">
        <v>2</v>
      </c>
      <c r="C510" s="125">
        <v>0.006960231113618062</v>
      </c>
      <c r="D510" s="92" t="s">
        <v>650</v>
      </c>
      <c r="E510" s="92" t="b">
        <v>0</v>
      </c>
      <c r="F510" s="92" t="b">
        <v>1</v>
      </c>
      <c r="G510" s="92" t="b">
        <v>0</v>
      </c>
    </row>
    <row r="511" spans="1:7" ht="15">
      <c r="A511" s="93" t="s">
        <v>953</v>
      </c>
      <c r="B511" s="92">
        <v>2</v>
      </c>
      <c r="C511" s="125">
        <v>0.010440346670427092</v>
      </c>
      <c r="D511" s="92" t="s">
        <v>650</v>
      </c>
      <c r="E511" s="92" t="b">
        <v>0</v>
      </c>
      <c r="F511" s="92" t="b">
        <v>0</v>
      </c>
      <c r="G511" s="92" t="b">
        <v>0</v>
      </c>
    </row>
    <row r="512" spans="1:7" ht="15">
      <c r="A512" s="93" t="s">
        <v>701</v>
      </c>
      <c r="B512" s="92">
        <v>8</v>
      </c>
      <c r="C512" s="125">
        <v>0</v>
      </c>
      <c r="D512" s="92" t="s">
        <v>651</v>
      </c>
      <c r="E512" s="92" t="b">
        <v>0</v>
      </c>
      <c r="F512" s="92" t="b">
        <v>0</v>
      </c>
      <c r="G512" s="92" t="b">
        <v>0</v>
      </c>
    </row>
    <row r="513" spans="1:7" ht="15">
      <c r="A513" s="93" t="s">
        <v>702</v>
      </c>
      <c r="B513" s="92">
        <v>4</v>
      </c>
      <c r="C513" s="125">
        <v>0.008361944323999478</v>
      </c>
      <c r="D513" s="92" t="s">
        <v>651</v>
      </c>
      <c r="E513" s="92" t="b">
        <v>0</v>
      </c>
      <c r="F513" s="92" t="b">
        <v>0</v>
      </c>
      <c r="G513" s="92" t="b">
        <v>0</v>
      </c>
    </row>
    <row r="514" spans="1:7" ht="15">
      <c r="A514" s="93" t="s">
        <v>722</v>
      </c>
      <c r="B514" s="92">
        <v>3</v>
      </c>
      <c r="C514" s="125">
        <v>0.012542916485999216</v>
      </c>
      <c r="D514" s="92" t="s">
        <v>651</v>
      </c>
      <c r="E514" s="92" t="b">
        <v>0</v>
      </c>
      <c r="F514" s="92" t="b">
        <v>1</v>
      </c>
      <c r="G514" s="92" t="b">
        <v>0</v>
      </c>
    </row>
    <row r="515" spans="1:7" ht="15">
      <c r="A515" s="93" t="s">
        <v>723</v>
      </c>
      <c r="B515" s="92">
        <v>3</v>
      </c>
      <c r="C515" s="125">
        <v>0.012542916485999216</v>
      </c>
      <c r="D515" s="92" t="s">
        <v>651</v>
      </c>
      <c r="E515" s="92" t="b">
        <v>0</v>
      </c>
      <c r="F515" s="92" t="b">
        <v>0</v>
      </c>
      <c r="G515" s="92" t="b">
        <v>0</v>
      </c>
    </row>
    <row r="516" spans="1:7" ht="15">
      <c r="A516" s="93" t="s">
        <v>705</v>
      </c>
      <c r="B516" s="92">
        <v>3</v>
      </c>
      <c r="C516" s="125">
        <v>0.008874348589005855</v>
      </c>
      <c r="D516" s="92" t="s">
        <v>651</v>
      </c>
      <c r="E516" s="92" t="b">
        <v>1</v>
      </c>
      <c r="F516" s="92" t="b">
        <v>0</v>
      </c>
      <c r="G516" s="92" t="b">
        <v>0</v>
      </c>
    </row>
    <row r="517" spans="1:7" ht="15">
      <c r="A517" s="93" t="s">
        <v>724</v>
      </c>
      <c r="B517" s="92">
        <v>2</v>
      </c>
      <c r="C517" s="125">
        <v>0.012542916485999214</v>
      </c>
      <c r="D517" s="92" t="s">
        <v>651</v>
      </c>
      <c r="E517" s="92" t="b">
        <v>0</v>
      </c>
      <c r="F517" s="92" t="b">
        <v>0</v>
      </c>
      <c r="G517" s="92" t="b">
        <v>0</v>
      </c>
    </row>
    <row r="518" spans="1:7" ht="15">
      <c r="A518" s="93" t="s">
        <v>281</v>
      </c>
      <c r="B518" s="92">
        <v>2</v>
      </c>
      <c r="C518" s="125">
        <v>0.008361944323999478</v>
      </c>
      <c r="D518" s="92" t="s">
        <v>651</v>
      </c>
      <c r="E518" s="92" t="b">
        <v>0</v>
      </c>
      <c r="F518" s="92" t="b">
        <v>0</v>
      </c>
      <c r="G518" s="92" t="b">
        <v>0</v>
      </c>
    </row>
    <row r="519" spans="1:7" ht="15">
      <c r="A519" s="93" t="s">
        <v>725</v>
      </c>
      <c r="B519" s="92">
        <v>2</v>
      </c>
      <c r="C519" s="125">
        <v>0.012542916485999214</v>
      </c>
      <c r="D519" s="92" t="s">
        <v>651</v>
      </c>
      <c r="E519" s="92" t="b">
        <v>0</v>
      </c>
      <c r="F519" s="92" t="b">
        <v>0</v>
      </c>
      <c r="G519" s="92" t="b">
        <v>0</v>
      </c>
    </row>
    <row r="520" spans="1:7" ht="15">
      <c r="A520" s="93" t="s">
        <v>726</v>
      </c>
      <c r="B520" s="92">
        <v>2</v>
      </c>
      <c r="C520" s="125">
        <v>0.012542916485999214</v>
      </c>
      <c r="D520" s="92" t="s">
        <v>651</v>
      </c>
      <c r="E520" s="92" t="b">
        <v>0</v>
      </c>
      <c r="F520" s="92" t="b">
        <v>0</v>
      </c>
      <c r="G520" s="92" t="b">
        <v>0</v>
      </c>
    </row>
    <row r="521" spans="1:7" ht="15">
      <c r="A521" s="93" t="s">
        <v>701</v>
      </c>
      <c r="B521" s="92">
        <v>4</v>
      </c>
      <c r="C521" s="125">
        <v>0</v>
      </c>
      <c r="D521" s="92" t="s">
        <v>652</v>
      </c>
      <c r="E521" s="92" t="b">
        <v>0</v>
      </c>
      <c r="F521" s="92" t="b">
        <v>0</v>
      </c>
      <c r="G521" s="92" t="b">
        <v>0</v>
      </c>
    </row>
    <row r="522" spans="1:7" ht="15">
      <c r="A522" s="93" t="s">
        <v>728</v>
      </c>
      <c r="B522" s="92">
        <v>3</v>
      </c>
      <c r="C522" s="125">
        <v>0.006352817115676268</v>
      </c>
      <c r="D522" s="92" t="s">
        <v>652</v>
      </c>
      <c r="E522" s="92" t="b">
        <v>0</v>
      </c>
      <c r="F522" s="92" t="b">
        <v>0</v>
      </c>
      <c r="G522" s="92" t="b">
        <v>0</v>
      </c>
    </row>
    <row r="523" spans="1:7" ht="15">
      <c r="A523" s="93" t="s">
        <v>729</v>
      </c>
      <c r="B523" s="92">
        <v>3</v>
      </c>
      <c r="C523" s="125">
        <v>0.006352817115676268</v>
      </c>
      <c r="D523" s="92" t="s">
        <v>652</v>
      </c>
      <c r="E523" s="92" t="b">
        <v>0</v>
      </c>
      <c r="F523" s="92" t="b">
        <v>0</v>
      </c>
      <c r="G523" s="92" t="b">
        <v>0</v>
      </c>
    </row>
    <row r="524" spans="1:7" ht="15">
      <c r="A524" s="93" t="s">
        <v>709</v>
      </c>
      <c r="B524" s="92">
        <v>2</v>
      </c>
      <c r="C524" s="125">
        <v>0.010204406632677328</v>
      </c>
      <c r="D524" s="92" t="s">
        <v>652</v>
      </c>
      <c r="E524" s="92" t="b">
        <v>0</v>
      </c>
      <c r="F524" s="92" t="b">
        <v>0</v>
      </c>
      <c r="G524" s="92" t="b">
        <v>0</v>
      </c>
    </row>
    <row r="525" spans="1:7" ht="15">
      <c r="A525" s="93" t="s">
        <v>730</v>
      </c>
      <c r="B525" s="92">
        <v>2</v>
      </c>
      <c r="C525" s="125">
        <v>0.010204406632677328</v>
      </c>
      <c r="D525" s="92" t="s">
        <v>652</v>
      </c>
      <c r="E525" s="92" t="b">
        <v>0</v>
      </c>
      <c r="F525" s="92" t="b">
        <v>0</v>
      </c>
      <c r="G525" s="92" t="b">
        <v>0</v>
      </c>
    </row>
    <row r="526" spans="1:7" ht="15">
      <c r="A526" s="93" t="s">
        <v>731</v>
      </c>
      <c r="B526" s="92">
        <v>2</v>
      </c>
      <c r="C526" s="125">
        <v>0.010204406632677328</v>
      </c>
      <c r="D526" s="92" t="s">
        <v>652</v>
      </c>
      <c r="E526" s="92" t="b">
        <v>1</v>
      </c>
      <c r="F526" s="92" t="b">
        <v>0</v>
      </c>
      <c r="G526" s="92" t="b">
        <v>0</v>
      </c>
    </row>
    <row r="527" spans="1:7" ht="15">
      <c r="A527" s="93" t="s">
        <v>732</v>
      </c>
      <c r="B527" s="92">
        <v>2</v>
      </c>
      <c r="C527" s="125">
        <v>0.010204406632677328</v>
      </c>
      <c r="D527" s="92" t="s">
        <v>652</v>
      </c>
      <c r="E527" s="92" t="b">
        <v>0</v>
      </c>
      <c r="F527" s="92" t="b">
        <v>0</v>
      </c>
      <c r="G527" s="92" t="b">
        <v>0</v>
      </c>
    </row>
    <row r="528" spans="1:7" ht="15">
      <c r="A528" s="93" t="s">
        <v>733</v>
      </c>
      <c r="B528" s="92">
        <v>2</v>
      </c>
      <c r="C528" s="125">
        <v>0.010204406632677328</v>
      </c>
      <c r="D528" s="92" t="s">
        <v>652</v>
      </c>
      <c r="E528" s="92" t="b">
        <v>0</v>
      </c>
      <c r="F528" s="92" t="b">
        <v>0</v>
      </c>
      <c r="G528" s="92" t="b">
        <v>0</v>
      </c>
    </row>
    <row r="529" spans="1:7" ht="15">
      <c r="A529" s="93" t="s">
        <v>734</v>
      </c>
      <c r="B529" s="92">
        <v>2</v>
      </c>
      <c r="C529" s="125">
        <v>0.010204406632677328</v>
      </c>
      <c r="D529" s="92" t="s">
        <v>652</v>
      </c>
      <c r="E529" s="92" t="b">
        <v>0</v>
      </c>
      <c r="F529" s="92" t="b">
        <v>0</v>
      </c>
      <c r="G529" s="92" t="b">
        <v>0</v>
      </c>
    </row>
    <row r="530" spans="1:7" ht="15">
      <c r="A530" s="93" t="s">
        <v>704</v>
      </c>
      <c r="B530" s="92">
        <v>2</v>
      </c>
      <c r="C530" s="125">
        <v>0.010204406632677328</v>
      </c>
      <c r="D530" s="92" t="s">
        <v>652</v>
      </c>
      <c r="E530" s="92" t="b">
        <v>0</v>
      </c>
      <c r="F530" s="92" t="b">
        <v>0</v>
      </c>
      <c r="G530" s="92" t="b">
        <v>0</v>
      </c>
    </row>
    <row r="531" spans="1:7" ht="15">
      <c r="A531" s="93" t="s">
        <v>1121</v>
      </c>
      <c r="B531" s="92">
        <v>2</v>
      </c>
      <c r="C531" s="125">
        <v>0.010204406632677328</v>
      </c>
      <c r="D531" s="92" t="s">
        <v>652</v>
      </c>
      <c r="E531" s="92" t="b">
        <v>0</v>
      </c>
      <c r="F531" s="92" t="b">
        <v>0</v>
      </c>
      <c r="G531" s="92" t="b">
        <v>0</v>
      </c>
    </row>
    <row r="532" spans="1:7" ht="15">
      <c r="A532" s="93" t="s">
        <v>1122</v>
      </c>
      <c r="B532" s="92">
        <v>2</v>
      </c>
      <c r="C532" s="125">
        <v>0.010204406632677328</v>
      </c>
      <c r="D532" s="92" t="s">
        <v>652</v>
      </c>
      <c r="E532" s="92" t="b">
        <v>0</v>
      </c>
      <c r="F532" s="92" t="b">
        <v>0</v>
      </c>
      <c r="G532" s="92" t="b">
        <v>0</v>
      </c>
    </row>
    <row r="533" spans="1:7" ht="15">
      <c r="A533" s="93" t="s">
        <v>986</v>
      </c>
      <c r="B533" s="92">
        <v>2</v>
      </c>
      <c r="C533" s="125">
        <v>0.010204406632677328</v>
      </c>
      <c r="D533" s="92" t="s">
        <v>652</v>
      </c>
      <c r="E533" s="92" t="b">
        <v>0</v>
      </c>
      <c r="F533" s="92" t="b">
        <v>0</v>
      </c>
      <c r="G533" s="92" t="b">
        <v>0</v>
      </c>
    </row>
    <row r="534" spans="1:7" ht="15">
      <c r="A534" s="93" t="s">
        <v>987</v>
      </c>
      <c r="B534" s="92">
        <v>2</v>
      </c>
      <c r="C534" s="125">
        <v>0.010204406632677328</v>
      </c>
      <c r="D534" s="92" t="s">
        <v>652</v>
      </c>
      <c r="E534" s="92" t="b">
        <v>1</v>
      </c>
      <c r="F534" s="92" t="b">
        <v>0</v>
      </c>
      <c r="G534" s="92" t="b">
        <v>0</v>
      </c>
    </row>
    <row r="535" spans="1:7" ht="15">
      <c r="A535" s="93" t="s">
        <v>890</v>
      </c>
      <c r="B535" s="92">
        <v>2</v>
      </c>
      <c r="C535" s="125">
        <v>0.010204406632677328</v>
      </c>
      <c r="D535" s="92" t="s">
        <v>652</v>
      </c>
      <c r="E535" s="92" t="b">
        <v>0</v>
      </c>
      <c r="F535" s="92" t="b">
        <v>0</v>
      </c>
      <c r="G535" s="92" t="b">
        <v>0</v>
      </c>
    </row>
    <row r="536" spans="1:7" ht="15">
      <c r="A536" s="93" t="s">
        <v>956</v>
      </c>
      <c r="B536" s="92">
        <v>2</v>
      </c>
      <c r="C536" s="125">
        <v>0.010204406632677328</v>
      </c>
      <c r="D536" s="92" t="s">
        <v>652</v>
      </c>
      <c r="E536" s="92" t="b">
        <v>0</v>
      </c>
      <c r="F536" s="92" t="b">
        <v>0</v>
      </c>
      <c r="G536" s="92" t="b">
        <v>0</v>
      </c>
    </row>
    <row r="537" spans="1:7" ht="15">
      <c r="A537" s="93" t="s">
        <v>1123</v>
      </c>
      <c r="B537" s="92">
        <v>2</v>
      </c>
      <c r="C537" s="125">
        <v>0.010204406632677328</v>
      </c>
      <c r="D537" s="92" t="s">
        <v>652</v>
      </c>
      <c r="E537" s="92" t="b">
        <v>0</v>
      </c>
      <c r="F537" s="92" t="b">
        <v>0</v>
      </c>
      <c r="G537" s="92" t="b">
        <v>0</v>
      </c>
    </row>
    <row r="538" spans="1:7" ht="15">
      <c r="A538" s="93" t="s">
        <v>891</v>
      </c>
      <c r="B538" s="92">
        <v>2</v>
      </c>
      <c r="C538" s="125">
        <v>0.010204406632677328</v>
      </c>
      <c r="D538" s="92" t="s">
        <v>652</v>
      </c>
      <c r="E538" s="92" t="b">
        <v>0</v>
      </c>
      <c r="F538" s="92" t="b">
        <v>0</v>
      </c>
      <c r="G538" s="92" t="b">
        <v>0</v>
      </c>
    </row>
    <row r="539" spans="1:7" ht="15">
      <c r="A539" s="93" t="s">
        <v>1124</v>
      </c>
      <c r="B539" s="92">
        <v>2</v>
      </c>
      <c r="C539" s="125">
        <v>0.010204406632677328</v>
      </c>
      <c r="D539" s="92" t="s">
        <v>652</v>
      </c>
      <c r="E539" s="92" t="b">
        <v>0</v>
      </c>
      <c r="F539" s="92" t="b">
        <v>0</v>
      </c>
      <c r="G539" s="92" t="b">
        <v>0</v>
      </c>
    </row>
    <row r="540" spans="1:7" ht="15">
      <c r="A540" s="93" t="s">
        <v>1125</v>
      </c>
      <c r="B540" s="92">
        <v>2</v>
      </c>
      <c r="C540" s="125">
        <v>0.010204406632677328</v>
      </c>
      <c r="D540" s="92" t="s">
        <v>652</v>
      </c>
      <c r="E540" s="92" t="b">
        <v>0</v>
      </c>
      <c r="F540" s="92" t="b">
        <v>0</v>
      </c>
      <c r="G540" s="92" t="b">
        <v>0</v>
      </c>
    </row>
    <row r="541" spans="1:7" ht="15">
      <c r="A541" s="93" t="s">
        <v>707</v>
      </c>
      <c r="B541" s="92">
        <v>2</v>
      </c>
      <c r="C541" s="125">
        <v>0.020408813265354656</v>
      </c>
      <c r="D541" s="92" t="s">
        <v>652</v>
      </c>
      <c r="E541" s="92" t="b">
        <v>0</v>
      </c>
      <c r="F541" s="92" t="b">
        <v>0</v>
      </c>
      <c r="G541" s="92" t="b">
        <v>0</v>
      </c>
    </row>
    <row r="542" spans="1:7" ht="15">
      <c r="A542" s="93" t="s">
        <v>736</v>
      </c>
      <c r="B542" s="92">
        <v>2</v>
      </c>
      <c r="C542" s="125">
        <v>0</v>
      </c>
      <c r="D542" s="92" t="s">
        <v>653</v>
      </c>
      <c r="E542" s="92" t="b">
        <v>0</v>
      </c>
      <c r="F542" s="92" t="b">
        <v>0</v>
      </c>
      <c r="G542"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EE99C6A-6336-4E22-BD84-D74D220F51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2021-01-23T18:38:32Z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