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<sst xmlns="http://schemas.openxmlformats.org/spreadsheetml/2006/main" count="1339" uniqueCount="413">
  <si>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</si>
  <si>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</si>
  <si>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</si>
  <si>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</si>
  <si>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</si>
  <si>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</si>
  <si>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</si>
  <si>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</si>
  <si>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</si>
  <si>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</si>
  <si>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</si>
  <si>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</si>
  <si>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</si>
  <si>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</si>
  <si>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</si>
  <si>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</si>
  <si>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</si>
  <si>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</si>
  <si>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</si>
  <si>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</si>
  <si>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</si>
  <si>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</si>
  <si>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</si>
  <si>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</si>
  <si>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</si>
  <si>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</si>
  <si>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</si>
  <si>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</si>
  <si>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</si>
  <si>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</si>
  <si>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</si>
  <si>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</si>
  <si>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</si>
  <si>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</si>
  <si>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</si>
  <si>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</si>
  <si>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</si>
  <si>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</si>
  <si>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</si>
  <si>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</si>
  <si>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</si>
  <si>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</si>
  <si>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</si>
  <si>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</si>
  <si>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</si>
  <si>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</si>
  <si>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</si>
  <si>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</si>
  <si>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</si>
  <si>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</si>
  <si>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</si>
  <si>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</si>
  <si>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</si>
  <si>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</si>
  <si>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</si>
  <si>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</si>
  <si>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</si>
  <si>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</si>
  <si>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</si>
  <si>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</si>
  <si>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</si>
  <si>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</si>
  <si>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</si>
  <si>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</si>
  <si>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</si>
  <si>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</si>
  <si>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</si>
  <si>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</si>
  <si>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</si>
  <si>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</si>
  <si>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</si>
  <si>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</si>
  <si>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</si>
  <si>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</si>
  <si>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</si>
  <si>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</si>
  <si>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</si>
  <si>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</si>
  <si>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</si>
  <si>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</si>
  <si>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</si>
  <si>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</si>
  <si>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</si>
  <si>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</si>
  <si>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</si>
  <si>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</si>
  <si>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</si>
  <si>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</si>
  <si>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</si>
  <si>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</si>
  <si>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</si>
  <si>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</si>
  <si>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</si>
  <si>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</si>
  <si>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</si>
  <si>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</si>
  <si>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</si>
  <si>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</si>
  <si>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</si>
  <si>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</si>
  <si>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</si>
  <si>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</si>
  <si>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</si>
  <si>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</si>
  <si>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</si>
  <si>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</si>
  <si>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</si>
  <si>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</si>
  <si>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</si>
  <si>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</si>
  <si>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</si>
  <si>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</si>
  <si>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</si>
  <si>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</si>
  <si>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</si>
  <si>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</si>
  <si>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</si>
  <si>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</si>
  <si>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</si>
  <si>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</si>
  <si>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</si>
  <si>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</si>
  <si>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</si>
  <si>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</si>
  <si>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</si>
  <si>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</si>
  <si>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</si>
  <si>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</si>
  <si>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</si>
  <si>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</si>
  <si>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</si>
  <si>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</si>
  <si>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</si>
  <si>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</si>
  <si>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</si>
  <si>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</si>
  <si>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</si>
  <si>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</si>
  <si>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</si>
  <si>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</si>
  <si>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</si>
  <si>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</si>
  <si>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</si>
  <si>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</si>
  <si>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</si>
  <si>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</si>
  <si>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</si>
  <si>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</si>
  <si>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</si>
  <si>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</si>
  <si>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</si>
  <si>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</si>
  <si>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</si>
  <si>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</si>
  <si>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</si>
  <si>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</si>
  <si>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</si>
  <si>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</si>
  <si>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</si>
  <si>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</si>
  <si>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</si>
  <si>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</si>
  <si>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</si>
  <si>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</si>
  <si>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</si>
  <si>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</si>
  <si>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</si>
  <si>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</si>
  <si>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</si>
  <si>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</si>
  <si>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</si>
  <si>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</si>
  <si>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</si>
  <si>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</si>
  <si>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</si>
  <si>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</si>
  <si>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</si>
  <si>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</si>
  <si>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</si>
  <si>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</si>
  <si>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</si>
  <si>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</si>
  <si>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</si>
  <si>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</si>
  <si>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</si>
  <si>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</si>
  <si>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</si>
  <si>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</si>
  <si>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</si>
  <si>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</si>
  <si>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</si>
  <si>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</si>
  <si>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</si>
  <si>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</si>
  <si>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</si>
  <si>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</si>
  <si>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</si>
  <si>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</si>
  <si>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</si>
  <si>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</si>
  <si>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</si>
  <si>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</si>
  <si>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</si>
  <si>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</si>
  <si>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</si>
  <si>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</si>
  <si>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</si>
  <si>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</si>
  <si>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</si>
  <si>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</si>
  <si>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</si>
  <si>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</si>
  <si>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</si>
  <si>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</si>
  <si>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seesuiteuga</t>
  </si>
  <si>
    <t>ugagrady</t>
  </si>
  <si>
    <t>childrensatl</t>
  </si>
  <si>
    <t>fairfightaction</t>
  </si>
  <si>
    <t>feedingamerica</t>
  </si>
  <si>
    <t>girlscouts</t>
  </si>
  <si>
    <t>greenpeace</t>
  </si>
  <si>
    <t>habitat_org</t>
  </si>
  <si>
    <t>hrc</t>
  </si>
  <si>
    <t>naacp</t>
  </si>
  <si>
    <t>adpr_uga</t>
  </si>
  <si>
    <t>makeawish</t>
  </si>
  <si>
    <t>ugagrad</t>
  </si>
  <si>
    <t>Mentions</t>
  </si>
  <si>
    <t>MentionsInRetweet</t>
  </si>
  <si>
    <t>Retweet</t>
  </si>
  <si>
    <t>#AdPR5750 #AdPR7750 in Fall 2020 completed their final social media analysis report. The team Children's Healthcare of Atlanta @childrensatl offers brilliant suggestions to the organization. You can find the details here https://t.co/37lW6lYP3a @UGAGrady @AdPR_UGA https://t.co/WbSwq4gZ3Z</t>
  </si>
  <si>
    <t>#AdPR5750 #AdPR7750 in fall 2020 completed their final social media analysis report. The team @fairfightaction provides excellent analysis. You can find here https://t.co/kr8qjNeheK. @UGAGrady @AdPR_UGA https://t.co/piNsw7iEMX</t>
  </si>
  <si>
    <t>#AdPR5750 #AdPR7750 in Fall 2020 completed their final social media analysis report. The team @FeedingAmerica offers brilliant suggestions to the organization. You can find the report here https://t.co/D7MqsDQlHC. @UGAGrady @AdPR_UGA https://t.co/bRHeSH0MNY</t>
  </si>
  <si>
    <t>The team @girlscouts finalized its analysis report for the organization's social media activities. You can find the report here https://t.co/l6BzbHh7NZ. @UGAGrady @AdPR_UGA #AdPR5570 #AdPR7750 https://t.co/DUdmW1AaiF</t>
  </si>
  <si>
    <t>#AdPR5750 #AdPR7750 in Fall 2020 completed their final social media analysis report. The team @Greenpeace offers brilliant suggestions to the organization here https://t.co/ocD0pSaSy1. @UGAGrady @AdPR_UGA https://t.co/0zEp3DJtBU</t>
  </si>
  <si>
    <t>The team @Habitat_org finalized its analysis report for the organization's social media activities. You can find the report here https://t.co/JX8RV2tuTH. @UGAGrady @AdPR_UGA #AdPR5570 #AdPR7750 https://t.co/nnJbVDreTB</t>
  </si>
  <si>
    <t>#AdPR5750 #AdPR7750 in Fall 2020 completed their final social media analysis report. The team @HRC offers brilliant suggestions to the organization, Human Rights Campaign. You can find the details here https://t.co/RdGLz1HEMo. @UGAGrady @AdPR_UGA https://t.co/pScOnaV0rx</t>
  </si>
  <si>
    <t>Finally, #AdPR5750 #AdPR7750 in Fall 2020 completed their final social media analysis report. The team @NAACP provides excellent analyses on the organization Here is the details https://t.co/qFWjfiHS6J. @UGAGrady @AdPR_UGA https://t.co/ci8RGH9sQP</t>
  </si>
  <si>
    <t>Finally,  #AdPR5750 #AdPR7750 in fall 2020 completed their final social media analysis report. The team #RedCross provides excellent analysis. You can find here https://t.co/OOXQQ1r3Me. @UGAGrady @AdPR_UGA https://t.co/XItjiSLEhn</t>
  </si>
  <si>
    <t>Welcome - Izy Dobbins, Isabelle Sumichrast, Pedro Arreaza &amp;amp; Emma Downey - our new and returning #SEESuiteinterns! @UGAGrady @AdPR_UGA https://t.co/W4SHYtKRDg</t>
  </si>
  <si>
    <t>The team @MakeAWish finalized its analysis report for the organization's social media activities. You can find the report here https://t.co/ltAjYuPNsh. @UGAGrady @AdPR_UGA #AdPR5570 #AdPR7750 https://t.co/NWaWTJMUnV</t>
  </si>
  <si>
    <t>RT @SeeSuiteUGA: Welcome - Izy Dobbins, Isabelle Sumichrast, Pedro Arreaza &amp;amp; Emma Downey - our new and returning #SEESuiteinterns! @UGAGrad…</t>
  </si>
  <si>
    <t>uga.edu</t>
  </si>
  <si>
    <t>adpr5750 adpr7750</t>
  </si>
  <si>
    <t>adpr5570 adpr7750</t>
  </si>
  <si>
    <t>adpr5750 adpr7750 redcross</t>
  </si>
  <si>
    <t>seesuiteinterns</t>
  </si>
  <si>
    <t>18:02:02</t>
  </si>
  <si>
    <t>23:55:02</t>
  </si>
  <si>
    <t>18:02:04</t>
  </si>
  <si>
    <t>21:42:00</t>
  </si>
  <si>
    <t>23:55:03</t>
  </si>
  <si>
    <t>18:26:08</t>
  </si>
  <si>
    <t>18:52:28</t>
  </si>
  <si>
    <t>1349054040278183937</t>
  </si>
  <si>
    <t>1349142877750886402</t>
  </si>
  <si>
    <t>1349416437425823747</t>
  </si>
  <si>
    <t>1349505265939447808</t>
  </si>
  <si>
    <t>1349778816839901186</t>
  </si>
  <si>
    <t>1349867654832676868</t>
  </si>
  <si>
    <t>1350141205770870785</t>
  </si>
  <si>
    <t>1350196562287276034</t>
  </si>
  <si>
    <t>1348780492271792131</t>
  </si>
  <si>
    <t>1349784884173221889</t>
  </si>
  <si>
    <t>1350230040550797318</t>
  </si>
  <si>
    <t>1349791508547981314</t>
  </si>
  <si>
    <t/>
  </si>
  <si>
    <t>en</t>
  </si>
  <si>
    <t>Buffer</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</si>
  <si>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</si>
  <si>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</si>
  <si>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</si>
  <si>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</si>
  <si>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</si>
  <si>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</si>
  <si>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</si>
  <si>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</si>
  <si>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</si>
  <si>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</si>
  <si>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</si>
  <si>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</si>
  <si>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</si>
  <si>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</si>
  <si>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</si>
  <si>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</si>
  <si>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</si>
  <si>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</si>
  <si>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</si>
  <si>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</si>
  <si>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</si>
  <si>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</si>
  <si>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</si>
  <si>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</si>
  <si>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Hal S. Pope</t>
  </si>
  <si>
    <t>SEE Suite at UGA</t>
  </si>
  <si>
    <t>Children's</t>
  </si>
  <si>
    <t>Fair Fight</t>
  </si>
  <si>
    <t>Feeding America</t>
  </si>
  <si>
    <t>Girl Scouts</t>
  </si>
  <si>
    <t>Greenpeace</t>
  </si>
  <si>
    <t>Habitat_org</t>
  </si>
  <si>
    <t>Human Rights Campaign</t>
  </si>
  <si>
    <t>NAACP</t>
  </si>
  <si>
    <t>AdPR at UGA</t>
  </si>
  <si>
    <t>Make-A-Wish America</t>
  </si>
  <si>
    <t>UGA Grady College</t>
  </si>
  <si>
    <t>2293081752</t>
  </si>
  <si>
    <t>4754316685</t>
  </si>
  <si>
    <t>123276758</t>
  </si>
  <si>
    <t>879771304316071938</t>
  </si>
  <si>
    <t>16648790</t>
  </si>
  <si>
    <t>103018203</t>
  </si>
  <si>
    <t>3459051</t>
  </si>
  <si>
    <t>33898911</t>
  </si>
  <si>
    <t>19608297</t>
  </si>
  <si>
    <t>44988185</t>
  </si>
  <si>
    <t>365570643</t>
  </si>
  <si>
    <t>61903300</t>
  </si>
  <si>
    <t>25916873</t>
  </si>
  <si>
    <t>Jon Ossoff and Rev. Warnock of Georgia are ready to change the course of American Politics, and you can help.</t>
  </si>
  <si>
    <t>Social Media Analytics, Listening &amp; Engagement at the Grady College, the University of Georgia. Research, class projects &amp; #SEESuiteUGA work, are posted here!</t>
  </si>
  <si>
    <t>Specialized just for kids, Children’s Healthcare of Atlanta is dedicated to better. Follow us for updates on kids’ health and hospital news.</t>
  </si>
  <si>
    <t>Fighting for free and fair elections — in Georgia and around the nation. A joint account of Fair Fight and Fair Fight Action.⠀⠀⠀⠀⠀⠀⠀⠀⠀⠀⠀ ⠀⠀⠀⠀</t>
  </si>
  <si>
    <t>Nationwide hunger-relief charity helping more than 40 million Americans yearly including 12 million children and 7 million seniors.</t>
  </si>
  <si>
    <t>Official Girl Scouts of the USA Twitter feed. We’re the Go-getters, Innovators, Risk-Takers, and Leaders. Community guidelines: https://bit.ly/3enA8tB</t>
  </si>
  <si>
    <t>Greenpeace exists because this fragile Earth deserves a voice. It needs solutions. It needs change. It needs action.</t>
  </si>
  <si>
    <t>Help build a world where everyone has a decent place to call home.</t>
  </si>
  <si>
    <t>HRC is the nation’s largest LGBTQ civil rights organization. We envision a world where LGBTQ people are ensured equality at home, at work &amp; in every community.</t>
  </si>
  <si>
    <t>Founded 1909, the NAACP is the nation's first and largest grassroots–based civil rights organization. Over 2,000 volunteer-run branches nationwide.</t>
  </si>
  <si>
    <t>Official Tweets of AdPR@UGA</t>
  </si>
  <si>
    <t>Bring hope for today—and tomorrow. Help us make every wish come true. Donate at http://wish.org.</t>
  </si>
  <si>
    <t>UGA’s Grady College of Journalism and Mass Communication is one of the top programs in the country. Founded in 1915, Grady is home to more than 1,500 students.</t>
  </si>
  <si>
    <t>Georgia USA</t>
  </si>
  <si>
    <t>Athens, GA</t>
  </si>
  <si>
    <t>Atlanta, GA</t>
  </si>
  <si>
    <t>Georgia, USA</t>
  </si>
  <si>
    <t>U.S.</t>
  </si>
  <si>
    <t>Worldwide</t>
  </si>
  <si>
    <t>Global</t>
  </si>
  <si>
    <t>More than 70 countries</t>
  </si>
  <si>
    <t>Washington, DC</t>
  </si>
  <si>
    <t>Baltimore, MD</t>
  </si>
  <si>
    <t>Athens, Georgia</t>
  </si>
  <si>
    <t>Phoenix, AZ</t>
  </si>
  <si>
    <t>Open Twitter Page for This Person</t>
  </si>
  <si>
    <t xml:space="preserve">ugagrad
</t>
  </si>
  <si>
    <t>seesuiteuga
The team @MakeAWish finalized its
analysis report for the organization's
social media activities. You can
find the report here https://t.co/ltAjYuPNsh.
@UGAGrady @AdPR_UGA #AdPR5570 #AdPR7750
https://t.co/NWaWTJMUnV</t>
  </si>
  <si>
    <t xml:space="preserve">childrensatl
</t>
  </si>
  <si>
    <t xml:space="preserve">fairfightaction
</t>
  </si>
  <si>
    <t xml:space="preserve">feedingamerica
</t>
  </si>
  <si>
    <t xml:space="preserve">girlscouts
</t>
  </si>
  <si>
    <t xml:space="preserve">greenpeace
</t>
  </si>
  <si>
    <t xml:space="preserve">habitat_org
</t>
  </si>
  <si>
    <t xml:space="preserve">hrc
</t>
  </si>
  <si>
    <t xml:space="preserve">naacp
</t>
  </si>
  <si>
    <t xml:space="preserve">adpr_uga
</t>
  </si>
  <si>
    <t xml:space="preserve">makeawish
</t>
  </si>
  <si>
    <t>ugagrady
RT @SeeSuiteUGA: Welcome - Izy
Dobbins, Isabelle Sumichrast, Pedro
Arreaza &amp;amp; Emma Downey - our
new and returning #SEESuiteinterns!
@UGAGrad…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</si>
  <si>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</si>
  <si>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</si>
  <si>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</si>
  <si>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</si>
  <si>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</si>
  <si>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</si>
  <si>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</si>
  <si>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</si>
  <si>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</si>
  <si>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</si>
  <si>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</si>
  <si>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</si>
  <si>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</si>
  <si>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</si>
  <si>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</si>
  <si>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</si>
  <si>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</si>
  <si>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</si>
  <si>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</si>
  <si>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</si>
  <si>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</si>
  <si>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</si>
  <si>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</si>
  <si>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</si>
  <si>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</si>
  <si>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</si>
  <si>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</si>
  <si>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</si>
  <si>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</si>
  <si>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</si>
  <si>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</si>
  <si>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</si>
  <si>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</si>
  <si>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</si>
  <si>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</si>
  <si>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</si>
  <si>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</si>
  <si>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</si>
  <si>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</si>
  <si>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</si>
  <si>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</si>
  <si>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</si>
  <si>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</si>
  <si>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</si>
  <si>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</si>
  <si>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Top URLs in Tweet</t>
  </si>
  <si>
    <t>https://seesuite.uga.edu/wp-content/uploads/2021/01/ADPR-5750_MAW.pdf https://seesuite.uga.edu/wp-content/uploads/2020/12/5750_FinalRerport_ARC.pdf https://seesuite.uga.edu/wp-content/uploads/2021/01/ADPR-5750_CHOA-Final-Assignment.pdf https://seesuite.uga.edu/wp-content/uploads/2020/12/ADPR5750_FFA_Final-Report.pdf https://seesuite.uga.edu/wp-content/uploads/2020/12/7750-Final_Feeding_America.pdf https://seesuite.uga.edu/wp-content/uploads/2021/01/7750_FinalReport_GirlScoutsofAmerica.pdf https://seesuite.uga.edu/wp-content/uploads/2020/12/5750_FinalRerport_Greepeace.pdf https://seesuite.uga.edu/wp-content/uploads/2021/01/ADPR-5750_Habitat-Final-Report.pdf https://seesuite.uga.edu/wp-content/uploads/2020/12/5750_FinalRerport_HRC.pdf https://seesuite.uga.edu/wp-content/uploads/2020/12/ADPR5750_NAACP_Final-Report-1.pdf</t>
  </si>
  <si>
    <t>Count of Tweet Date (UTC)</t>
  </si>
  <si>
    <t>Row Labels</t>
  </si>
  <si>
    <t>Grand Total</t>
  </si>
  <si>
    <t>128, 128, 128</t>
  </si>
  <si>
    <t>Autofill Workbook Results</t>
  </si>
  <si>
    <t>Edge Weight▓11▓11▓0▓True▓Gray▓Red▓▓Edge Weight▓11▓11▓0▓3▓10▓False▓Edge Weight▓11▓11▓0▓35▓12▓False▓▓0▓0▓0▓True▓Black▓Black▓▓▓0▓0▓0▓0▓0▓False▓▓0▓0▓0▓0▓0▓False▓▓0▓0▓0▓0▓0▓False▓▓0▓0▓0▓0▓0▓False</t>
  </si>
  <si>
    <t>GraphSource░GraphServerTwitterSearch▓GraphTerm░SEESuiteUGA▓ImportDescription░The graph represents a network of 13 Twitter users whose tweets in the requested range contained "SEESuiteUGA", or who were replied to or mentioned in those tweets.  The network was obtained from the NodeXL Graph Server on Saturday, 16 January 2021 at 08:56 UTC.
The requested start date was Saturday, 16 January 2021 at 01:01 UTC and the maximum number of days (going backward) was 14.
The maximum number of tweets collected was 7,500.
The tweets in the network were tweeted over the 3-day, 23-hour, 59-minute period from Monday, 11 January 2021 at 23:55 UTC to Friday, 15 January 2021 at 23:55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</si>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</sst>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30830"/>
        <c:axId val="12159983"/>
      </c:barChart>
      <c:catAx>
        <c:axId val="23530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59983"/>
        <c:crosses val="autoZero"/>
        <c:auto val="1"/>
        <c:lblOffset val="100"/>
        <c:noMultiLvlLbl val="0"/>
      </c:catAx>
      <c:valAx>
        <c:axId val="1215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3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1/11/2021 23:55</c:v>
                </c:pt>
                <c:pt idx="1">
                  <c:v>1/12/2021 18:02</c:v>
                </c:pt>
                <c:pt idx="2">
                  <c:v>1/12/2021 23:55</c:v>
                </c:pt>
                <c:pt idx="3">
                  <c:v>1/13/2021 18:02</c:v>
                </c:pt>
                <c:pt idx="4">
                  <c:v>1/13/2021 23:55</c:v>
                </c:pt>
                <c:pt idx="5">
                  <c:v>1/14/2021 18:02</c:v>
                </c:pt>
                <c:pt idx="6">
                  <c:v>1/14/2021 18:26</c:v>
                </c:pt>
                <c:pt idx="7">
                  <c:v>1/14/2021 18:52</c:v>
                </c:pt>
                <c:pt idx="8">
                  <c:v>1/14/2021 23:55</c:v>
                </c:pt>
                <c:pt idx="9">
                  <c:v>1/15/2021 18:02</c:v>
                </c:pt>
                <c:pt idx="10">
                  <c:v>1/15/2021 21:42</c:v>
                </c:pt>
                <c:pt idx="11">
                  <c:v>1/15/2021 23:55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3153616"/>
        <c:axId val="54390353"/>
      </c:barChart>
      <c:catAx>
        <c:axId val="53153616"/>
        <c:scaling>
          <c:orientation val="minMax"/>
        </c:scaling>
        <c:axPos val="b"/>
        <c:delete val="0"/>
        <c:numFmt formatCode="General" sourceLinked="1"/>
        <c:majorTickMark val="out"/>
        <c:minorTickMark val="none"/>
        <c:tickLblPos val="nextTo"/>
        <c:crossAx val="54390353"/>
        <c:crosses val="autoZero"/>
        <c:auto val="1"/>
        <c:lblOffset val="100"/>
        <c:noMultiLvlLbl val="0"/>
      </c:catAx>
      <c:valAx>
        <c:axId val="54390353"/>
        <c:scaling>
          <c:orientation val="minMax"/>
        </c:scaling>
        <c:axPos val="l"/>
        <c:majorGridlines/>
        <c:delete val="0"/>
        <c:numFmt formatCode="General" sourceLinked="1"/>
        <c:majorTickMark val="out"/>
        <c:minorTickMark val="none"/>
        <c:tickLblPos val="nextTo"/>
        <c:crossAx val="531536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68256"/>
        <c:axId val="3763393"/>
      </c:barChart>
      <c:catAx>
        <c:axId val="589682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3393"/>
        <c:crosses val="autoZero"/>
        <c:auto val="1"/>
        <c:lblOffset val="100"/>
        <c:noMultiLvlLbl val="0"/>
      </c:catAx>
      <c:valAx>
        <c:axId val="3763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8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188530"/>
        <c:axId val="43318867"/>
      </c:barChart>
      <c:catAx>
        <c:axId val="50188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318867"/>
        <c:crosses val="autoZero"/>
        <c:auto val="1"/>
        <c:lblOffset val="100"/>
        <c:noMultiLvlLbl val="0"/>
      </c:catAx>
      <c:valAx>
        <c:axId val="43318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8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49700"/>
        <c:axId val="56969381"/>
      </c:barChart>
      <c:catAx>
        <c:axId val="42249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69381"/>
        <c:crosses val="autoZero"/>
        <c:auto val="1"/>
        <c:lblOffset val="100"/>
        <c:noMultiLvlLbl val="0"/>
      </c:catAx>
      <c:valAx>
        <c:axId val="56969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9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36246"/>
        <c:axId val="15618999"/>
      </c:barChart>
      <c:catAx>
        <c:axId val="400362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18999"/>
        <c:crosses val="autoZero"/>
        <c:auto val="1"/>
        <c:lblOffset val="100"/>
        <c:noMultiLvlLbl val="0"/>
      </c:catAx>
      <c:valAx>
        <c:axId val="1561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6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133448"/>
        <c:axId val="54470537"/>
      </c:barChart>
      <c:catAx>
        <c:axId val="271334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70537"/>
        <c:crosses val="autoZero"/>
        <c:auto val="1"/>
        <c:lblOffset val="100"/>
        <c:noMultiLvlLbl val="0"/>
      </c:catAx>
      <c:valAx>
        <c:axId val="54470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3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810618"/>
        <c:axId val="55692315"/>
      </c:barChart>
      <c:catAx>
        <c:axId val="51810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92315"/>
        <c:crosses val="autoZero"/>
        <c:auto val="1"/>
        <c:lblOffset val="100"/>
        <c:noMultiLvlLbl val="0"/>
      </c:catAx>
      <c:valAx>
        <c:axId val="5569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10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568876"/>
        <c:axId val="36391277"/>
      </c:barChart>
      <c:catAx>
        <c:axId val="44568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91277"/>
        <c:crosses val="autoZero"/>
        <c:auto val="1"/>
        <c:lblOffset val="100"/>
        <c:noMultiLvlLbl val="0"/>
      </c:catAx>
      <c:valAx>
        <c:axId val="36391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6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42110"/>
        <c:axId val="66824063"/>
      </c:barChart>
      <c:catAx>
        <c:axId val="38342110"/>
        <c:scaling>
          <c:orientation val="minMax"/>
        </c:scaling>
        <c:axPos val="b"/>
        <c:delete val="1"/>
        <c:majorTickMark val="out"/>
        <c:minorTickMark val="none"/>
        <c:tickLblPos val="none"/>
        <c:crossAx val="66824063"/>
        <c:crosses val="autoZero"/>
        <c:auto val="1"/>
        <c:lblOffset val="100"/>
        <c:noMultiLvlLbl val="0"/>
      </c:catAx>
      <c:valAx>
        <c:axId val="66824063"/>
        <c:scaling>
          <c:orientation val="minMax"/>
        </c:scaling>
        <c:axPos val="l"/>
        <c:delete val="1"/>
        <c:majorTickMark val="out"/>
        <c:minorTickMark val="none"/>
        <c:tickLblPos val="none"/>
        <c:crossAx val="38342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E1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eesuiteinterns"/>
        <s v="adpr5750 adpr7750"/>
        <s v="adpr5570 adpr7750"/>
        <s v="adpr5750 adpr7750 redcro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1-14T18:52:28.000"/>
        <d v="2021-01-12T18:02:02.000"/>
        <d v="2021-01-12T23:55:02.000"/>
        <d v="2021-01-13T18:02:04.000"/>
        <d v="2021-01-13T23:55:02.000"/>
        <d v="2021-01-14T18:02:02.000"/>
        <d v="2021-01-14T23:55:02.000"/>
        <d v="2021-01-15T18:02:02.000"/>
        <d v="2021-01-15T21:42:00.000"/>
        <d v="2021-01-11T23:55:03.000"/>
        <d v="2021-01-14T18:26:08.000"/>
        <d v="2021-01-15T23:55: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ugagrady"/>
    <s v="ugagrad"/>
    <m/>
    <m/>
    <m/>
    <m/>
    <m/>
    <m/>
    <m/>
    <m/>
    <s v="No"/>
    <n v="3"/>
    <m/>
    <m/>
    <x v="0"/>
    <d v="2021-01-14T18:52:28.000"/>
    <s v="RT @SeeSuiteUGA: Welcome - Izy Dobbins, Isabelle Sumichrast, Pedro Arreaza &amp;amp; Emma Downey - our new and returning #SEESuiteinterns! @UGAGrad…"/>
    <m/>
    <m/>
    <x v="0"/>
    <m/>
    <s v="http://pbs.twimg.com/profile_images/1151108027329732608/eFhqzf1Y_normal.png"/>
    <x v="0"/>
    <d v="2021-01-14T00:00:00.000"/>
    <s v="18:52:28"/>
    <s v="https://twitter.com/#!/ugagrady/status/1349791508547981314"/>
    <m/>
    <m/>
    <s v="1349791508547981314"/>
    <m/>
    <b v="0"/>
    <n v="0"/>
    <s v=""/>
    <b v="0"/>
    <s v="en"/>
    <m/>
    <s v=""/>
    <b v="0"/>
    <n v="1"/>
    <s v="1349784884173221889"/>
    <s v="TweetDeck"/>
    <b v="0"/>
    <s v="1349784884173221889"/>
    <s v="Tweet"/>
    <n v="0"/>
    <n v="0"/>
    <m/>
    <m/>
    <m/>
    <m/>
    <m/>
    <m/>
    <m/>
    <m/>
    <n v="1"/>
    <s v="2"/>
    <s v="2"/>
  </r>
  <r>
    <s v="seesuiteuga"/>
    <s v="childrensatl"/>
    <m/>
    <m/>
    <m/>
    <m/>
    <m/>
    <m/>
    <m/>
    <m/>
    <s v="No"/>
    <n v="4"/>
    <m/>
    <m/>
    <x v="1"/>
    <d v="2021-01-12T18:02:02.000"/>
    <s v="#AdPR5750 #AdPR7750 in Fall 2020 completed their final social media analysis report. The team Children's Healthcare of Atlanta @childrensatl offers brilliant suggestions to the organization. You can find the details here https://t.co/37lW6lYP3a @UGAGrady @AdPR_UGA https://t.co/WbSwq4gZ3Z"/>
    <s v="https://seesuite.uga.edu/wp-content/uploads/2021/01/ADPR-5750_CHOA-Final-Assignment.pdf"/>
    <s v="uga.edu"/>
    <x v="1"/>
    <s v="https://pbs.twimg.com/media/ErjNgC_W4AM3GEk.png"/>
    <s v="https://pbs.twimg.com/media/ErjNgC_W4AM3GEk.png"/>
    <x v="1"/>
    <d v="2021-01-12T00:00:00.000"/>
    <s v="18:02:02"/>
    <s v="https://twitter.com/#!/seesuiteuga/status/1349054040278183937"/>
    <m/>
    <m/>
    <s v="1349054040278183937"/>
    <m/>
    <b v="0"/>
    <n v="0"/>
    <s v=""/>
    <b v="0"/>
    <s v="en"/>
    <m/>
    <s v=""/>
    <b v="0"/>
    <n v="0"/>
    <s v=""/>
    <s v="Buffer"/>
    <b v="0"/>
    <s v="1349054040278183937"/>
    <s v="Tweet"/>
    <n v="0"/>
    <n v="0"/>
    <m/>
    <m/>
    <m/>
    <m/>
    <m/>
    <m/>
    <m/>
    <m/>
    <n v="1"/>
    <s v="1"/>
    <s v="1"/>
  </r>
  <r>
    <s v="seesuiteuga"/>
    <s v="fairfightaction"/>
    <m/>
    <m/>
    <m/>
    <m/>
    <m/>
    <m/>
    <m/>
    <m/>
    <s v="No"/>
    <n v="5"/>
    <m/>
    <m/>
    <x v="1"/>
    <d v="2021-01-12T23:55:02.000"/>
    <s v="#AdPR5750 #AdPR7750 in fall 2020 completed their final social media analysis report. The team @fairfightaction provides excellent analysis. You can find here https://t.co/kr8qjNeheK. @UGAGrady @AdPR_UGA https://t.co/piNsw7iEMX"/>
    <s v="https://seesuite.uga.edu/wp-content/uploads/2020/12/ADPR5750_FFA_Final-Report.pdf"/>
    <s v="uga.edu"/>
    <x v="1"/>
    <s v="https://pbs.twimg.com/media/ErkeTFGW4AA6HUn.png"/>
    <s v="https://pbs.twimg.com/media/ErkeTFGW4AA6HUn.png"/>
    <x v="2"/>
    <d v="2021-01-12T00:00:00.000"/>
    <s v="23:55:02"/>
    <s v="https://twitter.com/#!/seesuiteuga/status/1349142877750886402"/>
    <m/>
    <m/>
    <s v="1349142877750886402"/>
    <m/>
    <b v="0"/>
    <n v="0"/>
    <s v=""/>
    <b v="0"/>
    <s v="en"/>
    <m/>
    <s v=""/>
    <b v="0"/>
    <n v="0"/>
    <s v=""/>
    <s v="Buffer"/>
    <b v="0"/>
    <s v="1349142877750886402"/>
    <s v="Tweet"/>
    <n v="0"/>
    <n v="0"/>
    <m/>
    <m/>
    <m/>
    <m/>
    <m/>
    <m/>
    <m/>
    <m/>
    <n v="1"/>
    <s v="1"/>
    <s v="1"/>
  </r>
  <r>
    <s v="seesuiteuga"/>
    <s v="feedingamerica"/>
    <m/>
    <m/>
    <m/>
    <m/>
    <m/>
    <m/>
    <m/>
    <m/>
    <s v="No"/>
    <n v="6"/>
    <m/>
    <m/>
    <x v="1"/>
    <d v="2021-01-13T18:02:04.000"/>
    <s v="#AdPR5750 #AdPR7750 in Fall 2020 completed their final social media analysis report. The team @FeedingAmerica offers brilliant suggestions to the organization. You can find the report here https://t.co/D7MqsDQlHC. @UGAGrady @AdPR_UGA https://t.co/bRHeSH0MNY"/>
    <s v="https://seesuite.uga.edu/wp-content/uploads/2020/12/7750-Final_Feeding_America.pdf"/>
    <s v="uga.edu"/>
    <x v="1"/>
    <s v="https://pbs.twimg.com/media/EroXGVQWMAQrOWe.png"/>
    <s v="https://pbs.twimg.com/media/EroXGVQWMAQrOWe.png"/>
    <x v="3"/>
    <d v="2021-01-13T00:00:00.000"/>
    <s v="18:02:04"/>
    <s v="https://twitter.com/#!/seesuiteuga/status/1349416437425823747"/>
    <m/>
    <m/>
    <s v="1349416437425823747"/>
    <m/>
    <b v="0"/>
    <n v="1"/>
    <s v=""/>
    <b v="0"/>
    <s v="en"/>
    <m/>
    <s v=""/>
    <b v="0"/>
    <n v="0"/>
    <s v=""/>
    <s v="Buffer"/>
    <b v="0"/>
    <s v="1349416437425823747"/>
    <s v="Tweet"/>
    <n v="0"/>
    <n v="0"/>
    <m/>
    <m/>
    <m/>
    <m/>
    <m/>
    <m/>
    <m/>
    <m/>
    <n v="1"/>
    <s v="1"/>
    <s v="1"/>
  </r>
  <r>
    <s v="seesuiteuga"/>
    <s v="girlscouts"/>
    <m/>
    <m/>
    <m/>
    <m/>
    <m/>
    <m/>
    <m/>
    <m/>
    <s v="No"/>
    <n v="7"/>
    <m/>
    <m/>
    <x v="1"/>
    <d v="2021-01-13T23:55:02.000"/>
    <s v="The team @girlscouts finalized its analysis report for the organization's social media activities. You can find the report here https://t.co/l6BzbHh7NZ. @UGAGrady @AdPR_UGA #AdPR5570 #AdPR7750 https://t.co/DUdmW1AaiF"/>
    <s v="https://seesuite.uga.edu/wp-content/uploads/2021/01/7750_FinalReport_GirlScoutsofAmerica.pdf"/>
    <s v="uga.edu"/>
    <x v="2"/>
    <s v="https://pbs.twimg.com/media/Erpn42SW8AE46if.png"/>
    <s v="https://pbs.twimg.com/media/Erpn42SW8AE46if.png"/>
    <x v="4"/>
    <d v="2021-01-13T00:00:00.000"/>
    <s v="23:55:02"/>
    <s v="https://twitter.com/#!/seesuiteuga/status/1349505265939447808"/>
    <m/>
    <m/>
    <s v="1349505265939447808"/>
    <m/>
    <b v="0"/>
    <n v="3"/>
    <s v=""/>
    <b v="0"/>
    <s v="en"/>
    <m/>
    <s v=""/>
    <b v="0"/>
    <n v="0"/>
    <s v=""/>
    <s v="Buffer"/>
    <b v="0"/>
    <s v="1349505265939447808"/>
    <s v="Tweet"/>
    <n v="0"/>
    <n v="0"/>
    <m/>
    <m/>
    <m/>
    <m/>
    <m/>
    <m/>
    <m/>
    <m/>
    <n v="1"/>
    <s v="1"/>
    <s v="1"/>
  </r>
  <r>
    <s v="seesuiteuga"/>
    <s v="greenpeace"/>
    <m/>
    <m/>
    <m/>
    <m/>
    <m/>
    <m/>
    <m/>
    <m/>
    <s v="No"/>
    <n v="8"/>
    <m/>
    <m/>
    <x v="1"/>
    <d v="2021-01-14T18:02:02.000"/>
    <s v="#AdPR5750 #AdPR7750 in Fall 2020 completed their final social media analysis report. The team @Greenpeace offers brilliant suggestions to the organization here https://t.co/ocD0pSaSy1. @UGAGrady @AdPR_UGA https://t.co/0zEp3DJtBU"/>
    <s v="https://seesuite.uga.edu/wp-content/uploads/2020/12/5750_FinalRerport_Greepeace.pdf"/>
    <s v="uga.edu"/>
    <x v="1"/>
    <s v="https://pbs.twimg.com/media/ErtgrmAW4AUrUwg.jpg"/>
    <s v="https://pbs.twimg.com/media/ErtgrmAW4AUrUwg.jpg"/>
    <x v="5"/>
    <d v="2021-01-14T00:00:00.000"/>
    <s v="18:02:02"/>
    <s v="https://twitter.com/#!/seesuiteuga/status/1349778816839901186"/>
    <m/>
    <m/>
    <s v="1349778816839901186"/>
    <m/>
    <b v="0"/>
    <n v="0"/>
    <s v=""/>
    <b v="0"/>
    <s v="en"/>
    <m/>
    <s v=""/>
    <b v="0"/>
    <n v="0"/>
    <s v=""/>
    <s v="Buffer"/>
    <b v="0"/>
    <s v="1349778816839901186"/>
    <s v="Tweet"/>
    <n v="0"/>
    <n v="0"/>
    <m/>
    <m/>
    <m/>
    <m/>
    <m/>
    <m/>
    <m/>
    <m/>
    <n v="1"/>
    <s v="1"/>
    <s v="1"/>
  </r>
  <r>
    <s v="seesuiteuga"/>
    <s v="habitat_org"/>
    <m/>
    <m/>
    <m/>
    <m/>
    <m/>
    <m/>
    <m/>
    <m/>
    <s v="No"/>
    <n v="9"/>
    <m/>
    <m/>
    <x v="1"/>
    <d v="2021-01-14T23:55:02.000"/>
    <s v="The team @Habitat_org finalized its analysis report for the organization's social media activities. You can find the report here https://t.co/JX8RV2tuTH. @UGAGrady @AdPR_UGA #AdPR5570 #AdPR7750 https://t.co/nnJbVDreTB"/>
    <s v="https://seesuite.uga.edu/wp-content/uploads/2021/01/ADPR-5750_Habitat-Final-Report.pdf"/>
    <s v="uga.edu"/>
    <x v="2"/>
    <s v="https://pbs.twimg.com/media/EruxeqBXYAAzMFa.jpg"/>
    <s v="https://pbs.twimg.com/media/EruxeqBXYAAzMFa.jpg"/>
    <x v="6"/>
    <d v="2021-01-14T00:00:00.000"/>
    <s v="23:55:02"/>
    <s v="https://twitter.com/#!/seesuiteuga/status/1349867654832676868"/>
    <m/>
    <m/>
    <s v="1349867654832676868"/>
    <m/>
    <b v="0"/>
    <n v="0"/>
    <s v=""/>
    <b v="0"/>
    <s v="en"/>
    <m/>
    <s v=""/>
    <b v="0"/>
    <n v="0"/>
    <s v=""/>
    <s v="Buffer"/>
    <b v="0"/>
    <s v="1349867654832676868"/>
    <s v="Tweet"/>
    <n v="0"/>
    <n v="0"/>
    <m/>
    <m/>
    <m/>
    <m/>
    <m/>
    <m/>
    <m/>
    <m/>
    <n v="1"/>
    <s v="1"/>
    <s v="1"/>
  </r>
  <r>
    <s v="seesuiteuga"/>
    <s v="hrc"/>
    <m/>
    <m/>
    <m/>
    <m/>
    <m/>
    <m/>
    <m/>
    <m/>
    <s v="No"/>
    <n v="10"/>
    <m/>
    <m/>
    <x v="1"/>
    <d v="2021-01-15T18:02:02.000"/>
    <s v="#AdPR5750 #AdPR7750 in Fall 2020 completed their final social media analysis report. The team @HRC offers brilliant suggestions to the organization, Human Rights Campaign. You can find the details here https://t.co/RdGLz1HEMo. @UGAGrady @AdPR_UGA https://t.co/pScOnaV0rx"/>
    <s v="https://seesuite.uga.edu/wp-content/uploads/2020/12/5750_FinalRerport_HRC.pdf"/>
    <s v="uga.edu"/>
    <x v="1"/>
    <s v="https://pbs.twimg.com/media/EryqRafXAAUGglW.png"/>
    <s v="https://pbs.twimg.com/media/EryqRafXAAUGglW.png"/>
    <x v="7"/>
    <d v="2021-01-15T00:00:00.000"/>
    <s v="18:02:02"/>
    <s v="https://twitter.com/#!/seesuiteuga/status/1350141205770870785"/>
    <m/>
    <m/>
    <s v="1350141205770870785"/>
    <m/>
    <b v="0"/>
    <n v="1"/>
    <s v=""/>
    <b v="0"/>
    <s v="en"/>
    <m/>
    <s v=""/>
    <b v="0"/>
    <n v="0"/>
    <s v=""/>
    <s v="Buffer"/>
    <b v="0"/>
    <s v="1350141205770870785"/>
    <s v="Tweet"/>
    <n v="0"/>
    <n v="0"/>
    <m/>
    <m/>
    <m/>
    <m/>
    <m/>
    <m/>
    <m/>
    <m/>
    <n v="1"/>
    <s v="1"/>
    <s v="1"/>
  </r>
  <r>
    <s v="seesuiteuga"/>
    <s v="naacp"/>
    <m/>
    <m/>
    <m/>
    <m/>
    <m/>
    <m/>
    <m/>
    <m/>
    <s v="No"/>
    <n v="11"/>
    <m/>
    <m/>
    <x v="1"/>
    <d v="2021-01-15T21:42:00.000"/>
    <s v="Finally, #AdPR5750 #AdPR7750 in Fall 2020 completed their final social media analysis report. The team @NAACP provides excellent analyses on the organization Here is the details https://t.co/qFWjfiHS6J. @UGAGrady @AdPR_UGA https://t.co/ci8RGH9sQP"/>
    <s v="https://seesuite.uga.edu/wp-content/uploads/2020/12/ADPR5750_NAACP_Final-Report-1.pdf"/>
    <s v="uga.edu"/>
    <x v="1"/>
    <s v="https://pbs.twimg.com/media/ErzcnjPXIAYbX0E.png"/>
    <s v="https://pbs.twimg.com/media/ErzcnjPXIAYbX0E.png"/>
    <x v="8"/>
    <d v="2021-01-15T00:00:00.000"/>
    <s v="21:42:00"/>
    <s v="https://twitter.com/#!/seesuiteuga/status/1350196562287276034"/>
    <m/>
    <m/>
    <s v="1350196562287276034"/>
    <m/>
    <b v="0"/>
    <n v="0"/>
    <s v=""/>
    <b v="0"/>
    <s v="en"/>
    <m/>
    <s v=""/>
    <b v="0"/>
    <n v="0"/>
    <s v=""/>
    <s v="Buffer"/>
    <b v="0"/>
    <s v="1350196562287276034"/>
    <s v="Tweet"/>
    <n v="0"/>
    <n v="0"/>
    <m/>
    <m/>
    <m/>
    <m/>
    <m/>
    <m/>
    <m/>
    <m/>
    <n v="1"/>
    <s v="1"/>
    <s v="1"/>
  </r>
  <r>
    <s v="seesuiteuga"/>
    <s v="adpr_uga"/>
    <m/>
    <m/>
    <m/>
    <m/>
    <m/>
    <m/>
    <m/>
    <m/>
    <s v="No"/>
    <n v="12"/>
    <m/>
    <m/>
    <x v="1"/>
    <d v="2021-01-11T23:55:03.000"/>
    <s v="Finally,  #AdPR5750 #AdPR7750 in fall 2020 completed their final social media analysis report. The team #RedCross provides excellent analysis. You can find here https://t.co/OOXQQ1r3Me. @UGAGrady @AdPR_UGA https://t.co/XItjiSLEhn"/>
    <s v="https://seesuite.uga.edu/wp-content/uploads/2020/12/5750_FinalRerport_ARC.pdf"/>
    <s v="uga.edu"/>
    <x v="3"/>
    <s v="https://pbs.twimg.com/media/ErfUtdnXcAISNul.jpg"/>
    <s v="https://pbs.twimg.com/media/ErfUtdnXcAISNul.jpg"/>
    <x v="9"/>
    <d v="2021-01-11T00:00:00.000"/>
    <s v="23:55:03"/>
    <s v="https://twitter.com/#!/seesuiteuga/status/1348780492271792131"/>
    <m/>
    <m/>
    <s v="1348780492271792131"/>
    <m/>
    <b v="0"/>
    <n v="0"/>
    <s v=""/>
    <b v="0"/>
    <s v="en"/>
    <m/>
    <s v=""/>
    <b v="0"/>
    <n v="0"/>
    <s v=""/>
    <s v="Buffer"/>
    <b v="0"/>
    <s v="1348780492271792131"/>
    <s v="Tweet"/>
    <n v="0"/>
    <n v="0"/>
    <m/>
    <m/>
    <m/>
    <m/>
    <m/>
    <m/>
    <m/>
    <m/>
    <n v="11"/>
    <s v="1"/>
    <s v="1"/>
  </r>
  <r>
    <s v="seesuiteuga"/>
    <s v="adpr_uga"/>
    <m/>
    <m/>
    <m/>
    <m/>
    <m/>
    <m/>
    <m/>
    <m/>
    <s v="No"/>
    <n v="18"/>
    <m/>
    <m/>
    <x v="1"/>
    <d v="2021-01-14T18:26:08.000"/>
    <s v="Welcome - Izy Dobbins, Isabelle Sumichrast, Pedro Arreaza &amp;amp; Emma Downey - our new and returning #SEESuiteinterns! @UGAGrady @AdPR_UGA https://t.co/W4SHYtKRDg"/>
    <m/>
    <m/>
    <x v="0"/>
    <s v="https://pbs.twimg.com/media/ErtlVeFXUAEUvng.jpg"/>
    <s v="https://pbs.twimg.com/media/ErtlVeFXUAEUvng.jpg"/>
    <x v="10"/>
    <d v="2021-01-14T00:00:00.000"/>
    <s v="18:26:08"/>
    <s v="https://twitter.com/#!/seesuiteuga/status/1349784884173221889"/>
    <m/>
    <m/>
    <s v="1349784884173221889"/>
    <m/>
    <b v="0"/>
    <n v="5"/>
    <s v=""/>
    <b v="0"/>
    <s v="en"/>
    <m/>
    <s v=""/>
    <b v="0"/>
    <n v="1"/>
    <s v=""/>
    <s v="Twitter Web App"/>
    <b v="0"/>
    <s v="1349784884173221889"/>
    <s v="Tweet"/>
    <n v="0"/>
    <n v="0"/>
    <m/>
    <m/>
    <m/>
    <m/>
    <m/>
    <m/>
    <m/>
    <m/>
    <n v="11"/>
    <s v="1"/>
    <s v="1"/>
  </r>
  <r>
    <s v="seesuiteuga"/>
    <s v="adpr_uga"/>
    <m/>
    <m/>
    <m/>
    <m/>
    <m/>
    <m/>
    <m/>
    <m/>
    <s v="No"/>
    <n v="22"/>
    <m/>
    <m/>
    <x v="1"/>
    <d v="2021-01-15T23:55:02.000"/>
    <s v="The team @MakeAWish finalized its analysis report for the organization's social media activities. You can find the report here https://t.co/ltAjYuPNsh. @UGAGrady @AdPR_UGA #AdPR5570 #AdPR7750 https://t.co/NWaWTJMUnV"/>
    <s v="https://seesuite.uga.edu/wp-content/uploads/2021/01/ADPR-5750_MAW.pdf"/>
    <s v="uga.edu"/>
    <x v="2"/>
    <s v="https://pbs.twimg.com/media/Erz7ERCXAAIzt2H.png"/>
    <s v="https://pbs.twimg.com/media/Erz7ERCXAAIzt2H.png"/>
    <x v="11"/>
    <d v="2021-01-15T00:00:00.000"/>
    <s v="23:55:02"/>
    <s v="https://twitter.com/#!/seesuiteuga/status/1350230040550797318"/>
    <m/>
    <m/>
    <s v="1350230040550797318"/>
    <m/>
    <b v="0"/>
    <n v="0"/>
    <s v=""/>
    <b v="0"/>
    <s v="en"/>
    <m/>
    <s v=""/>
    <b v="0"/>
    <n v="0"/>
    <s v=""/>
    <s v="Buffer"/>
    <b v="0"/>
    <s v="1350230040550797318"/>
    <s v="Tweet"/>
    <n v="0"/>
    <n v="0"/>
    <m/>
    <m/>
    <m/>
    <m/>
    <m/>
    <m/>
    <m/>
    <m/>
    <n v="1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9"/>
        <item x="1"/>
        <item x="2"/>
        <item x="3"/>
        <item x="4"/>
        <item x="5"/>
        <item x="10"/>
        <item x="0"/>
        <item x="6"/>
        <item x="7"/>
        <item x="8"/>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6" totalsRowShown="0" headerRowDxfId="220" dataDxfId="219">
  <autoFilter ref="A2:BE3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5" totalsRowShown="0" headerRowDxfId="165" dataDxfId="164">
  <autoFilter ref="A2:BA1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109" dataDxfId="108">
  <autoFilter ref="A1:C1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4" totalsRowShown="0" headerRowDxfId="57" dataDxfId="56">
  <autoFilter ref="A2:BE1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401</v>
      </c>
      <c r="BE2" s="13" t="s">
        <v>402</v>
      </c>
    </row>
    <row r="3" spans="1:57" ht="15" customHeight="1">
      <c r="A3" s="83" t="s">
        <v>215</v>
      </c>
      <c r="B3" s="83" t="s">
        <v>226</v>
      </c>
      <c r="C3" s="54" t="s">
        <v>408</v>
      </c>
      <c r="D3" s="55">
        <v>3</v>
      </c>
      <c r="E3" s="67" t="s">
        <v>132</v>
      </c>
      <c r="F3" s="56">
        <v>35</v>
      </c>
      <c r="G3" s="54"/>
      <c r="H3" s="58"/>
      <c r="I3" s="57"/>
      <c r="J3" s="57"/>
      <c r="K3" s="36" t="s">
        <v>65</v>
      </c>
      <c r="L3" s="63">
        <v>3</v>
      </c>
      <c r="M3" s="63"/>
      <c r="N3" s="64"/>
      <c r="O3" s="84" t="s">
        <v>228</v>
      </c>
      <c r="P3" s="86">
        <v>44210.78643518518</v>
      </c>
      <c r="Q3" s="84" t="s">
        <v>241</v>
      </c>
      <c r="R3" s="84"/>
      <c r="S3" s="84"/>
      <c r="T3" s="84" t="s">
        <v>246</v>
      </c>
      <c r="U3" s="84"/>
      <c r="V3" s="89" t="str">
        <f>HYPERLINK("http://pbs.twimg.com/profile_images/1151108027329732608/eFhqzf1Y_normal.png")</f>
        <v>http://pbs.twimg.com/profile_images/1151108027329732608/eFhqzf1Y_normal.png</v>
      </c>
      <c r="W3" s="86">
        <v>44210.78643518518</v>
      </c>
      <c r="X3" s="90">
        <v>44210</v>
      </c>
      <c r="Y3" s="92" t="s">
        <v>253</v>
      </c>
      <c r="Z3" s="89" t="str">
        <f>HYPERLINK("https://twitter.com/#!/ugagrady/status/1349791508547981314")</f>
        <v>https://twitter.com/#!/ugagrady/status/1349791508547981314</v>
      </c>
      <c r="AA3" s="84"/>
      <c r="AB3" s="84"/>
      <c r="AC3" s="92" t="s">
        <v>265</v>
      </c>
      <c r="AD3" s="84"/>
      <c r="AE3" s="84" t="b">
        <v>0</v>
      </c>
      <c r="AF3" s="84">
        <v>0</v>
      </c>
      <c r="AG3" s="92" t="s">
        <v>266</v>
      </c>
      <c r="AH3" s="84" t="b">
        <v>0</v>
      </c>
      <c r="AI3" s="84" t="s">
        <v>267</v>
      </c>
      <c r="AJ3" s="84"/>
      <c r="AK3" s="92" t="s">
        <v>266</v>
      </c>
      <c r="AL3" s="84" t="b">
        <v>0</v>
      </c>
      <c r="AM3" s="84">
        <v>1</v>
      </c>
      <c r="AN3" s="92" t="s">
        <v>263</v>
      </c>
      <c r="AO3" s="84" t="s">
        <v>270</v>
      </c>
      <c r="AP3" s="84" t="b">
        <v>0</v>
      </c>
      <c r="AQ3" s="92" t="s">
        <v>263</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408</v>
      </c>
      <c r="D4" s="55">
        <v>3</v>
      </c>
      <c r="E4" s="67" t="s">
        <v>132</v>
      </c>
      <c r="F4" s="56">
        <v>35</v>
      </c>
      <c r="G4" s="54"/>
      <c r="H4" s="58"/>
      <c r="I4" s="57"/>
      <c r="J4" s="57"/>
      <c r="K4" s="36" t="s">
        <v>65</v>
      </c>
      <c r="L4" s="82">
        <v>4</v>
      </c>
      <c r="M4" s="82"/>
      <c r="N4" s="64"/>
      <c r="O4" s="85" t="s">
        <v>227</v>
      </c>
      <c r="P4" s="87">
        <v>44208.75141203704</v>
      </c>
      <c r="Q4" s="85" t="s">
        <v>230</v>
      </c>
      <c r="R4" s="88" t="str">
        <f>HYPERLINK("https://seesuite.uga.edu/wp-content/uploads/2021/01/ADPR-5750_CHOA-Final-Assignment.pdf")</f>
        <v>https://seesuite.uga.edu/wp-content/uploads/2021/01/ADPR-5750_CHOA-Final-Assignment.pdf</v>
      </c>
      <c r="S4" s="85" t="s">
        <v>242</v>
      </c>
      <c r="T4" s="85" t="s">
        <v>243</v>
      </c>
      <c r="U4" s="88" t="str">
        <f>HYPERLINK("https://pbs.twimg.com/media/ErjNgC_W4AM3GEk.png")</f>
        <v>https://pbs.twimg.com/media/ErjNgC_W4AM3GEk.png</v>
      </c>
      <c r="V4" s="88" t="str">
        <f>HYPERLINK("https://pbs.twimg.com/media/ErjNgC_W4AM3GEk.png")</f>
        <v>https://pbs.twimg.com/media/ErjNgC_W4AM3GEk.png</v>
      </c>
      <c r="W4" s="87">
        <v>44208.75141203704</v>
      </c>
      <c r="X4" s="91">
        <v>44208</v>
      </c>
      <c r="Y4" s="93" t="s">
        <v>247</v>
      </c>
      <c r="Z4" s="88" t="str">
        <f>HYPERLINK("https://twitter.com/#!/seesuiteuga/status/1349054040278183937")</f>
        <v>https://twitter.com/#!/seesuiteuga/status/1349054040278183937</v>
      </c>
      <c r="AA4" s="85"/>
      <c r="AB4" s="85"/>
      <c r="AC4" s="93" t="s">
        <v>254</v>
      </c>
      <c r="AD4" s="85"/>
      <c r="AE4" s="85" t="b">
        <v>0</v>
      </c>
      <c r="AF4" s="85">
        <v>0</v>
      </c>
      <c r="AG4" s="93" t="s">
        <v>266</v>
      </c>
      <c r="AH4" s="85" t="b">
        <v>0</v>
      </c>
      <c r="AI4" s="85" t="s">
        <v>267</v>
      </c>
      <c r="AJ4" s="85"/>
      <c r="AK4" s="93" t="s">
        <v>266</v>
      </c>
      <c r="AL4" s="85" t="b">
        <v>0</v>
      </c>
      <c r="AM4" s="85">
        <v>0</v>
      </c>
      <c r="AN4" s="93" t="s">
        <v>266</v>
      </c>
      <c r="AO4" s="85" t="s">
        <v>268</v>
      </c>
      <c r="AP4" s="85" t="b">
        <v>0</v>
      </c>
      <c r="AQ4" s="93" t="s">
        <v>254</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217</v>
      </c>
      <c r="C5" s="54" t="s">
        <v>408</v>
      </c>
      <c r="D5" s="55">
        <v>3</v>
      </c>
      <c r="E5" s="67" t="s">
        <v>132</v>
      </c>
      <c r="F5" s="56">
        <v>35</v>
      </c>
      <c r="G5" s="54"/>
      <c r="H5" s="58"/>
      <c r="I5" s="57"/>
      <c r="J5" s="57"/>
      <c r="K5" s="36" t="s">
        <v>65</v>
      </c>
      <c r="L5" s="82">
        <v>5</v>
      </c>
      <c r="M5" s="82"/>
      <c r="N5" s="64"/>
      <c r="O5" s="85" t="s">
        <v>227</v>
      </c>
      <c r="P5" s="87">
        <v>44208.99655092593</v>
      </c>
      <c r="Q5" s="85" t="s">
        <v>231</v>
      </c>
      <c r="R5" s="88" t="str">
        <f>HYPERLINK("https://seesuite.uga.edu/wp-content/uploads/2020/12/ADPR5750_FFA_Final-Report.pdf")</f>
        <v>https://seesuite.uga.edu/wp-content/uploads/2020/12/ADPR5750_FFA_Final-Report.pdf</v>
      </c>
      <c r="S5" s="85" t="s">
        <v>242</v>
      </c>
      <c r="T5" s="85" t="s">
        <v>243</v>
      </c>
      <c r="U5" s="88" t="str">
        <f>HYPERLINK("https://pbs.twimg.com/media/ErkeTFGW4AA6HUn.png")</f>
        <v>https://pbs.twimg.com/media/ErkeTFGW4AA6HUn.png</v>
      </c>
      <c r="V5" s="88" t="str">
        <f>HYPERLINK("https://pbs.twimg.com/media/ErkeTFGW4AA6HUn.png")</f>
        <v>https://pbs.twimg.com/media/ErkeTFGW4AA6HUn.png</v>
      </c>
      <c r="W5" s="87">
        <v>44208.99655092593</v>
      </c>
      <c r="X5" s="91">
        <v>44208</v>
      </c>
      <c r="Y5" s="93" t="s">
        <v>248</v>
      </c>
      <c r="Z5" s="88" t="str">
        <f>HYPERLINK("https://twitter.com/#!/seesuiteuga/status/1349142877750886402")</f>
        <v>https://twitter.com/#!/seesuiteuga/status/1349142877750886402</v>
      </c>
      <c r="AA5" s="85"/>
      <c r="AB5" s="85"/>
      <c r="AC5" s="93" t="s">
        <v>255</v>
      </c>
      <c r="AD5" s="85"/>
      <c r="AE5" s="85" t="b">
        <v>0</v>
      </c>
      <c r="AF5" s="85">
        <v>0</v>
      </c>
      <c r="AG5" s="93" t="s">
        <v>266</v>
      </c>
      <c r="AH5" s="85" t="b">
        <v>0</v>
      </c>
      <c r="AI5" s="85" t="s">
        <v>267</v>
      </c>
      <c r="AJ5" s="85"/>
      <c r="AK5" s="93" t="s">
        <v>266</v>
      </c>
      <c r="AL5" s="85" t="b">
        <v>0</v>
      </c>
      <c r="AM5" s="85">
        <v>0</v>
      </c>
      <c r="AN5" s="93" t="s">
        <v>266</v>
      </c>
      <c r="AO5" s="85" t="s">
        <v>268</v>
      </c>
      <c r="AP5" s="85" t="b">
        <v>0</v>
      </c>
      <c r="AQ5" s="93" t="s">
        <v>255</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214</v>
      </c>
      <c r="B6" s="83" t="s">
        <v>218</v>
      </c>
      <c r="C6" s="54" t="s">
        <v>408</v>
      </c>
      <c r="D6" s="55">
        <v>3</v>
      </c>
      <c r="E6" s="67" t="s">
        <v>132</v>
      </c>
      <c r="F6" s="56">
        <v>35</v>
      </c>
      <c r="G6" s="54"/>
      <c r="H6" s="58"/>
      <c r="I6" s="57"/>
      <c r="J6" s="57"/>
      <c r="K6" s="36" t="s">
        <v>65</v>
      </c>
      <c r="L6" s="82">
        <v>6</v>
      </c>
      <c r="M6" s="82"/>
      <c r="N6" s="64"/>
      <c r="O6" s="85" t="s">
        <v>227</v>
      </c>
      <c r="P6" s="87">
        <v>44209.751435185186</v>
      </c>
      <c r="Q6" s="85" t="s">
        <v>232</v>
      </c>
      <c r="R6" s="88" t="str">
        <f>HYPERLINK("https://seesuite.uga.edu/wp-content/uploads/2020/12/7750-Final_Feeding_America.pdf")</f>
        <v>https://seesuite.uga.edu/wp-content/uploads/2020/12/7750-Final_Feeding_America.pdf</v>
      </c>
      <c r="S6" s="85" t="s">
        <v>242</v>
      </c>
      <c r="T6" s="85" t="s">
        <v>243</v>
      </c>
      <c r="U6" s="88" t="str">
        <f>HYPERLINK("https://pbs.twimg.com/media/EroXGVQWMAQrOWe.png")</f>
        <v>https://pbs.twimg.com/media/EroXGVQWMAQrOWe.png</v>
      </c>
      <c r="V6" s="88" t="str">
        <f>HYPERLINK("https://pbs.twimg.com/media/EroXGVQWMAQrOWe.png")</f>
        <v>https://pbs.twimg.com/media/EroXGVQWMAQrOWe.png</v>
      </c>
      <c r="W6" s="87">
        <v>44209.751435185186</v>
      </c>
      <c r="X6" s="91">
        <v>44209</v>
      </c>
      <c r="Y6" s="93" t="s">
        <v>249</v>
      </c>
      <c r="Z6" s="88" t="str">
        <f>HYPERLINK("https://twitter.com/#!/seesuiteuga/status/1349416437425823747")</f>
        <v>https://twitter.com/#!/seesuiteuga/status/1349416437425823747</v>
      </c>
      <c r="AA6" s="85"/>
      <c r="AB6" s="85"/>
      <c r="AC6" s="93" t="s">
        <v>256</v>
      </c>
      <c r="AD6" s="85"/>
      <c r="AE6" s="85" t="b">
        <v>0</v>
      </c>
      <c r="AF6" s="85">
        <v>1</v>
      </c>
      <c r="AG6" s="93" t="s">
        <v>266</v>
      </c>
      <c r="AH6" s="85" t="b">
        <v>0</v>
      </c>
      <c r="AI6" s="85" t="s">
        <v>267</v>
      </c>
      <c r="AJ6" s="85"/>
      <c r="AK6" s="93" t="s">
        <v>266</v>
      </c>
      <c r="AL6" s="85" t="b">
        <v>0</v>
      </c>
      <c r="AM6" s="85">
        <v>0</v>
      </c>
      <c r="AN6" s="93" t="s">
        <v>266</v>
      </c>
      <c r="AO6" s="85" t="s">
        <v>268</v>
      </c>
      <c r="AP6" s="85" t="b">
        <v>0</v>
      </c>
      <c r="AQ6" s="93" t="s">
        <v>256</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219</v>
      </c>
      <c r="C7" s="54" t="s">
        <v>408</v>
      </c>
      <c r="D7" s="55">
        <v>3</v>
      </c>
      <c r="E7" s="67" t="s">
        <v>132</v>
      </c>
      <c r="F7" s="56">
        <v>35</v>
      </c>
      <c r="G7" s="54"/>
      <c r="H7" s="58"/>
      <c r="I7" s="57"/>
      <c r="J7" s="57"/>
      <c r="K7" s="36" t="s">
        <v>65</v>
      </c>
      <c r="L7" s="82">
        <v>7</v>
      </c>
      <c r="M7" s="82"/>
      <c r="N7" s="64"/>
      <c r="O7" s="85" t="s">
        <v>227</v>
      </c>
      <c r="P7" s="87">
        <v>44209.99655092593</v>
      </c>
      <c r="Q7" s="85" t="s">
        <v>233</v>
      </c>
      <c r="R7" s="88" t="str">
        <f>HYPERLINK("https://seesuite.uga.edu/wp-content/uploads/2021/01/7750_FinalReport_GirlScoutsofAmerica.pdf")</f>
        <v>https://seesuite.uga.edu/wp-content/uploads/2021/01/7750_FinalReport_GirlScoutsofAmerica.pdf</v>
      </c>
      <c r="S7" s="85" t="s">
        <v>242</v>
      </c>
      <c r="T7" s="85" t="s">
        <v>244</v>
      </c>
      <c r="U7" s="88" t="str">
        <f>HYPERLINK("https://pbs.twimg.com/media/Erpn42SW8AE46if.png")</f>
        <v>https://pbs.twimg.com/media/Erpn42SW8AE46if.png</v>
      </c>
      <c r="V7" s="88" t="str">
        <f>HYPERLINK("https://pbs.twimg.com/media/Erpn42SW8AE46if.png")</f>
        <v>https://pbs.twimg.com/media/Erpn42SW8AE46if.png</v>
      </c>
      <c r="W7" s="87">
        <v>44209.99655092593</v>
      </c>
      <c r="X7" s="91">
        <v>44209</v>
      </c>
      <c r="Y7" s="93" t="s">
        <v>248</v>
      </c>
      <c r="Z7" s="88" t="str">
        <f>HYPERLINK("https://twitter.com/#!/seesuiteuga/status/1349505265939447808")</f>
        <v>https://twitter.com/#!/seesuiteuga/status/1349505265939447808</v>
      </c>
      <c r="AA7" s="85"/>
      <c r="AB7" s="85"/>
      <c r="AC7" s="93" t="s">
        <v>257</v>
      </c>
      <c r="AD7" s="85"/>
      <c r="AE7" s="85" t="b">
        <v>0</v>
      </c>
      <c r="AF7" s="85">
        <v>3</v>
      </c>
      <c r="AG7" s="93" t="s">
        <v>266</v>
      </c>
      <c r="AH7" s="85" t="b">
        <v>0</v>
      </c>
      <c r="AI7" s="85" t="s">
        <v>267</v>
      </c>
      <c r="AJ7" s="85"/>
      <c r="AK7" s="93" t="s">
        <v>266</v>
      </c>
      <c r="AL7" s="85" t="b">
        <v>0</v>
      </c>
      <c r="AM7" s="85">
        <v>0</v>
      </c>
      <c r="AN7" s="93" t="s">
        <v>266</v>
      </c>
      <c r="AO7" s="85" t="s">
        <v>268</v>
      </c>
      <c r="AP7" s="85" t="b">
        <v>0</v>
      </c>
      <c r="AQ7" s="93" t="s">
        <v>257</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220</v>
      </c>
      <c r="C8" s="54" t="s">
        <v>408</v>
      </c>
      <c r="D8" s="55">
        <v>3</v>
      </c>
      <c r="E8" s="67" t="s">
        <v>132</v>
      </c>
      <c r="F8" s="56">
        <v>35</v>
      </c>
      <c r="G8" s="54"/>
      <c r="H8" s="58"/>
      <c r="I8" s="57"/>
      <c r="J8" s="57"/>
      <c r="K8" s="36" t="s">
        <v>65</v>
      </c>
      <c r="L8" s="82">
        <v>8</v>
      </c>
      <c r="M8" s="82"/>
      <c r="N8" s="64"/>
      <c r="O8" s="85" t="s">
        <v>227</v>
      </c>
      <c r="P8" s="87">
        <v>44210.75141203704</v>
      </c>
      <c r="Q8" s="85" t="s">
        <v>234</v>
      </c>
      <c r="R8" s="88" t="str">
        <f>HYPERLINK("https://seesuite.uga.edu/wp-content/uploads/2020/12/5750_FinalRerport_Greepeace.pdf")</f>
        <v>https://seesuite.uga.edu/wp-content/uploads/2020/12/5750_FinalRerport_Greepeace.pdf</v>
      </c>
      <c r="S8" s="85" t="s">
        <v>242</v>
      </c>
      <c r="T8" s="85" t="s">
        <v>243</v>
      </c>
      <c r="U8" s="88" t="str">
        <f>HYPERLINK("https://pbs.twimg.com/media/ErtgrmAW4AUrUwg.jpg")</f>
        <v>https://pbs.twimg.com/media/ErtgrmAW4AUrUwg.jpg</v>
      </c>
      <c r="V8" s="88" t="str">
        <f>HYPERLINK("https://pbs.twimg.com/media/ErtgrmAW4AUrUwg.jpg")</f>
        <v>https://pbs.twimg.com/media/ErtgrmAW4AUrUwg.jpg</v>
      </c>
      <c r="W8" s="87">
        <v>44210.75141203704</v>
      </c>
      <c r="X8" s="91">
        <v>44210</v>
      </c>
      <c r="Y8" s="93" t="s">
        <v>247</v>
      </c>
      <c r="Z8" s="88" t="str">
        <f>HYPERLINK("https://twitter.com/#!/seesuiteuga/status/1349778816839901186")</f>
        <v>https://twitter.com/#!/seesuiteuga/status/1349778816839901186</v>
      </c>
      <c r="AA8" s="85"/>
      <c r="AB8" s="85"/>
      <c r="AC8" s="93" t="s">
        <v>258</v>
      </c>
      <c r="AD8" s="85"/>
      <c r="AE8" s="85" t="b">
        <v>0</v>
      </c>
      <c r="AF8" s="85">
        <v>0</v>
      </c>
      <c r="AG8" s="93" t="s">
        <v>266</v>
      </c>
      <c r="AH8" s="85" t="b">
        <v>0</v>
      </c>
      <c r="AI8" s="85" t="s">
        <v>267</v>
      </c>
      <c r="AJ8" s="85"/>
      <c r="AK8" s="93" t="s">
        <v>266</v>
      </c>
      <c r="AL8" s="85" t="b">
        <v>0</v>
      </c>
      <c r="AM8" s="85">
        <v>0</v>
      </c>
      <c r="AN8" s="93" t="s">
        <v>266</v>
      </c>
      <c r="AO8" s="85" t="s">
        <v>268</v>
      </c>
      <c r="AP8" s="85" t="b">
        <v>0</v>
      </c>
      <c r="AQ8" s="93" t="s">
        <v>258</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214</v>
      </c>
      <c r="B9" s="83" t="s">
        <v>221</v>
      </c>
      <c r="C9" s="54" t="s">
        <v>408</v>
      </c>
      <c r="D9" s="55">
        <v>3</v>
      </c>
      <c r="E9" s="67" t="s">
        <v>132</v>
      </c>
      <c r="F9" s="56">
        <v>35</v>
      </c>
      <c r="G9" s="54"/>
      <c r="H9" s="58"/>
      <c r="I9" s="57"/>
      <c r="J9" s="57"/>
      <c r="K9" s="36" t="s">
        <v>65</v>
      </c>
      <c r="L9" s="82">
        <v>9</v>
      </c>
      <c r="M9" s="82"/>
      <c r="N9" s="64"/>
      <c r="O9" s="85" t="s">
        <v>227</v>
      </c>
      <c r="P9" s="87">
        <v>44210.99655092593</v>
      </c>
      <c r="Q9" s="85" t="s">
        <v>235</v>
      </c>
      <c r="R9" s="88" t="str">
        <f>HYPERLINK("https://seesuite.uga.edu/wp-content/uploads/2021/01/ADPR-5750_Habitat-Final-Report.pdf")</f>
        <v>https://seesuite.uga.edu/wp-content/uploads/2021/01/ADPR-5750_Habitat-Final-Report.pdf</v>
      </c>
      <c r="S9" s="85" t="s">
        <v>242</v>
      </c>
      <c r="T9" s="85" t="s">
        <v>244</v>
      </c>
      <c r="U9" s="88" t="str">
        <f>HYPERLINK("https://pbs.twimg.com/media/EruxeqBXYAAzMFa.jpg")</f>
        <v>https://pbs.twimg.com/media/EruxeqBXYAAzMFa.jpg</v>
      </c>
      <c r="V9" s="88" t="str">
        <f>HYPERLINK("https://pbs.twimg.com/media/EruxeqBXYAAzMFa.jpg")</f>
        <v>https://pbs.twimg.com/media/EruxeqBXYAAzMFa.jpg</v>
      </c>
      <c r="W9" s="87">
        <v>44210.99655092593</v>
      </c>
      <c r="X9" s="91">
        <v>44210</v>
      </c>
      <c r="Y9" s="93" t="s">
        <v>248</v>
      </c>
      <c r="Z9" s="88" t="str">
        <f>HYPERLINK("https://twitter.com/#!/seesuiteuga/status/1349867654832676868")</f>
        <v>https://twitter.com/#!/seesuiteuga/status/1349867654832676868</v>
      </c>
      <c r="AA9" s="85"/>
      <c r="AB9" s="85"/>
      <c r="AC9" s="93" t="s">
        <v>259</v>
      </c>
      <c r="AD9" s="85"/>
      <c r="AE9" s="85" t="b">
        <v>0</v>
      </c>
      <c r="AF9" s="85">
        <v>0</v>
      </c>
      <c r="AG9" s="93" t="s">
        <v>266</v>
      </c>
      <c r="AH9" s="85" t="b">
        <v>0</v>
      </c>
      <c r="AI9" s="85" t="s">
        <v>267</v>
      </c>
      <c r="AJ9" s="85"/>
      <c r="AK9" s="93" t="s">
        <v>266</v>
      </c>
      <c r="AL9" s="85" t="b">
        <v>0</v>
      </c>
      <c r="AM9" s="85">
        <v>0</v>
      </c>
      <c r="AN9" s="93" t="s">
        <v>266</v>
      </c>
      <c r="AO9" s="85" t="s">
        <v>268</v>
      </c>
      <c r="AP9" s="85" t="b">
        <v>0</v>
      </c>
      <c r="AQ9" s="93" t="s">
        <v>259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214</v>
      </c>
      <c r="B10" s="83" t="s">
        <v>222</v>
      </c>
      <c r="C10" s="54" t="s">
        <v>408</v>
      </c>
      <c r="D10" s="55">
        <v>3</v>
      </c>
      <c r="E10" s="67" t="s">
        <v>132</v>
      </c>
      <c r="F10" s="56">
        <v>35</v>
      </c>
      <c r="G10" s="54"/>
      <c r="H10" s="58"/>
      <c r="I10" s="57"/>
      <c r="J10" s="57"/>
      <c r="K10" s="36" t="s">
        <v>65</v>
      </c>
      <c r="L10" s="82">
        <v>10</v>
      </c>
      <c r="M10" s="82"/>
      <c r="N10" s="64"/>
      <c r="O10" s="85" t="s">
        <v>227</v>
      </c>
      <c r="P10" s="87">
        <v>44211.75141203704</v>
      </c>
      <c r="Q10" s="85" t="s">
        <v>236</v>
      </c>
      <c r="R10" s="88" t="str">
        <f>HYPERLINK("https://seesuite.uga.edu/wp-content/uploads/2020/12/5750_FinalRerport_HRC.pdf")</f>
        <v>https://seesuite.uga.edu/wp-content/uploads/2020/12/5750_FinalRerport_HRC.pdf</v>
      </c>
      <c r="S10" s="85" t="s">
        <v>242</v>
      </c>
      <c r="T10" s="85" t="s">
        <v>243</v>
      </c>
      <c r="U10" s="88" t="str">
        <f>HYPERLINK("https://pbs.twimg.com/media/EryqRafXAAUGglW.png")</f>
        <v>https://pbs.twimg.com/media/EryqRafXAAUGglW.png</v>
      </c>
      <c r="V10" s="88" t="str">
        <f>HYPERLINK("https://pbs.twimg.com/media/EryqRafXAAUGglW.png")</f>
        <v>https://pbs.twimg.com/media/EryqRafXAAUGglW.png</v>
      </c>
      <c r="W10" s="87">
        <v>44211.75141203704</v>
      </c>
      <c r="X10" s="91">
        <v>44211</v>
      </c>
      <c r="Y10" s="93" t="s">
        <v>247</v>
      </c>
      <c r="Z10" s="88" t="str">
        <f>HYPERLINK("https://twitter.com/#!/seesuiteuga/status/1350141205770870785")</f>
        <v>https://twitter.com/#!/seesuiteuga/status/1350141205770870785</v>
      </c>
      <c r="AA10" s="85"/>
      <c r="AB10" s="85"/>
      <c r="AC10" s="93" t="s">
        <v>260</v>
      </c>
      <c r="AD10" s="85"/>
      <c r="AE10" s="85" t="b">
        <v>0</v>
      </c>
      <c r="AF10" s="85">
        <v>1</v>
      </c>
      <c r="AG10" s="93" t="s">
        <v>266</v>
      </c>
      <c r="AH10" s="85" t="b">
        <v>0</v>
      </c>
      <c r="AI10" s="85" t="s">
        <v>267</v>
      </c>
      <c r="AJ10" s="85"/>
      <c r="AK10" s="93" t="s">
        <v>266</v>
      </c>
      <c r="AL10" s="85" t="b">
        <v>0</v>
      </c>
      <c r="AM10" s="85">
        <v>0</v>
      </c>
      <c r="AN10" s="93" t="s">
        <v>266</v>
      </c>
      <c r="AO10" s="85" t="s">
        <v>268</v>
      </c>
      <c r="AP10" s="85" t="b">
        <v>0</v>
      </c>
      <c r="AQ10" s="93" t="s">
        <v>260</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214</v>
      </c>
      <c r="B11" s="83" t="s">
        <v>223</v>
      </c>
      <c r="C11" s="54" t="s">
        <v>408</v>
      </c>
      <c r="D11" s="55">
        <v>3</v>
      </c>
      <c r="E11" s="67" t="s">
        <v>132</v>
      </c>
      <c r="F11" s="56">
        <v>35</v>
      </c>
      <c r="G11" s="54"/>
      <c r="H11" s="58"/>
      <c r="I11" s="57"/>
      <c r="J11" s="57"/>
      <c r="K11" s="36" t="s">
        <v>65</v>
      </c>
      <c r="L11" s="82">
        <v>11</v>
      </c>
      <c r="M11" s="82"/>
      <c r="N11" s="64"/>
      <c r="O11" s="85" t="s">
        <v>227</v>
      </c>
      <c r="P11" s="87">
        <v>44211.90416666667</v>
      </c>
      <c r="Q11" s="85" t="s">
        <v>237</v>
      </c>
      <c r="R11" s="88" t="str">
        <f>HYPERLINK("https://seesuite.uga.edu/wp-content/uploads/2020/12/ADPR5750_NAACP_Final-Report-1.pdf")</f>
        <v>https://seesuite.uga.edu/wp-content/uploads/2020/12/ADPR5750_NAACP_Final-Report-1.pdf</v>
      </c>
      <c r="S11" s="85" t="s">
        <v>242</v>
      </c>
      <c r="T11" s="85" t="s">
        <v>243</v>
      </c>
      <c r="U11" s="88" t="str">
        <f>HYPERLINK("https://pbs.twimg.com/media/ErzcnjPXIAYbX0E.png")</f>
        <v>https://pbs.twimg.com/media/ErzcnjPXIAYbX0E.png</v>
      </c>
      <c r="V11" s="88" t="str">
        <f>HYPERLINK("https://pbs.twimg.com/media/ErzcnjPXIAYbX0E.png")</f>
        <v>https://pbs.twimg.com/media/ErzcnjPXIAYbX0E.png</v>
      </c>
      <c r="W11" s="87">
        <v>44211.90416666667</v>
      </c>
      <c r="X11" s="91">
        <v>44211</v>
      </c>
      <c r="Y11" s="93" t="s">
        <v>250</v>
      </c>
      <c r="Z11" s="88" t="str">
        <f>HYPERLINK("https://twitter.com/#!/seesuiteuga/status/1350196562287276034")</f>
        <v>https://twitter.com/#!/seesuiteuga/status/1350196562287276034</v>
      </c>
      <c r="AA11" s="85"/>
      <c r="AB11" s="85"/>
      <c r="AC11" s="93" t="s">
        <v>261</v>
      </c>
      <c r="AD11" s="85"/>
      <c r="AE11" s="85" t="b">
        <v>0</v>
      </c>
      <c r="AF11" s="85">
        <v>0</v>
      </c>
      <c r="AG11" s="93" t="s">
        <v>266</v>
      </c>
      <c r="AH11" s="85" t="b">
        <v>0</v>
      </c>
      <c r="AI11" s="85" t="s">
        <v>267</v>
      </c>
      <c r="AJ11" s="85"/>
      <c r="AK11" s="93" t="s">
        <v>266</v>
      </c>
      <c r="AL11" s="85" t="b">
        <v>0</v>
      </c>
      <c r="AM11" s="85">
        <v>0</v>
      </c>
      <c r="AN11" s="93" t="s">
        <v>266</v>
      </c>
      <c r="AO11" s="85" t="s">
        <v>268</v>
      </c>
      <c r="AP11" s="85" t="b">
        <v>0</v>
      </c>
      <c r="AQ11" s="93" t="s">
        <v>261</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214</v>
      </c>
      <c r="B12" s="83" t="s">
        <v>224</v>
      </c>
      <c r="C12" s="54" t="s">
        <v>408</v>
      </c>
      <c r="D12" s="55">
        <v>3</v>
      </c>
      <c r="E12" s="67" t="s">
        <v>136</v>
      </c>
      <c r="F12" s="56">
        <v>35</v>
      </c>
      <c r="G12" s="54"/>
      <c r="H12" s="58"/>
      <c r="I12" s="57"/>
      <c r="J12" s="57"/>
      <c r="K12" s="36" t="s">
        <v>65</v>
      </c>
      <c r="L12" s="82">
        <v>12</v>
      </c>
      <c r="M12" s="82"/>
      <c r="N12" s="64"/>
      <c r="O12" s="85" t="s">
        <v>227</v>
      </c>
      <c r="P12" s="87">
        <v>44207.9965625</v>
      </c>
      <c r="Q12" s="85" t="s">
        <v>238</v>
      </c>
      <c r="R12" s="88" t="str">
        <f>HYPERLINK("https://seesuite.uga.edu/wp-content/uploads/2020/12/5750_FinalRerport_ARC.pdf")</f>
        <v>https://seesuite.uga.edu/wp-content/uploads/2020/12/5750_FinalRerport_ARC.pdf</v>
      </c>
      <c r="S12" s="85" t="s">
        <v>242</v>
      </c>
      <c r="T12" s="85" t="s">
        <v>245</v>
      </c>
      <c r="U12" s="88" t="str">
        <f>HYPERLINK("https://pbs.twimg.com/media/ErfUtdnXcAISNul.jpg")</f>
        <v>https://pbs.twimg.com/media/ErfUtdnXcAISNul.jpg</v>
      </c>
      <c r="V12" s="88" t="str">
        <f>HYPERLINK("https://pbs.twimg.com/media/ErfUtdnXcAISNul.jpg")</f>
        <v>https://pbs.twimg.com/media/ErfUtdnXcAISNul.jpg</v>
      </c>
      <c r="W12" s="87">
        <v>44207.9965625</v>
      </c>
      <c r="X12" s="91">
        <v>44207</v>
      </c>
      <c r="Y12" s="93" t="s">
        <v>251</v>
      </c>
      <c r="Z12" s="88" t="str">
        <f>HYPERLINK("https://twitter.com/#!/seesuiteuga/status/1348780492271792131")</f>
        <v>https://twitter.com/#!/seesuiteuga/status/1348780492271792131</v>
      </c>
      <c r="AA12" s="85"/>
      <c r="AB12" s="85"/>
      <c r="AC12" s="93" t="s">
        <v>262</v>
      </c>
      <c r="AD12" s="85"/>
      <c r="AE12" s="85" t="b">
        <v>0</v>
      </c>
      <c r="AF12" s="85">
        <v>0</v>
      </c>
      <c r="AG12" s="93" t="s">
        <v>266</v>
      </c>
      <c r="AH12" s="85" t="b">
        <v>0</v>
      </c>
      <c r="AI12" s="85" t="s">
        <v>267</v>
      </c>
      <c r="AJ12" s="85"/>
      <c r="AK12" s="93" t="s">
        <v>266</v>
      </c>
      <c r="AL12" s="85" t="b">
        <v>0</v>
      </c>
      <c r="AM12" s="85">
        <v>0</v>
      </c>
      <c r="AN12" s="93" t="s">
        <v>266</v>
      </c>
      <c r="AO12" s="85" t="s">
        <v>268</v>
      </c>
      <c r="AP12" s="85" t="b">
        <v>0</v>
      </c>
      <c r="AQ12" s="93" t="s">
        <v>262</v>
      </c>
      <c r="AR12" s="85" t="s">
        <v>176</v>
      </c>
      <c r="AS12" s="85">
        <v>0</v>
      </c>
      <c r="AT12" s="85">
        <v>0</v>
      </c>
      <c r="AU12" s="85"/>
      <c r="AV12" s="85"/>
      <c r="AW12" s="85"/>
      <c r="AX12" s="85"/>
      <c r="AY12" s="85"/>
      <c r="AZ12" s="85"/>
      <c r="BA12" s="85"/>
      <c r="BB12" s="85"/>
      <c r="BC12">
        <v>11</v>
      </c>
      <c r="BD12" s="84" t="str">
        <f>REPLACE(INDEX(GroupVertices[Group],MATCH(Edges[[#This Row],[Vertex 1]],GroupVertices[Vertex],0)),1,1,"")</f>
        <v>1</v>
      </c>
      <c r="BE12" s="84" t="str">
        <f>REPLACE(INDEX(GroupVertices[Group],MATCH(Edges[[#This Row],[Vertex 2]],GroupVertices[Vertex],0)),1,1,"")</f>
        <v>1</v>
      </c>
    </row>
    <row r="13" spans="1:57" ht="45">
      <c r="A13" s="83" t="s">
        <v>214</v>
      </c>
      <c r="B13" s="83" t="s">
        <v>224</v>
      </c>
      <c r="C13" s="54" t="s">
        <v>408</v>
      </c>
      <c r="D13" s="55">
        <v>3</v>
      </c>
      <c r="E13" s="67" t="s">
        <v>136</v>
      </c>
      <c r="F13" s="56">
        <v>35</v>
      </c>
      <c r="G13" s="54"/>
      <c r="H13" s="58"/>
      <c r="I13" s="57"/>
      <c r="J13" s="57"/>
      <c r="K13" s="36" t="s">
        <v>65</v>
      </c>
      <c r="L13" s="82">
        <v>13</v>
      </c>
      <c r="M13" s="82"/>
      <c r="N13" s="64"/>
      <c r="O13" s="85" t="s">
        <v>227</v>
      </c>
      <c r="P13" s="87">
        <v>44208.75141203704</v>
      </c>
      <c r="Q13" s="85" t="s">
        <v>230</v>
      </c>
      <c r="R13" s="88" t="str">
        <f>HYPERLINK("https://seesuite.uga.edu/wp-content/uploads/2021/01/ADPR-5750_CHOA-Final-Assignment.pdf")</f>
        <v>https://seesuite.uga.edu/wp-content/uploads/2021/01/ADPR-5750_CHOA-Final-Assignment.pdf</v>
      </c>
      <c r="S13" s="85" t="s">
        <v>242</v>
      </c>
      <c r="T13" s="85" t="s">
        <v>243</v>
      </c>
      <c r="U13" s="88" t="str">
        <f>HYPERLINK("https://pbs.twimg.com/media/ErjNgC_W4AM3GEk.png")</f>
        <v>https://pbs.twimg.com/media/ErjNgC_W4AM3GEk.png</v>
      </c>
      <c r="V13" s="88" t="str">
        <f>HYPERLINK("https://pbs.twimg.com/media/ErjNgC_W4AM3GEk.png")</f>
        <v>https://pbs.twimg.com/media/ErjNgC_W4AM3GEk.png</v>
      </c>
      <c r="W13" s="87">
        <v>44208.75141203704</v>
      </c>
      <c r="X13" s="91">
        <v>44208</v>
      </c>
      <c r="Y13" s="93" t="s">
        <v>247</v>
      </c>
      <c r="Z13" s="88" t="str">
        <f>HYPERLINK("https://twitter.com/#!/seesuiteuga/status/1349054040278183937")</f>
        <v>https://twitter.com/#!/seesuiteuga/status/1349054040278183937</v>
      </c>
      <c r="AA13" s="85"/>
      <c r="AB13" s="85"/>
      <c r="AC13" s="93" t="s">
        <v>254</v>
      </c>
      <c r="AD13" s="85"/>
      <c r="AE13" s="85" t="b">
        <v>0</v>
      </c>
      <c r="AF13" s="85">
        <v>0</v>
      </c>
      <c r="AG13" s="93" t="s">
        <v>266</v>
      </c>
      <c r="AH13" s="85" t="b">
        <v>0</v>
      </c>
      <c r="AI13" s="85" t="s">
        <v>267</v>
      </c>
      <c r="AJ13" s="85"/>
      <c r="AK13" s="93" t="s">
        <v>266</v>
      </c>
      <c r="AL13" s="85" t="b">
        <v>0</v>
      </c>
      <c r="AM13" s="85">
        <v>0</v>
      </c>
      <c r="AN13" s="93" t="s">
        <v>266</v>
      </c>
      <c r="AO13" s="85" t="s">
        <v>268</v>
      </c>
      <c r="AP13" s="85" t="b">
        <v>0</v>
      </c>
      <c r="AQ13" s="93" t="s">
        <v>254</v>
      </c>
      <c r="AR13" s="85" t="s">
        <v>176</v>
      </c>
      <c r="AS13" s="85">
        <v>0</v>
      </c>
      <c r="AT13" s="85">
        <v>0</v>
      </c>
      <c r="AU13" s="85"/>
      <c r="AV13" s="85"/>
      <c r="AW13" s="85"/>
      <c r="AX13" s="85"/>
      <c r="AY13" s="85"/>
      <c r="AZ13" s="85"/>
      <c r="BA13" s="85"/>
      <c r="BB13" s="85"/>
      <c r="BC13">
        <v>11</v>
      </c>
      <c r="BD13" s="84" t="str">
        <f>REPLACE(INDEX(GroupVertices[Group],MATCH(Edges[[#This Row],[Vertex 1]],GroupVertices[Vertex],0)),1,1,"")</f>
        <v>1</v>
      </c>
      <c r="BE13" s="84" t="str">
        <f>REPLACE(INDEX(GroupVertices[Group],MATCH(Edges[[#This Row],[Vertex 2]],GroupVertices[Vertex],0)),1,1,"")</f>
        <v>1</v>
      </c>
    </row>
    <row r="14" spans="1:57" ht="45">
      <c r="A14" s="83" t="s">
        <v>214</v>
      </c>
      <c r="B14" s="83" t="s">
        <v>224</v>
      </c>
      <c r="C14" s="54" t="s">
        <v>408</v>
      </c>
      <c r="D14" s="55">
        <v>3</v>
      </c>
      <c r="E14" s="67" t="s">
        <v>136</v>
      </c>
      <c r="F14" s="56">
        <v>35</v>
      </c>
      <c r="G14" s="54"/>
      <c r="H14" s="58"/>
      <c r="I14" s="57"/>
      <c r="J14" s="57"/>
      <c r="K14" s="36" t="s">
        <v>65</v>
      </c>
      <c r="L14" s="82">
        <v>14</v>
      </c>
      <c r="M14" s="82"/>
      <c r="N14" s="64"/>
      <c r="O14" s="85" t="s">
        <v>227</v>
      </c>
      <c r="P14" s="87">
        <v>44208.99655092593</v>
      </c>
      <c r="Q14" s="85" t="s">
        <v>231</v>
      </c>
      <c r="R14" s="88" t="str">
        <f>HYPERLINK("https://seesuite.uga.edu/wp-content/uploads/2020/12/ADPR5750_FFA_Final-Report.pdf")</f>
        <v>https://seesuite.uga.edu/wp-content/uploads/2020/12/ADPR5750_FFA_Final-Report.pdf</v>
      </c>
      <c r="S14" s="85" t="s">
        <v>242</v>
      </c>
      <c r="T14" s="85" t="s">
        <v>243</v>
      </c>
      <c r="U14" s="88" t="str">
        <f>HYPERLINK("https://pbs.twimg.com/media/ErkeTFGW4AA6HUn.png")</f>
        <v>https://pbs.twimg.com/media/ErkeTFGW4AA6HUn.png</v>
      </c>
      <c r="V14" s="88" t="str">
        <f>HYPERLINK("https://pbs.twimg.com/media/ErkeTFGW4AA6HUn.png")</f>
        <v>https://pbs.twimg.com/media/ErkeTFGW4AA6HUn.png</v>
      </c>
      <c r="W14" s="87">
        <v>44208.99655092593</v>
      </c>
      <c r="X14" s="91">
        <v>44208</v>
      </c>
      <c r="Y14" s="93" t="s">
        <v>248</v>
      </c>
      <c r="Z14" s="88" t="str">
        <f>HYPERLINK("https://twitter.com/#!/seesuiteuga/status/1349142877750886402")</f>
        <v>https://twitter.com/#!/seesuiteuga/status/1349142877750886402</v>
      </c>
      <c r="AA14" s="85"/>
      <c r="AB14" s="85"/>
      <c r="AC14" s="93" t="s">
        <v>255</v>
      </c>
      <c r="AD14" s="85"/>
      <c r="AE14" s="85" t="b">
        <v>0</v>
      </c>
      <c r="AF14" s="85">
        <v>0</v>
      </c>
      <c r="AG14" s="93" t="s">
        <v>266</v>
      </c>
      <c r="AH14" s="85" t="b">
        <v>0</v>
      </c>
      <c r="AI14" s="85" t="s">
        <v>267</v>
      </c>
      <c r="AJ14" s="85"/>
      <c r="AK14" s="93" t="s">
        <v>266</v>
      </c>
      <c r="AL14" s="85" t="b">
        <v>0</v>
      </c>
      <c r="AM14" s="85">
        <v>0</v>
      </c>
      <c r="AN14" s="93" t="s">
        <v>266</v>
      </c>
      <c r="AO14" s="85" t="s">
        <v>268</v>
      </c>
      <c r="AP14" s="85" t="b">
        <v>0</v>
      </c>
      <c r="AQ14" s="93" t="s">
        <v>255</v>
      </c>
      <c r="AR14" s="85" t="s">
        <v>176</v>
      </c>
      <c r="AS14" s="85">
        <v>0</v>
      </c>
      <c r="AT14" s="85">
        <v>0</v>
      </c>
      <c r="AU14" s="85"/>
      <c r="AV14" s="85"/>
      <c r="AW14" s="85"/>
      <c r="AX14" s="85"/>
      <c r="AY14" s="85"/>
      <c r="AZ14" s="85"/>
      <c r="BA14" s="85"/>
      <c r="BB14" s="85"/>
      <c r="BC14">
        <v>11</v>
      </c>
      <c r="BD14" s="84" t="str">
        <f>REPLACE(INDEX(GroupVertices[Group],MATCH(Edges[[#This Row],[Vertex 1]],GroupVertices[Vertex],0)),1,1,"")</f>
        <v>1</v>
      </c>
      <c r="BE14" s="84" t="str">
        <f>REPLACE(INDEX(GroupVertices[Group],MATCH(Edges[[#This Row],[Vertex 2]],GroupVertices[Vertex],0)),1,1,"")</f>
        <v>1</v>
      </c>
    </row>
    <row r="15" spans="1:57" ht="45">
      <c r="A15" s="83" t="s">
        <v>214</v>
      </c>
      <c r="B15" s="83" t="s">
        <v>224</v>
      </c>
      <c r="C15" s="54" t="s">
        <v>408</v>
      </c>
      <c r="D15" s="55">
        <v>3</v>
      </c>
      <c r="E15" s="67" t="s">
        <v>136</v>
      </c>
      <c r="F15" s="56">
        <v>35</v>
      </c>
      <c r="G15" s="54"/>
      <c r="H15" s="58"/>
      <c r="I15" s="57"/>
      <c r="J15" s="57"/>
      <c r="K15" s="36" t="s">
        <v>65</v>
      </c>
      <c r="L15" s="82">
        <v>15</v>
      </c>
      <c r="M15" s="82"/>
      <c r="N15" s="64"/>
      <c r="O15" s="85" t="s">
        <v>227</v>
      </c>
      <c r="P15" s="87">
        <v>44209.751435185186</v>
      </c>
      <c r="Q15" s="85" t="s">
        <v>232</v>
      </c>
      <c r="R15" s="88" t="str">
        <f>HYPERLINK("https://seesuite.uga.edu/wp-content/uploads/2020/12/7750-Final_Feeding_America.pdf")</f>
        <v>https://seesuite.uga.edu/wp-content/uploads/2020/12/7750-Final_Feeding_America.pdf</v>
      </c>
      <c r="S15" s="85" t="s">
        <v>242</v>
      </c>
      <c r="T15" s="85" t="s">
        <v>243</v>
      </c>
      <c r="U15" s="88" t="str">
        <f>HYPERLINK("https://pbs.twimg.com/media/EroXGVQWMAQrOWe.png")</f>
        <v>https://pbs.twimg.com/media/EroXGVQWMAQrOWe.png</v>
      </c>
      <c r="V15" s="88" t="str">
        <f>HYPERLINK("https://pbs.twimg.com/media/EroXGVQWMAQrOWe.png")</f>
        <v>https://pbs.twimg.com/media/EroXGVQWMAQrOWe.png</v>
      </c>
      <c r="W15" s="87">
        <v>44209.751435185186</v>
      </c>
      <c r="X15" s="91">
        <v>44209</v>
      </c>
      <c r="Y15" s="93" t="s">
        <v>249</v>
      </c>
      <c r="Z15" s="88" t="str">
        <f>HYPERLINK("https://twitter.com/#!/seesuiteuga/status/1349416437425823747")</f>
        <v>https://twitter.com/#!/seesuiteuga/status/1349416437425823747</v>
      </c>
      <c r="AA15" s="85"/>
      <c r="AB15" s="85"/>
      <c r="AC15" s="93" t="s">
        <v>256</v>
      </c>
      <c r="AD15" s="85"/>
      <c r="AE15" s="85" t="b">
        <v>0</v>
      </c>
      <c r="AF15" s="85">
        <v>1</v>
      </c>
      <c r="AG15" s="93" t="s">
        <v>266</v>
      </c>
      <c r="AH15" s="85" t="b">
        <v>0</v>
      </c>
      <c r="AI15" s="85" t="s">
        <v>267</v>
      </c>
      <c r="AJ15" s="85"/>
      <c r="AK15" s="93" t="s">
        <v>266</v>
      </c>
      <c r="AL15" s="85" t="b">
        <v>0</v>
      </c>
      <c r="AM15" s="85">
        <v>0</v>
      </c>
      <c r="AN15" s="93" t="s">
        <v>266</v>
      </c>
      <c r="AO15" s="85" t="s">
        <v>268</v>
      </c>
      <c r="AP15" s="85" t="b">
        <v>0</v>
      </c>
      <c r="AQ15" s="93" t="s">
        <v>256</v>
      </c>
      <c r="AR15" s="85" t="s">
        <v>176</v>
      </c>
      <c r="AS15" s="85">
        <v>0</v>
      </c>
      <c r="AT15" s="85">
        <v>0</v>
      </c>
      <c r="AU15" s="85"/>
      <c r="AV15" s="85"/>
      <c r="AW15" s="85"/>
      <c r="AX15" s="85"/>
      <c r="AY15" s="85"/>
      <c r="AZ15" s="85"/>
      <c r="BA15" s="85"/>
      <c r="BB15" s="85"/>
      <c r="BC15">
        <v>11</v>
      </c>
      <c r="BD15" s="84" t="str">
        <f>REPLACE(INDEX(GroupVertices[Group],MATCH(Edges[[#This Row],[Vertex 1]],GroupVertices[Vertex],0)),1,1,"")</f>
        <v>1</v>
      </c>
      <c r="BE15" s="84" t="str">
        <f>REPLACE(INDEX(GroupVertices[Group],MATCH(Edges[[#This Row],[Vertex 2]],GroupVertices[Vertex],0)),1,1,"")</f>
        <v>1</v>
      </c>
    </row>
    <row r="16" spans="1:57" ht="45">
      <c r="A16" s="83" t="s">
        <v>214</v>
      </c>
      <c r="B16" s="83" t="s">
        <v>224</v>
      </c>
      <c r="C16" s="54" t="s">
        <v>408</v>
      </c>
      <c r="D16" s="55">
        <v>3</v>
      </c>
      <c r="E16" s="67" t="s">
        <v>136</v>
      </c>
      <c r="F16" s="56">
        <v>35</v>
      </c>
      <c r="G16" s="54"/>
      <c r="H16" s="58"/>
      <c r="I16" s="57"/>
      <c r="J16" s="57"/>
      <c r="K16" s="36" t="s">
        <v>65</v>
      </c>
      <c r="L16" s="82">
        <v>16</v>
      </c>
      <c r="M16" s="82"/>
      <c r="N16" s="64"/>
      <c r="O16" s="85" t="s">
        <v>227</v>
      </c>
      <c r="P16" s="87">
        <v>44209.99655092593</v>
      </c>
      <c r="Q16" s="85" t="s">
        <v>233</v>
      </c>
      <c r="R16" s="88" t="str">
        <f>HYPERLINK("https://seesuite.uga.edu/wp-content/uploads/2021/01/7750_FinalReport_GirlScoutsofAmerica.pdf")</f>
        <v>https://seesuite.uga.edu/wp-content/uploads/2021/01/7750_FinalReport_GirlScoutsofAmerica.pdf</v>
      </c>
      <c r="S16" s="85" t="s">
        <v>242</v>
      </c>
      <c r="T16" s="85" t="s">
        <v>244</v>
      </c>
      <c r="U16" s="88" t="str">
        <f>HYPERLINK("https://pbs.twimg.com/media/Erpn42SW8AE46if.png")</f>
        <v>https://pbs.twimg.com/media/Erpn42SW8AE46if.png</v>
      </c>
      <c r="V16" s="88" t="str">
        <f>HYPERLINK("https://pbs.twimg.com/media/Erpn42SW8AE46if.png")</f>
        <v>https://pbs.twimg.com/media/Erpn42SW8AE46if.png</v>
      </c>
      <c r="W16" s="87">
        <v>44209.99655092593</v>
      </c>
      <c r="X16" s="91">
        <v>44209</v>
      </c>
      <c r="Y16" s="93" t="s">
        <v>248</v>
      </c>
      <c r="Z16" s="88" t="str">
        <f>HYPERLINK("https://twitter.com/#!/seesuiteuga/status/1349505265939447808")</f>
        <v>https://twitter.com/#!/seesuiteuga/status/1349505265939447808</v>
      </c>
      <c r="AA16" s="85"/>
      <c r="AB16" s="85"/>
      <c r="AC16" s="93" t="s">
        <v>257</v>
      </c>
      <c r="AD16" s="85"/>
      <c r="AE16" s="85" t="b">
        <v>0</v>
      </c>
      <c r="AF16" s="85">
        <v>3</v>
      </c>
      <c r="AG16" s="93" t="s">
        <v>266</v>
      </c>
      <c r="AH16" s="85" t="b">
        <v>0</v>
      </c>
      <c r="AI16" s="85" t="s">
        <v>267</v>
      </c>
      <c r="AJ16" s="85"/>
      <c r="AK16" s="93" t="s">
        <v>266</v>
      </c>
      <c r="AL16" s="85" t="b">
        <v>0</v>
      </c>
      <c r="AM16" s="85">
        <v>0</v>
      </c>
      <c r="AN16" s="93" t="s">
        <v>266</v>
      </c>
      <c r="AO16" s="85" t="s">
        <v>268</v>
      </c>
      <c r="AP16" s="85" t="b">
        <v>0</v>
      </c>
      <c r="AQ16" s="93" t="s">
        <v>257</v>
      </c>
      <c r="AR16" s="85" t="s">
        <v>176</v>
      </c>
      <c r="AS16" s="85">
        <v>0</v>
      </c>
      <c r="AT16" s="85">
        <v>0</v>
      </c>
      <c r="AU16" s="85"/>
      <c r="AV16" s="85"/>
      <c r="AW16" s="85"/>
      <c r="AX16" s="85"/>
      <c r="AY16" s="85"/>
      <c r="AZ16" s="85"/>
      <c r="BA16" s="85"/>
      <c r="BB16" s="85"/>
      <c r="BC16">
        <v>11</v>
      </c>
      <c r="BD16" s="84" t="str">
        <f>REPLACE(INDEX(GroupVertices[Group],MATCH(Edges[[#This Row],[Vertex 1]],GroupVertices[Vertex],0)),1,1,"")</f>
        <v>1</v>
      </c>
      <c r="BE16" s="84" t="str">
        <f>REPLACE(INDEX(GroupVertices[Group],MATCH(Edges[[#This Row],[Vertex 2]],GroupVertices[Vertex],0)),1,1,"")</f>
        <v>1</v>
      </c>
    </row>
    <row r="17" spans="1:57" ht="45">
      <c r="A17" s="83" t="s">
        <v>214</v>
      </c>
      <c r="B17" s="83" t="s">
        <v>224</v>
      </c>
      <c r="C17" s="54" t="s">
        <v>408</v>
      </c>
      <c r="D17" s="55">
        <v>3</v>
      </c>
      <c r="E17" s="67" t="s">
        <v>136</v>
      </c>
      <c r="F17" s="56">
        <v>35</v>
      </c>
      <c r="G17" s="54"/>
      <c r="H17" s="58"/>
      <c r="I17" s="57"/>
      <c r="J17" s="57"/>
      <c r="K17" s="36" t="s">
        <v>65</v>
      </c>
      <c r="L17" s="82">
        <v>17</v>
      </c>
      <c r="M17" s="82"/>
      <c r="N17" s="64"/>
      <c r="O17" s="85" t="s">
        <v>227</v>
      </c>
      <c r="P17" s="87">
        <v>44210.75141203704</v>
      </c>
      <c r="Q17" s="85" t="s">
        <v>234</v>
      </c>
      <c r="R17" s="88" t="str">
        <f>HYPERLINK("https://seesuite.uga.edu/wp-content/uploads/2020/12/5750_FinalRerport_Greepeace.pdf")</f>
        <v>https://seesuite.uga.edu/wp-content/uploads/2020/12/5750_FinalRerport_Greepeace.pdf</v>
      </c>
      <c r="S17" s="85" t="s">
        <v>242</v>
      </c>
      <c r="T17" s="85" t="s">
        <v>243</v>
      </c>
      <c r="U17" s="88" t="str">
        <f>HYPERLINK("https://pbs.twimg.com/media/ErtgrmAW4AUrUwg.jpg")</f>
        <v>https://pbs.twimg.com/media/ErtgrmAW4AUrUwg.jpg</v>
      </c>
      <c r="V17" s="88" t="str">
        <f>HYPERLINK("https://pbs.twimg.com/media/ErtgrmAW4AUrUwg.jpg")</f>
        <v>https://pbs.twimg.com/media/ErtgrmAW4AUrUwg.jpg</v>
      </c>
      <c r="W17" s="87">
        <v>44210.75141203704</v>
      </c>
      <c r="X17" s="91">
        <v>44210</v>
      </c>
      <c r="Y17" s="93" t="s">
        <v>247</v>
      </c>
      <c r="Z17" s="88" t="str">
        <f>HYPERLINK("https://twitter.com/#!/seesuiteuga/status/1349778816839901186")</f>
        <v>https://twitter.com/#!/seesuiteuga/status/1349778816839901186</v>
      </c>
      <c r="AA17" s="85"/>
      <c r="AB17" s="85"/>
      <c r="AC17" s="93" t="s">
        <v>258</v>
      </c>
      <c r="AD17" s="85"/>
      <c r="AE17" s="85" t="b">
        <v>0</v>
      </c>
      <c r="AF17" s="85">
        <v>0</v>
      </c>
      <c r="AG17" s="93" t="s">
        <v>266</v>
      </c>
      <c r="AH17" s="85" t="b">
        <v>0</v>
      </c>
      <c r="AI17" s="85" t="s">
        <v>267</v>
      </c>
      <c r="AJ17" s="85"/>
      <c r="AK17" s="93" t="s">
        <v>266</v>
      </c>
      <c r="AL17" s="85" t="b">
        <v>0</v>
      </c>
      <c r="AM17" s="85">
        <v>0</v>
      </c>
      <c r="AN17" s="93" t="s">
        <v>266</v>
      </c>
      <c r="AO17" s="85" t="s">
        <v>268</v>
      </c>
      <c r="AP17" s="85" t="b">
        <v>0</v>
      </c>
      <c r="AQ17" s="93" t="s">
        <v>258</v>
      </c>
      <c r="AR17" s="85" t="s">
        <v>176</v>
      </c>
      <c r="AS17" s="85">
        <v>0</v>
      </c>
      <c r="AT17" s="85">
        <v>0</v>
      </c>
      <c r="AU17" s="85"/>
      <c r="AV17" s="85"/>
      <c r="AW17" s="85"/>
      <c r="AX17" s="85"/>
      <c r="AY17" s="85"/>
      <c r="AZ17" s="85"/>
      <c r="BA17" s="85"/>
      <c r="BB17" s="85"/>
      <c r="BC17">
        <v>11</v>
      </c>
      <c r="BD17" s="84" t="str">
        <f>REPLACE(INDEX(GroupVertices[Group],MATCH(Edges[[#This Row],[Vertex 1]],GroupVertices[Vertex],0)),1,1,"")</f>
        <v>1</v>
      </c>
      <c r="BE17" s="84" t="str">
        <f>REPLACE(INDEX(GroupVertices[Group],MATCH(Edges[[#This Row],[Vertex 2]],GroupVertices[Vertex],0)),1,1,"")</f>
        <v>1</v>
      </c>
    </row>
    <row r="18" spans="1:57" ht="45">
      <c r="A18" s="83" t="s">
        <v>214</v>
      </c>
      <c r="B18" s="83" t="s">
        <v>224</v>
      </c>
      <c r="C18" s="54" t="s">
        <v>408</v>
      </c>
      <c r="D18" s="55">
        <v>3</v>
      </c>
      <c r="E18" s="67" t="s">
        <v>136</v>
      </c>
      <c r="F18" s="56">
        <v>35</v>
      </c>
      <c r="G18" s="54"/>
      <c r="H18" s="58"/>
      <c r="I18" s="57"/>
      <c r="J18" s="57"/>
      <c r="K18" s="36" t="s">
        <v>65</v>
      </c>
      <c r="L18" s="82">
        <v>18</v>
      </c>
      <c r="M18" s="82"/>
      <c r="N18" s="64"/>
      <c r="O18" s="85" t="s">
        <v>227</v>
      </c>
      <c r="P18" s="87">
        <v>44210.76814814815</v>
      </c>
      <c r="Q18" s="85" t="s">
        <v>239</v>
      </c>
      <c r="R18" s="85"/>
      <c r="S18" s="85"/>
      <c r="T18" s="85" t="s">
        <v>246</v>
      </c>
      <c r="U18" s="88" t="str">
        <f>HYPERLINK("https://pbs.twimg.com/media/ErtlVeFXUAEUvng.jpg")</f>
        <v>https://pbs.twimg.com/media/ErtlVeFXUAEUvng.jpg</v>
      </c>
      <c r="V18" s="88" t="str">
        <f>HYPERLINK("https://pbs.twimg.com/media/ErtlVeFXUAEUvng.jpg")</f>
        <v>https://pbs.twimg.com/media/ErtlVeFXUAEUvng.jpg</v>
      </c>
      <c r="W18" s="87">
        <v>44210.76814814815</v>
      </c>
      <c r="X18" s="91">
        <v>44210</v>
      </c>
      <c r="Y18" s="93" t="s">
        <v>252</v>
      </c>
      <c r="Z18" s="88" t="str">
        <f>HYPERLINK("https://twitter.com/#!/seesuiteuga/status/1349784884173221889")</f>
        <v>https://twitter.com/#!/seesuiteuga/status/1349784884173221889</v>
      </c>
      <c r="AA18" s="85"/>
      <c r="AB18" s="85"/>
      <c r="AC18" s="93" t="s">
        <v>263</v>
      </c>
      <c r="AD18" s="85"/>
      <c r="AE18" s="85" t="b">
        <v>0</v>
      </c>
      <c r="AF18" s="85">
        <v>5</v>
      </c>
      <c r="AG18" s="93" t="s">
        <v>266</v>
      </c>
      <c r="AH18" s="85" t="b">
        <v>0</v>
      </c>
      <c r="AI18" s="85" t="s">
        <v>267</v>
      </c>
      <c r="AJ18" s="85"/>
      <c r="AK18" s="93" t="s">
        <v>266</v>
      </c>
      <c r="AL18" s="85" t="b">
        <v>0</v>
      </c>
      <c r="AM18" s="85">
        <v>1</v>
      </c>
      <c r="AN18" s="93" t="s">
        <v>266</v>
      </c>
      <c r="AO18" s="85" t="s">
        <v>269</v>
      </c>
      <c r="AP18" s="85" t="b">
        <v>0</v>
      </c>
      <c r="AQ18" s="93" t="s">
        <v>263</v>
      </c>
      <c r="AR18" s="85" t="s">
        <v>176</v>
      </c>
      <c r="AS18" s="85">
        <v>0</v>
      </c>
      <c r="AT18" s="85">
        <v>0</v>
      </c>
      <c r="AU18" s="85"/>
      <c r="AV18" s="85"/>
      <c r="AW18" s="85"/>
      <c r="AX18" s="85"/>
      <c r="AY18" s="85"/>
      <c r="AZ18" s="85"/>
      <c r="BA18" s="85"/>
      <c r="BB18" s="85"/>
      <c r="BC18">
        <v>11</v>
      </c>
      <c r="BD18" s="84" t="str">
        <f>REPLACE(INDEX(GroupVertices[Group],MATCH(Edges[[#This Row],[Vertex 1]],GroupVertices[Vertex],0)),1,1,"")</f>
        <v>1</v>
      </c>
      <c r="BE18" s="84" t="str">
        <f>REPLACE(INDEX(GroupVertices[Group],MATCH(Edges[[#This Row],[Vertex 2]],GroupVertices[Vertex],0)),1,1,"")</f>
        <v>1</v>
      </c>
    </row>
    <row r="19" spans="1:57" ht="45">
      <c r="A19" s="83" t="s">
        <v>214</v>
      </c>
      <c r="B19" s="83" t="s">
        <v>224</v>
      </c>
      <c r="C19" s="54" t="s">
        <v>408</v>
      </c>
      <c r="D19" s="55">
        <v>3</v>
      </c>
      <c r="E19" s="67" t="s">
        <v>136</v>
      </c>
      <c r="F19" s="56">
        <v>35</v>
      </c>
      <c r="G19" s="54"/>
      <c r="H19" s="58"/>
      <c r="I19" s="57"/>
      <c r="J19" s="57"/>
      <c r="K19" s="36" t="s">
        <v>65</v>
      </c>
      <c r="L19" s="82">
        <v>19</v>
      </c>
      <c r="M19" s="82"/>
      <c r="N19" s="64"/>
      <c r="O19" s="85" t="s">
        <v>227</v>
      </c>
      <c r="P19" s="87">
        <v>44210.99655092593</v>
      </c>
      <c r="Q19" s="85" t="s">
        <v>235</v>
      </c>
      <c r="R19" s="88" t="str">
        <f>HYPERLINK("https://seesuite.uga.edu/wp-content/uploads/2021/01/ADPR-5750_Habitat-Final-Report.pdf")</f>
        <v>https://seesuite.uga.edu/wp-content/uploads/2021/01/ADPR-5750_Habitat-Final-Report.pdf</v>
      </c>
      <c r="S19" s="85" t="s">
        <v>242</v>
      </c>
      <c r="T19" s="85" t="s">
        <v>244</v>
      </c>
      <c r="U19" s="88" t="str">
        <f>HYPERLINK("https://pbs.twimg.com/media/EruxeqBXYAAzMFa.jpg")</f>
        <v>https://pbs.twimg.com/media/EruxeqBXYAAzMFa.jpg</v>
      </c>
      <c r="V19" s="88" t="str">
        <f>HYPERLINK("https://pbs.twimg.com/media/EruxeqBXYAAzMFa.jpg")</f>
        <v>https://pbs.twimg.com/media/EruxeqBXYAAzMFa.jpg</v>
      </c>
      <c r="W19" s="87">
        <v>44210.99655092593</v>
      </c>
      <c r="X19" s="91">
        <v>44210</v>
      </c>
      <c r="Y19" s="93" t="s">
        <v>248</v>
      </c>
      <c r="Z19" s="88" t="str">
        <f>HYPERLINK("https://twitter.com/#!/seesuiteuga/status/1349867654832676868")</f>
        <v>https://twitter.com/#!/seesuiteuga/status/1349867654832676868</v>
      </c>
      <c r="AA19" s="85"/>
      <c r="AB19" s="85"/>
      <c r="AC19" s="93" t="s">
        <v>259</v>
      </c>
      <c r="AD19" s="85"/>
      <c r="AE19" s="85" t="b">
        <v>0</v>
      </c>
      <c r="AF19" s="85">
        <v>0</v>
      </c>
      <c r="AG19" s="93" t="s">
        <v>266</v>
      </c>
      <c r="AH19" s="85" t="b">
        <v>0</v>
      </c>
      <c r="AI19" s="85" t="s">
        <v>267</v>
      </c>
      <c r="AJ19" s="85"/>
      <c r="AK19" s="93" t="s">
        <v>266</v>
      </c>
      <c r="AL19" s="85" t="b">
        <v>0</v>
      </c>
      <c r="AM19" s="85">
        <v>0</v>
      </c>
      <c r="AN19" s="93" t="s">
        <v>266</v>
      </c>
      <c r="AO19" s="85" t="s">
        <v>268</v>
      </c>
      <c r="AP19" s="85" t="b">
        <v>0</v>
      </c>
      <c r="AQ19" s="93" t="s">
        <v>259</v>
      </c>
      <c r="AR19" s="85" t="s">
        <v>176</v>
      </c>
      <c r="AS19" s="85">
        <v>0</v>
      </c>
      <c r="AT19" s="85">
        <v>0</v>
      </c>
      <c r="AU19" s="85"/>
      <c r="AV19" s="85"/>
      <c r="AW19" s="85"/>
      <c r="AX19" s="85"/>
      <c r="AY19" s="85"/>
      <c r="AZ19" s="85"/>
      <c r="BA19" s="85"/>
      <c r="BB19" s="85"/>
      <c r="BC19">
        <v>11</v>
      </c>
      <c r="BD19" s="84" t="str">
        <f>REPLACE(INDEX(GroupVertices[Group],MATCH(Edges[[#This Row],[Vertex 1]],GroupVertices[Vertex],0)),1,1,"")</f>
        <v>1</v>
      </c>
      <c r="BE19" s="84" t="str">
        <f>REPLACE(INDEX(GroupVertices[Group],MATCH(Edges[[#This Row],[Vertex 2]],GroupVertices[Vertex],0)),1,1,"")</f>
        <v>1</v>
      </c>
    </row>
    <row r="20" spans="1:57" ht="45">
      <c r="A20" s="83" t="s">
        <v>214</v>
      </c>
      <c r="B20" s="83" t="s">
        <v>224</v>
      </c>
      <c r="C20" s="54" t="s">
        <v>408</v>
      </c>
      <c r="D20" s="55">
        <v>3</v>
      </c>
      <c r="E20" s="67" t="s">
        <v>136</v>
      </c>
      <c r="F20" s="56">
        <v>35</v>
      </c>
      <c r="G20" s="54"/>
      <c r="H20" s="58"/>
      <c r="I20" s="57"/>
      <c r="J20" s="57"/>
      <c r="K20" s="36" t="s">
        <v>65</v>
      </c>
      <c r="L20" s="82">
        <v>20</v>
      </c>
      <c r="M20" s="82"/>
      <c r="N20" s="64"/>
      <c r="O20" s="85" t="s">
        <v>227</v>
      </c>
      <c r="P20" s="87">
        <v>44211.75141203704</v>
      </c>
      <c r="Q20" s="85" t="s">
        <v>236</v>
      </c>
      <c r="R20" s="88" t="str">
        <f>HYPERLINK("https://seesuite.uga.edu/wp-content/uploads/2020/12/5750_FinalRerport_HRC.pdf")</f>
        <v>https://seesuite.uga.edu/wp-content/uploads/2020/12/5750_FinalRerport_HRC.pdf</v>
      </c>
      <c r="S20" s="85" t="s">
        <v>242</v>
      </c>
      <c r="T20" s="85" t="s">
        <v>243</v>
      </c>
      <c r="U20" s="88" t="str">
        <f>HYPERLINK("https://pbs.twimg.com/media/EryqRafXAAUGglW.png")</f>
        <v>https://pbs.twimg.com/media/EryqRafXAAUGglW.png</v>
      </c>
      <c r="V20" s="88" t="str">
        <f>HYPERLINK("https://pbs.twimg.com/media/EryqRafXAAUGglW.png")</f>
        <v>https://pbs.twimg.com/media/EryqRafXAAUGglW.png</v>
      </c>
      <c r="W20" s="87">
        <v>44211.75141203704</v>
      </c>
      <c r="X20" s="91">
        <v>44211</v>
      </c>
      <c r="Y20" s="93" t="s">
        <v>247</v>
      </c>
      <c r="Z20" s="88" t="str">
        <f>HYPERLINK("https://twitter.com/#!/seesuiteuga/status/1350141205770870785")</f>
        <v>https://twitter.com/#!/seesuiteuga/status/1350141205770870785</v>
      </c>
      <c r="AA20" s="85"/>
      <c r="AB20" s="85"/>
      <c r="AC20" s="93" t="s">
        <v>260</v>
      </c>
      <c r="AD20" s="85"/>
      <c r="AE20" s="85" t="b">
        <v>0</v>
      </c>
      <c r="AF20" s="85">
        <v>1</v>
      </c>
      <c r="AG20" s="93" t="s">
        <v>266</v>
      </c>
      <c r="AH20" s="85" t="b">
        <v>0</v>
      </c>
      <c r="AI20" s="85" t="s">
        <v>267</v>
      </c>
      <c r="AJ20" s="85"/>
      <c r="AK20" s="93" t="s">
        <v>266</v>
      </c>
      <c r="AL20" s="85" t="b">
        <v>0</v>
      </c>
      <c r="AM20" s="85">
        <v>0</v>
      </c>
      <c r="AN20" s="93" t="s">
        <v>266</v>
      </c>
      <c r="AO20" s="85" t="s">
        <v>268</v>
      </c>
      <c r="AP20" s="85" t="b">
        <v>0</v>
      </c>
      <c r="AQ20" s="93" t="s">
        <v>260</v>
      </c>
      <c r="AR20" s="85" t="s">
        <v>176</v>
      </c>
      <c r="AS20" s="85">
        <v>0</v>
      </c>
      <c r="AT20" s="85">
        <v>0</v>
      </c>
      <c r="AU20" s="85"/>
      <c r="AV20" s="85"/>
      <c r="AW20" s="85"/>
      <c r="AX20" s="85"/>
      <c r="AY20" s="85"/>
      <c r="AZ20" s="85"/>
      <c r="BA20" s="85"/>
      <c r="BB20" s="85"/>
      <c r="BC20">
        <v>11</v>
      </c>
      <c r="BD20" s="84" t="str">
        <f>REPLACE(INDEX(GroupVertices[Group],MATCH(Edges[[#This Row],[Vertex 1]],GroupVertices[Vertex],0)),1,1,"")</f>
        <v>1</v>
      </c>
      <c r="BE20" s="84" t="str">
        <f>REPLACE(INDEX(GroupVertices[Group],MATCH(Edges[[#This Row],[Vertex 2]],GroupVertices[Vertex],0)),1,1,"")</f>
        <v>1</v>
      </c>
    </row>
    <row r="21" spans="1:57" ht="45">
      <c r="A21" s="83" t="s">
        <v>214</v>
      </c>
      <c r="B21" s="83" t="s">
        <v>224</v>
      </c>
      <c r="C21" s="54" t="s">
        <v>408</v>
      </c>
      <c r="D21" s="55">
        <v>3</v>
      </c>
      <c r="E21" s="67" t="s">
        <v>136</v>
      </c>
      <c r="F21" s="56">
        <v>35</v>
      </c>
      <c r="G21" s="54"/>
      <c r="H21" s="58"/>
      <c r="I21" s="57"/>
      <c r="J21" s="57"/>
      <c r="K21" s="36" t="s">
        <v>65</v>
      </c>
      <c r="L21" s="82">
        <v>21</v>
      </c>
      <c r="M21" s="82"/>
      <c r="N21" s="64"/>
      <c r="O21" s="85" t="s">
        <v>227</v>
      </c>
      <c r="P21" s="87">
        <v>44211.90416666667</v>
      </c>
      <c r="Q21" s="85" t="s">
        <v>237</v>
      </c>
      <c r="R21" s="88" t="str">
        <f>HYPERLINK("https://seesuite.uga.edu/wp-content/uploads/2020/12/ADPR5750_NAACP_Final-Report-1.pdf")</f>
        <v>https://seesuite.uga.edu/wp-content/uploads/2020/12/ADPR5750_NAACP_Final-Report-1.pdf</v>
      </c>
      <c r="S21" s="85" t="s">
        <v>242</v>
      </c>
      <c r="T21" s="85" t="s">
        <v>243</v>
      </c>
      <c r="U21" s="88" t="str">
        <f>HYPERLINK("https://pbs.twimg.com/media/ErzcnjPXIAYbX0E.png")</f>
        <v>https://pbs.twimg.com/media/ErzcnjPXIAYbX0E.png</v>
      </c>
      <c r="V21" s="88" t="str">
        <f>HYPERLINK("https://pbs.twimg.com/media/ErzcnjPXIAYbX0E.png")</f>
        <v>https://pbs.twimg.com/media/ErzcnjPXIAYbX0E.png</v>
      </c>
      <c r="W21" s="87">
        <v>44211.90416666667</v>
      </c>
      <c r="X21" s="91">
        <v>44211</v>
      </c>
      <c r="Y21" s="93" t="s">
        <v>250</v>
      </c>
      <c r="Z21" s="88" t="str">
        <f>HYPERLINK("https://twitter.com/#!/seesuiteuga/status/1350196562287276034")</f>
        <v>https://twitter.com/#!/seesuiteuga/status/1350196562287276034</v>
      </c>
      <c r="AA21" s="85"/>
      <c r="AB21" s="85"/>
      <c r="AC21" s="93" t="s">
        <v>261</v>
      </c>
      <c r="AD21" s="85"/>
      <c r="AE21" s="85" t="b">
        <v>0</v>
      </c>
      <c r="AF21" s="85">
        <v>0</v>
      </c>
      <c r="AG21" s="93" t="s">
        <v>266</v>
      </c>
      <c r="AH21" s="85" t="b">
        <v>0</v>
      </c>
      <c r="AI21" s="85" t="s">
        <v>267</v>
      </c>
      <c r="AJ21" s="85"/>
      <c r="AK21" s="93" t="s">
        <v>266</v>
      </c>
      <c r="AL21" s="85" t="b">
        <v>0</v>
      </c>
      <c r="AM21" s="85">
        <v>0</v>
      </c>
      <c r="AN21" s="93" t="s">
        <v>266</v>
      </c>
      <c r="AO21" s="85" t="s">
        <v>268</v>
      </c>
      <c r="AP21" s="85" t="b">
        <v>0</v>
      </c>
      <c r="AQ21" s="93" t="s">
        <v>261</v>
      </c>
      <c r="AR21" s="85" t="s">
        <v>176</v>
      </c>
      <c r="AS21" s="85">
        <v>0</v>
      </c>
      <c r="AT21" s="85">
        <v>0</v>
      </c>
      <c r="AU21" s="85"/>
      <c r="AV21" s="85"/>
      <c r="AW21" s="85"/>
      <c r="AX21" s="85"/>
      <c r="AY21" s="85"/>
      <c r="AZ21" s="85"/>
      <c r="BA21" s="85"/>
      <c r="BB21" s="85"/>
      <c r="BC21">
        <v>11</v>
      </c>
      <c r="BD21" s="84" t="str">
        <f>REPLACE(INDEX(GroupVertices[Group],MATCH(Edges[[#This Row],[Vertex 1]],GroupVertices[Vertex],0)),1,1,"")</f>
        <v>1</v>
      </c>
      <c r="BE21" s="84" t="str">
        <f>REPLACE(INDEX(GroupVertices[Group],MATCH(Edges[[#This Row],[Vertex 2]],GroupVertices[Vertex],0)),1,1,"")</f>
        <v>1</v>
      </c>
    </row>
    <row r="22" spans="1:57" ht="45">
      <c r="A22" s="83" t="s">
        <v>214</v>
      </c>
      <c r="B22" s="83" t="s">
        <v>224</v>
      </c>
      <c r="C22" s="54" t="s">
        <v>408</v>
      </c>
      <c r="D22" s="55">
        <v>3</v>
      </c>
      <c r="E22" s="67" t="s">
        <v>136</v>
      </c>
      <c r="F22" s="56">
        <v>35</v>
      </c>
      <c r="G22" s="54"/>
      <c r="H22" s="58"/>
      <c r="I22" s="57"/>
      <c r="J22" s="57"/>
      <c r="K22" s="36" t="s">
        <v>65</v>
      </c>
      <c r="L22" s="82">
        <v>22</v>
      </c>
      <c r="M22" s="82"/>
      <c r="N22" s="64"/>
      <c r="O22" s="85" t="s">
        <v>227</v>
      </c>
      <c r="P22" s="87">
        <v>44211.99655092593</v>
      </c>
      <c r="Q22" s="85" t="s">
        <v>240</v>
      </c>
      <c r="R22" s="88" t="str">
        <f>HYPERLINK("https://seesuite.uga.edu/wp-content/uploads/2021/01/ADPR-5750_MAW.pdf")</f>
        <v>https://seesuite.uga.edu/wp-content/uploads/2021/01/ADPR-5750_MAW.pdf</v>
      </c>
      <c r="S22" s="85" t="s">
        <v>242</v>
      </c>
      <c r="T22" s="85" t="s">
        <v>244</v>
      </c>
      <c r="U22" s="88" t="str">
        <f>HYPERLINK("https://pbs.twimg.com/media/Erz7ERCXAAIzt2H.png")</f>
        <v>https://pbs.twimg.com/media/Erz7ERCXAAIzt2H.png</v>
      </c>
      <c r="V22" s="88" t="str">
        <f>HYPERLINK("https://pbs.twimg.com/media/Erz7ERCXAAIzt2H.png")</f>
        <v>https://pbs.twimg.com/media/Erz7ERCXAAIzt2H.png</v>
      </c>
      <c r="W22" s="87">
        <v>44211.99655092593</v>
      </c>
      <c r="X22" s="91">
        <v>44211</v>
      </c>
      <c r="Y22" s="93" t="s">
        <v>248</v>
      </c>
      <c r="Z22" s="88" t="str">
        <f>HYPERLINK("https://twitter.com/#!/seesuiteuga/status/1350230040550797318")</f>
        <v>https://twitter.com/#!/seesuiteuga/status/1350230040550797318</v>
      </c>
      <c r="AA22" s="85"/>
      <c r="AB22" s="85"/>
      <c r="AC22" s="93" t="s">
        <v>264</v>
      </c>
      <c r="AD22" s="85"/>
      <c r="AE22" s="85" t="b">
        <v>0</v>
      </c>
      <c r="AF22" s="85">
        <v>0</v>
      </c>
      <c r="AG22" s="93" t="s">
        <v>266</v>
      </c>
      <c r="AH22" s="85" t="b">
        <v>0</v>
      </c>
      <c r="AI22" s="85" t="s">
        <v>267</v>
      </c>
      <c r="AJ22" s="85"/>
      <c r="AK22" s="93" t="s">
        <v>266</v>
      </c>
      <c r="AL22" s="85" t="b">
        <v>0</v>
      </c>
      <c r="AM22" s="85">
        <v>0</v>
      </c>
      <c r="AN22" s="93" t="s">
        <v>266</v>
      </c>
      <c r="AO22" s="85" t="s">
        <v>268</v>
      </c>
      <c r="AP22" s="85" t="b">
        <v>0</v>
      </c>
      <c r="AQ22" s="93" t="s">
        <v>264</v>
      </c>
      <c r="AR22" s="85" t="s">
        <v>176</v>
      </c>
      <c r="AS22" s="85">
        <v>0</v>
      </c>
      <c r="AT22" s="85">
        <v>0</v>
      </c>
      <c r="AU22" s="85"/>
      <c r="AV22" s="85"/>
      <c r="AW22" s="85"/>
      <c r="AX22" s="85"/>
      <c r="AY22" s="85"/>
      <c r="AZ22" s="85"/>
      <c r="BA22" s="85"/>
      <c r="BB22" s="85"/>
      <c r="BC22">
        <v>11</v>
      </c>
      <c r="BD22" s="84" t="str">
        <f>REPLACE(INDEX(GroupVertices[Group],MATCH(Edges[[#This Row],[Vertex 1]],GroupVertices[Vertex],0)),1,1,"")</f>
        <v>1</v>
      </c>
      <c r="BE22" s="84" t="str">
        <f>REPLACE(INDEX(GroupVertices[Group],MATCH(Edges[[#This Row],[Vertex 2]],GroupVertices[Vertex],0)),1,1,"")</f>
        <v>1</v>
      </c>
    </row>
    <row r="23" spans="1:57" ht="45">
      <c r="A23" s="83" t="s">
        <v>215</v>
      </c>
      <c r="B23" s="83" t="s">
        <v>214</v>
      </c>
      <c r="C23" s="54" t="s">
        <v>408</v>
      </c>
      <c r="D23" s="55">
        <v>3</v>
      </c>
      <c r="E23" s="67" t="s">
        <v>132</v>
      </c>
      <c r="F23" s="56">
        <v>35</v>
      </c>
      <c r="G23" s="54"/>
      <c r="H23" s="58"/>
      <c r="I23" s="57"/>
      <c r="J23" s="57"/>
      <c r="K23" s="36" t="s">
        <v>66</v>
      </c>
      <c r="L23" s="82">
        <v>23</v>
      </c>
      <c r="M23" s="82"/>
      <c r="N23" s="64"/>
      <c r="O23" s="85" t="s">
        <v>228</v>
      </c>
      <c r="P23" s="87">
        <v>44210.78643518518</v>
      </c>
      <c r="Q23" s="85" t="s">
        <v>241</v>
      </c>
      <c r="R23" s="85"/>
      <c r="S23" s="85"/>
      <c r="T23" s="85" t="s">
        <v>246</v>
      </c>
      <c r="U23" s="85"/>
      <c r="V23" s="88" t="str">
        <f>HYPERLINK("http://pbs.twimg.com/profile_images/1151108027329732608/eFhqzf1Y_normal.png")</f>
        <v>http://pbs.twimg.com/profile_images/1151108027329732608/eFhqzf1Y_normal.png</v>
      </c>
      <c r="W23" s="87">
        <v>44210.78643518518</v>
      </c>
      <c r="X23" s="91">
        <v>44210</v>
      </c>
      <c r="Y23" s="93" t="s">
        <v>253</v>
      </c>
      <c r="Z23" s="88" t="str">
        <f>HYPERLINK("https://twitter.com/#!/ugagrady/status/1349791508547981314")</f>
        <v>https://twitter.com/#!/ugagrady/status/1349791508547981314</v>
      </c>
      <c r="AA23" s="85"/>
      <c r="AB23" s="85"/>
      <c r="AC23" s="93" t="s">
        <v>265</v>
      </c>
      <c r="AD23" s="85"/>
      <c r="AE23" s="85" t="b">
        <v>0</v>
      </c>
      <c r="AF23" s="85">
        <v>0</v>
      </c>
      <c r="AG23" s="93" t="s">
        <v>266</v>
      </c>
      <c r="AH23" s="85" t="b">
        <v>0</v>
      </c>
      <c r="AI23" s="85" t="s">
        <v>267</v>
      </c>
      <c r="AJ23" s="85"/>
      <c r="AK23" s="93" t="s">
        <v>266</v>
      </c>
      <c r="AL23" s="85" t="b">
        <v>0</v>
      </c>
      <c r="AM23" s="85">
        <v>1</v>
      </c>
      <c r="AN23" s="93" t="s">
        <v>263</v>
      </c>
      <c r="AO23" s="85" t="s">
        <v>270</v>
      </c>
      <c r="AP23" s="85" t="b">
        <v>0</v>
      </c>
      <c r="AQ23" s="93" t="s">
        <v>263</v>
      </c>
      <c r="AR23" s="85" t="s">
        <v>176</v>
      </c>
      <c r="AS23" s="85">
        <v>0</v>
      </c>
      <c r="AT23" s="85">
        <v>0</v>
      </c>
      <c r="AU23" s="85"/>
      <c r="AV23" s="85"/>
      <c r="AW23" s="85"/>
      <c r="AX23" s="85"/>
      <c r="AY23" s="85"/>
      <c r="AZ23" s="85"/>
      <c r="BA23" s="85"/>
      <c r="BB23" s="85"/>
      <c r="BC23">
        <v>1</v>
      </c>
      <c r="BD23" s="84" t="str">
        <f>REPLACE(INDEX(GroupVertices[Group],MATCH(Edges[[#This Row],[Vertex 1]],GroupVertices[Vertex],0)),1,1,"")</f>
        <v>2</v>
      </c>
      <c r="BE23" s="84" t="str">
        <f>REPLACE(INDEX(GroupVertices[Group],MATCH(Edges[[#This Row],[Vertex 2]],GroupVertices[Vertex],0)),1,1,"")</f>
        <v>1</v>
      </c>
    </row>
    <row r="24" spans="1:57" ht="45">
      <c r="A24" s="83" t="s">
        <v>215</v>
      </c>
      <c r="B24" s="83" t="s">
        <v>214</v>
      </c>
      <c r="C24" s="54" t="s">
        <v>408</v>
      </c>
      <c r="D24" s="55">
        <v>3</v>
      </c>
      <c r="E24" s="67" t="s">
        <v>132</v>
      </c>
      <c r="F24" s="56">
        <v>35</v>
      </c>
      <c r="G24" s="54"/>
      <c r="H24" s="58"/>
      <c r="I24" s="57"/>
      <c r="J24" s="57"/>
      <c r="K24" s="36" t="s">
        <v>66</v>
      </c>
      <c r="L24" s="82">
        <v>24</v>
      </c>
      <c r="M24" s="82"/>
      <c r="N24" s="64"/>
      <c r="O24" s="85" t="s">
        <v>229</v>
      </c>
      <c r="P24" s="87">
        <v>44210.78643518518</v>
      </c>
      <c r="Q24" s="85" t="s">
        <v>241</v>
      </c>
      <c r="R24" s="85"/>
      <c r="S24" s="85"/>
      <c r="T24" s="85" t="s">
        <v>246</v>
      </c>
      <c r="U24" s="85"/>
      <c r="V24" s="88" t="str">
        <f>HYPERLINK("http://pbs.twimg.com/profile_images/1151108027329732608/eFhqzf1Y_normal.png")</f>
        <v>http://pbs.twimg.com/profile_images/1151108027329732608/eFhqzf1Y_normal.png</v>
      </c>
      <c r="W24" s="87">
        <v>44210.78643518518</v>
      </c>
      <c r="X24" s="91">
        <v>44210</v>
      </c>
      <c r="Y24" s="93" t="s">
        <v>253</v>
      </c>
      <c r="Z24" s="88" t="str">
        <f>HYPERLINK("https://twitter.com/#!/ugagrady/status/1349791508547981314")</f>
        <v>https://twitter.com/#!/ugagrady/status/1349791508547981314</v>
      </c>
      <c r="AA24" s="85"/>
      <c r="AB24" s="85"/>
      <c r="AC24" s="93" t="s">
        <v>265</v>
      </c>
      <c r="AD24" s="85"/>
      <c r="AE24" s="85" t="b">
        <v>0</v>
      </c>
      <c r="AF24" s="85">
        <v>0</v>
      </c>
      <c r="AG24" s="93" t="s">
        <v>266</v>
      </c>
      <c r="AH24" s="85" t="b">
        <v>0</v>
      </c>
      <c r="AI24" s="85" t="s">
        <v>267</v>
      </c>
      <c r="AJ24" s="85"/>
      <c r="AK24" s="93" t="s">
        <v>266</v>
      </c>
      <c r="AL24" s="85" t="b">
        <v>0</v>
      </c>
      <c r="AM24" s="85">
        <v>1</v>
      </c>
      <c r="AN24" s="93" t="s">
        <v>263</v>
      </c>
      <c r="AO24" s="85" t="s">
        <v>270</v>
      </c>
      <c r="AP24" s="85" t="b">
        <v>0</v>
      </c>
      <c r="AQ24" s="93" t="s">
        <v>263</v>
      </c>
      <c r="AR24" s="85" t="s">
        <v>176</v>
      </c>
      <c r="AS24" s="85">
        <v>0</v>
      </c>
      <c r="AT24" s="85">
        <v>0</v>
      </c>
      <c r="AU24" s="85"/>
      <c r="AV24" s="85"/>
      <c r="AW24" s="85"/>
      <c r="AX24" s="85"/>
      <c r="AY24" s="85"/>
      <c r="AZ24" s="85"/>
      <c r="BA24" s="85"/>
      <c r="BB24" s="85"/>
      <c r="BC24">
        <v>1</v>
      </c>
      <c r="BD24" s="84" t="str">
        <f>REPLACE(INDEX(GroupVertices[Group],MATCH(Edges[[#This Row],[Vertex 1]],GroupVertices[Vertex],0)),1,1,"")</f>
        <v>2</v>
      </c>
      <c r="BE24" s="84" t="str">
        <f>REPLACE(INDEX(GroupVertices[Group],MATCH(Edges[[#This Row],[Vertex 2]],GroupVertices[Vertex],0)),1,1,"")</f>
        <v>1</v>
      </c>
    </row>
    <row r="25" spans="1:57" ht="45">
      <c r="A25" s="83" t="s">
        <v>214</v>
      </c>
      <c r="B25" s="83" t="s">
        <v>215</v>
      </c>
      <c r="C25" s="54" t="s">
        <v>408</v>
      </c>
      <c r="D25" s="55">
        <v>3</v>
      </c>
      <c r="E25" s="67" t="s">
        <v>136</v>
      </c>
      <c r="F25" s="56">
        <v>35</v>
      </c>
      <c r="G25" s="54"/>
      <c r="H25" s="58"/>
      <c r="I25" s="57"/>
      <c r="J25" s="57"/>
      <c r="K25" s="36" t="s">
        <v>66</v>
      </c>
      <c r="L25" s="82">
        <v>25</v>
      </c>
      <c r="M25" s="82"/>
      <c r="N25" s="64"/>
      <c r="O25" s="85" t="s">
        <v>227</v>
      </c>
      <c r="P25" s="87">
        <v>44207.9965625</v>
      </c>
      <c r="Q25" s="85" t="s">
        <v>238</v>
      </c>
      <c r="R25" s="88" t="str">
        <f>HYPERLINK("https://seesuite.uga.edu/wp-content/uploads/2020/12/5750_FinalRerport_ARC.pdf")</f>
        <v>https://seesuite.uga.edu/wp-content/uploads/2020/12/5750_FinalRerport_ARC.pdf</v>
      </c>
      <c r="S25" s="85" t="s">
        <v>242</v>
      </c>
      <c r="T25" s="85" t="s">
        <v>245</v>
      </c>
      <c r="U25" s="88" t="str">
        <f>HYPERLINK("https://pbs.twimg.com/media/ErfUtdnXcAISNul.jpg")</f>
        <v>https://pbs.twimg.com/media/ErfUtdnXcAISNul.jpg</v>
      </c>
      <c r="V25" s="88" t="str">
        <f>HYPERLINK("https://pbs.twimg.com/media/ErfUtdnXcAISNul.jpg")</f>
        <v>https://pbs.twimg.com/media/ErfUtdnXcAISNul.jpg</v>
      </c>
      <c r="W25" s="87">
        <v>44207.9965625</v>
      </c>
      <c r="X25" s="91">
        <v>44207</v>
      </c>
      <c r="Y25" s="93" t="s">
        <v>251</v>
      </c>
      <c r="Z25" s="88" t="str">
        <f>HYPERLINK("https://twitter.com/#!/seesuiteuga/status/1348780492271792131")</f>
        <v>https://twitter.com/#!/seesuiteuga/status/1348780492271792131</v>
      </c>
      <c r="AA25" s="85"/>
      <c r="AB25" s="85"/>
      <c r="AC25" s="93" t="s">
        <v>262</v>
      </c>
      <c r="AD25" s="85"/>
      <c r="AE25" s="85" t="b">
        <v>0</v>
      </c>
      <c r="AF25" s="85">
        <v>0</v>
      </c>
      <c r="AG25" s="93" t="s">
        <v>266</v>
      </c>
      <c r="AH25" s="85" t="b">
        <v>0</v>
      </c>
      <c r="AI25" s="85" t="s">
        <v>267</v>
      </c>
      <c r="AJ25" s="85"/>
      <c r="AK25" s="93" t="s">
        <v>266</v>
      </c>
      <c r="AL25" s="85" t="b">
        <v>0</v>
      </c>
      <c r="AM25" s="85">
        <v>0</v>
      </c>
      <c r="AN25" s="93" t="s">
        <v>266</v>
      </c>
      <c r="AO25" s="85" t="s">
        <v>268</v>
      </c>
      <c r="AP25" s="85" t="b">
        <v>0</v>
      </c>
      <c r="AQ25" s="93" t="s">
        <v>262</v>
      </c>
      <c r="AR25" s="85" t="s">
        <v>176</v>
      </c>
      <c r="AS25" s="85">
        <v>0</v>
      </c>
      <c r="AT25" s="85">
        <v>0</v>
      </c>
      <c r="AU25" s="85"/>
      <c r="AV25" s="85"/>
      <c r="AW25" s="85"/>
      <c r="AX25" s="85"/>
      <c r="AY25" s="85"/>
      <c r="AZ25" s="85"/>
      <c r="BA25" s="85"/>
      <c r="BB25" s="85"/>
      <c r="BC25">
        <v>11</v>
      </c>
      <c r="BD25" s="84" t="str">
        <f>REPLACE(INDEX(GroupVertices[Group],MATCH(Edges[[#This Row],[Vertex 1]],GroupVertices[Vertex],0)),1,1,"")</f>
        <v>1</v>
      </c>
      <c r="BE25" s="84" t="str">
        <f>REPLACE(INDEX(GroupVertices[Group],MATCH(Edges[[#This Row],[Vertex 2]],GroupVertices[Vertex],0)),1,1,"")</f>
        <v>2</v>
      </c>
    </row>
    <row r="26" spans="1:57" ht="45">
      <c r="A26" s="83" t="s">
        <v>214</v>
      </c>
      <c r="B26" s="83" t="s">
        <v>215</v>
      </c>
      <c r="C26" s="54" t="s">
        <v>408</v>
      </c>
      <c r="D26" s="55">
        <v>3</v>
      </c>
      <c r="E26" s="67" t="s">
        <v>136</v>
      </c>
      <c r="F26" s="56">
        <v>35</v>
      </c>
      <c r="G26" s="54"/>
      <c r="H26" s="58"/>
      <c r="I26" s="57"/>
      <c r="J26" s="57"/>
      <c r="K26" s="36" t="s">
        <v>66</v>
      </c>
      <c r="L26" s="82">
        <v>26</v>
      </c>
      <c r="M26" s="82"/>
      <c r="N26" s="64"/>
      <c r="O26" s="85" t="s">
        <v>227</v>
      </c>
      <c r="P26" s="87">
        <v>44208.75141203704</v>
      </c>
      <c r="Q26" s="85" t="s">
        <v>230</v>
      </c>
      <c r="R26" s="88" t="str">
        <f>HYPERLINK("https://seesuite.uga.edu/wp-content/uploads/2021/01/ADPR-5750_CHOA-Final-Assignment.pdf")</f>
        <v>https://seesuite.uga.edu/wp-content/uploads/2021/01/ADPR-5750_CHOA-Final-Assignment.pdf</v>
      </c>
      <c r="S26" s="85" t="s">
        <v>242</v>
      </c>
      <c r="T26" s="85" t="s">
        <v>243</v>
      </c>
      <c r="U26" s="88" t="str">
        <f>HYPERLINK("https://pbs.twimg.com/media/ErjNgC_W4AM3GEk.png")</f>
        <v>https://pbs.twimg.com/media/ErjNgC_W4AM3GEk.png</v>
      </c>
      <c r="V26" s="88" t="str">
        <f>HYPERLINK("https://pbs.twimg.com/media/ErjNgC_W4AM3GEk.png")</f>
        <v>https://pbs.twimg.com/media/ErjNgC_W4AM3GEk.png</v>
      </c>
      <c r="W26" s="87">
        <v>44208.75141203704</v>
      </c>
      <c r="X26" s="91">
        <v>44208</v>
      </c>
      <c r="Y26" s="93" t="s">
        <v>247</v>
      </c>
      <c r="Z26" s="88" t="str">
        <f>HYPERLINK("https://twitter.com/#!/seesuiteuga/status/1349054040278183937")</f>
        <v>https://twitter.com/#!/seesuiteuga/status/1349054040278183937</v>
      </c>
      <c r="AA26" s="85"/>
      <c r="AB26" s="85"/>
      <c r="AC26" s="93" t="s">
        <v>254</v>
      </c>
      <c r="AD26" s="85"/>
      <c r="AE26" s="85" t="b">
        <v>0</v>
      </c>
      <c r="AF26" s="85">
        <v>0</v>
      </c>
      <c r="AG26" s="93" t="s">
        <v>266</v>
      </c>
      <c r="AH26" s="85" t="b">
        <v>0</v>
      </c>
      <c r="AI26" s="85" t="s">
        <v>267</v>
      </c>
      <c r="AJ26" s="85"/>
      <c r="AK26" s="93" t="s">
        <v>266</v>
      </c>
      <c r="AL26" s="85" t="b">
        <v>0</v>
      </c>
      <c r="AM26" s="85">
        <v>0</v>
      </c>
      <c r="AN26" s="93" t="s">
        <v>266</v>
      </c>
      <c r="AO26" s="85" t="s">
        <v>268</v>
      </c>
      <c r="AP26" s="85" t="b">
        <v>0</v>
      </c>
      <c r="AQ26" s="93" t="s">
        <v>254</v>
      </c>
      <c r="AR26" s="85" t="s">
        <v>176</v>
      </c>
      <c r="AS26" s="85">
        <v>0</v>
      </c>
      <c r="AT26" s="85">
        <v>0</v>
      </c>
      <c r="AU26" s="85"/>
      <c r="AV26" s="85"/>
      <c r="AW26" s="85"/>
      <c r="AX26" s="85"/>
      <c r="AY26" s="85"/>
      <c r="AZ26" s="85"/>
      <c r="BA26" s="85"/>
      <c r="BB26" s="85"/>
      <c r="BC26">
        <v>11</v>
      </c>
      <c r="BD26" s="84" t="str">
        <f>REPLACE(INDEX(GroupVertices[Group],MATCH(Edges[[#This Row],[Vertex 1]],GroupVertices[Vertex],0)),1,1,"")</f>
        <v>1</v>
      </c>
      <c r="BE26" s="84" t="str">
        <f>REPLACE(INDEX(GroupVertices[Group],MATCH(Edges[[#This Row],[Vertex 2]],GroupVertices[Vertex],0)),1,1,"")</f>
        <v>2</v>
      </c>
    </row>
    <row r="27" spans="1:57" ht="45">
      <c r="A27" s="83" t="s">
        <v>214</v>
      </c>
      <c r="B27" s="83" t="s">
        <v>215</v>
      </c>
      <c r="C27" s="54" t="s">
        <v>408</v>
      </c>
      <c r="D27" s="55">
        <v>3</v>
      </c>
      <c r="E27" s="67" t="s">
        <v>136</v>
      </c>
      <c r="F27" s="56">
        <v>35</v>
      </c>
      <c r="G27" s="54"/>
      <c r="H27" s="58"/>
      <c r="I27" s="57"/>
      <c r="J27" s="57"/>
      <c r="K27" s="36" t="s">
        <v>66</v>
      </c>
      <c r="L27" s="82">
        <v>27</v>
      </c>
      <c r="M27" s="82"/>
      <c r="N27" s="64"/>
      <c r="O27" s="85" t="s">
        <v>227</v>
      </c>
      <c r="P27" s="87">
        <v>44208.99655092593</v>
      </c>
      <c r="Q27" s="85" t="s">
        <v>231</v>
      </c>
      <c r="R27" s="88" t="str">
        <f>HYPERLINK("https://seesuite.uga.edu/wp-content/uploads/2020/12/ADPR5750_FFA_Final-Report.pdf")</f>
        <v>https://seesuite.uga.edu/wp-content/uploads/2020/12/ADPR5750_FFA_Final-Report.pdf</v>
      </c>
      <c r="S27" s="85" t="s">
        <v>242</v>
      </c>
      <c r="T27" s="85" t="s">
        <v>243</v>
      </c>
      <c r="U27" s="88" t="str">
        <f>HYPERLINK("https://pbs.twimg.com/media/ErkeTFGW4AA6HUn.png")</f>
        <v>https://pbs.twimg.com/media/ErkeTFGW4AA6HUn.png</v>
      </c>
      <c r="V27" s="88" t="str">
        <f>HYPERLINK("https://pbs.twimg.com/media/ErkeTFGW4AA6HUn.png")</f>
        <v>https://pbs.twimg.com/media/ErkeTFGW4AA6HUn.png</v>
      </c>
      <c r="W27" s="87">
        <v>44208.99655092593</v>
      </c>
      <c r="X27" s="91">
        <v>44208</v>
      </c>
      <c r="Y27" s="93" t="s">
        <v>248</v>
      </c>
      <c r="Z27" s="88" t="str">
        <f>HYPERLINK("https://twitter.com/#!/seesuiteuga/status/1349142877750886402")</f>
        <v>https://twitter.com/#!/seesuiteuga/status/1349142877750886402</v>
      </c>
      <c r="AA27" s="85"/>
      <c r="AB27" s="85"/>
      <c r="AC27" s="93" t="s">
        <v>255</v>
      </c>
      <c r="AD27" s="85"/>
      <c r="AE27" s="85" t="b">
        <v>0</v>
      </c>
      <c r="AF27" s="85">
        <v>0</v>
      </c>
      <c r="AG27" s="93" t="s">
        <v>266</v>
      </c>
      <c r="AH27" s="85" t="b">
        <v>0</v>
      </c>
      <c r="AI27" s="85" t="s">
        <v>267</v>
      </c>
      <c r="AJ27" s="85"/>
      <c r="AK27" s="93" t="s">
        <v>266</v>
      </c>
      <c r="AL27" s="85" t="b">
        <v>0</v>
      </c>
      <c r="AM27" s="85">
        <v>0</v>
      </c>
      <c r="AN27" s="93" t="s">
        <v>266</v>
      </c>
      <c r="AO27" s="85" t="s">
        <v>268</v>
      </c>
      <c r="AP27" s="85" t="b">
        <v>0</v>
      </c>
      <c r="AQ27" s="93" t="s">
        <v>255</v>
      </c>
      <c r="AR27" s="85" t="s">
        <v>176</v>
      </c>
      <c r="AS27" s="85">
        <v>0</v>
      </c>
      <c r="AT27" s="85">
        <v>0</v>
      </c>
      <c r="AU27" s="85"/>
      <c r="AV27" s="85"/>
      <c r="AW27" s="85"/>
      <c r="AX27" s="85"/>
      <c r="AY27" s="85"/>
      <c r="AZ27" s="85"/>
      <c r="BA27" s="85"/>
      <c r="BB27" s="85"/>
      <c r="BC27">
        <v>11</v>
      </c>
      <c r="BD27" s="84" t="str">
        <f>REPLACE(INDEX(GroupVertices[Group],MATCH(Edges[[#This Row],[Vertex 1]],GroupVertices[Vertex],0)),1,1,"")</f>
        <v>1</v>
      </c>
      <c r="BE27" s="84" t="str">
        <f>REPLACE(INDEX(GroupVertices[Group],MATCH(Edges[[#This Row],[Vertex 2]],GroupVertices[Vertex],0)),1,1,"")</f>
        <v>2</v>
      </c>
    </row>
    <row r="28" spans="1:57" ht="45">
      <c r="A28" s="83" t="s">
        <v>214</v>
      </c>
      <c r="B28" s="83" t="s">
        <v>215</v>
      </c>
      <c r="C28" s="54" t="s">
        <v>408</v>
      </c>
      <c r="D28" s="55">
        <v>3</v>
      </c>
      <c r="E28" s="67" t="s">
        <v>136</v>
      </c>
      <c r="F28" s="56">
        <v>35</v>
      </c>
      <c r="G28" s="54"/>
      <c r="H28" s="58"/>
      <c r="I28" s="57"/>
      <c r="J28" s="57"/>
      <c r="K28" s="36" t="s">
        <v>66</v>
      </c>
      <c r="L28" s="82">
        <v>28</v>
      </c>
      <c r="M28" s="82"/>
      <c r="N28" s="64"/>
      <c r="O28" s="85" t="s">
        <v>227</v>
      </c>
      <c r="P28" s="87">
        <v>44209.751435185186</v>
      </c>
      <c r="Q28" s="85" t="s">
        <v>232</v>
      </c>
      <c r="R28" s="88" t="str">
        <f>HYPERLINK("https://seesuite.uga.edu/wp-content/uploads/2020/12/7750-Final_Feeding_America.pdf")</f>
        <v>https://seesuite.uga.edu/wp-content/uploads/2020/12/7750-Final_Feeding_America.pdf</v>
      </c>
      <c r="S28" s="85" t="s">
        <v>242</v>
      </c>
      <c r="T28" s="85" t="s">
        <v>243</v>
      </c>
      <c r="U28" s="88" t="str">
        <f>HYPERLINK("https://pbs.twimg.com/media/EroXGVQWMAQrOWe.png")</f>
        <v>https://pbs.twimg.com/media/EroXGVQWMAQrOWe.png</v>
      </c>
      <c r="V28" s="88" t="str">
        <f>HYPERLINK("https://pbs.twimg.com/media/EroXGVQWMAQrOWe.png")</f>
        <v>https://pbs.twimg.com/media/EroXGVQWMAQrOWe.png</v>
      </c>
      <c r="W28" s="87">
        <v>44209.751435185186</v>
      </c>
      <c r="X28" s="91">
        <v>44209</v>
      </c>
      <c r="Y28" s="93" t="s">
        <v>249</v>
      </c>
      <c r="Z28" s="88" t="str">
        <f>HYPERLINK("https://twitter.com/#!/seesuiteuga/status/1349416437425823747")</f>
        <v>https://twitter.com/#!/seesuiteuga/status/1349416437425823747</v>
      </c>
      <c r="AA28" s="85"/>
      <c r="AB28" s="85"/>
      <c r="AC28" s="93" t="s">
        <v>256</v>
      </c>
      <c r="AD28" s="85"/>
      <c r="AE28" s="85" t="b">
        <v>0</v>
      </c>
      <c r="AF28" s="85">
        <v>1</v>
      </c>
      <c r="AG28" s="93" t="s">
        <v>266</v>
      </c>
      <c r="AH28" s="85" t="b">
        <v>0</v>
      </c>
      <c r="AI28" s="85" t="s">
        <v>267</v>
      </c>
      <c r="AJ28" s="85"/>
      <c r="AK28" s="93" t="s">
        <v>266</v>
      </c>
      <c r="AL28" s="85" t="b">
        <v>0</v>
      </c>
      <c r="AM28" s="85">
        <v>0</v>
      </c>
      <c r="AN28" s="93" t="s">
        <v>266</v>
      </c>
      <c r="AO28" s="85" t="s">
        <v>268</v>
      </c>
      <c r="AP28" s="85" t="b">
        <v>0</v>
      </c>
      <c r="AQ28" s="93" t="s">
        <v>256</v>
      </c>
      <c r="AR28" s="85" t="s">
        <v>176</v>
      </c>
      <c r="AS28" s="85">
        <v>0</v>
      </c>
      <c r="AT28" s="85">
        <v>0</v>
      </c>
      <c r="AU28" s="85"/>
      <c r="AV28" s="85"/>
      <c r="AW28" s="85"/>
      <c r="AX28" s="85"/>
      <c r="AY28" s="85"/>
      <c r="AZ28" s="85"/>
      <c r="BA28" s="85"/>
      <c r="BB28" s="85"/>
      <c r="BC28">
        <v>11</v>
      </c>
      <c r="BD28" s="84" t="str">
        <f>REPLACE(INDEX(GroupVertices[Group],MATCH(Edges[[#This Row],[Vertex 1]],GroupVertices[Vertex],0)),1,1,"")</f>
        <v>1</v>
      </c>
      <c r="BE28" s="84" t="str">
        <f>REPLACE(INDEX(GroupVertices[Group],MATCH(Edges[[#This Row],[Vertex 2]],GroupVertices[Vertex],0)),1,1,"")</f>
        <v>2</v>
      </c>
    </row>
    <row r="29" spans="1:57" ht="45">
      <c r="A29" s="83" t="s">
        <v>214</v>
      </c>
      <c r="B29" s="83" t="s">
        <v>215</v>
      </c>
      <c r="C29" s="54" t="s">
        <v>408</v>
      </c>
      <c r="D29" s="55">
        <v>3</v>
      </c>
      <c r="E29" s="67" t="s">
        <v>136</v>
      </c>
      <c r="F29" s="56">
        <v>35</v>
      </c>
      <c r="G29" s="54"/>
      <c r="H29" s="58"/>
      <c r="I29" s="57"/>
      <c r="J29" s="57"/>
      <c r="K29" s="36" t="s">
        <v>66</v>
      </c>
      <c r="L29" s="82">
        <v>29</v>
      </c>
      <c r="M29" s="82"/>
      <c r="N29" s="64"/>
      <c r="O29" s="85" t="s">
        <v>227</v>
      </c>
      <c r="P29" s="87">
        <v>44209.99655092593</v>
      </c>
      <c r="Q29" s="85" t="s">
        <v>233</v>
      </c>
      <c r="R29" s="88" t="str">
        <f>HYPERLINK("https://seesuite.uga.edu/wp-content/uploads/2021/01/7750_FinalReport_GirlScoutsofAmerica.pdf")</f>
        <v>https://seesuite.uga.edu/wp-content/uploads/2021/01/7750_FinalReport_GirlScoutsofAmerica.pdf</v>
      </c>
      <c r="S29" s="85" t="s">
        <v>242</v>
      </c>
      <c r="T29" s="85" t="s">
        <v>244</v>
      </c>
      <c r="U29" s="88" t="str">
        <f>HYPERLINK("https://pbs.twimg.com/media/Erpn42SW8AE46if.png")</f>
        <v>https://pbs.twimg.com/media/Erpn42SW8AE46if.png</v>
      </c>
      <c r="V29" s="88" t="str">
        <f>HYPERLINK("https://pbs.twimg.com/media/Erpn42SW8AE46if.png")</f>
        <v>https://pbs.twimg.com/media/Erpn42SW8AE46if.png</v>
      </c>
      <c r="W29" s="87">
        <v>44209.99655092593</v>
      </c>
      <c r="X29" s="91">
        <v>44209</v>
      </c>
      <c r="Y29" s="93" t="s">
        <v>248</v>
      </c>
      <c r="Z29" s="88" t="str">
        <f>HYPERLINK("https://twitter.com/#!/seesuiteuga/status/1349505265939447808")</f>
        <v>https://twitter.com/#!/seesuiteuga/status/1349505265939447808</v>
      </c>
      <c r="AA29" s="85"/>
      <c r="AB29" s="85"/>
      <c r="AC29" s="93" t="s">
        <v>257</v>
      </c>
      <c r="AD29" s="85"/>
      <c r="AE29" s="85" t="b">
        <v>0</v>
      </c>
      <c r="AF29" s="85">
        <v>3</v>
      </c>
      <c r="AG29" s="93" t="s">
        <v>266</v>
      </c>
      <c r="AH29" s="85" t="b">
        <v>0</v>
      </c>
      <c r="AI29" s="85" t="s">
        <v>267</v>
      </c>
      <c r="AJ29" s="85"/>
      <c r="AK29" s="93" t="s">
        <v>266</v>
      </c>
      <c r="AL29" s="85" t="b">
        <v>0</v>
      </c>
      <c r="AM29" s="85">
        <v>0</v>
      </c>
      <c r="AN29" s="93" t="s">
        <v>266</v>
      </c>
      <c r="AO29" s="85" t="s">
        <v>268</v>
      </c>
      <c r="AP29" s="85" t="b">
        <v>0</v>
      </c>
      <c r="AQ29" s="93" t="s">
        <v>257</v>
      </c>
      <c r="AR29" s="85" t="s">
        <v>176</v>
      </c>
      <c r="AS29" s="85">
        <v>0</v>
      </c>
      <c r="AT29" s="85">
        <v>0</v>
      </c>
      <c r="AU29" s="85"/>
      <c r="AV29" s="85"/>
      <c r="AW29" s="85"/>
      <c r="AX29" s="85"/>
      <c r="AY29" s="85"/>
      <c r="AZ29" s="85"/>
      <c r="BA29" s="85"/>
      <c r="BB29" s="85"/>
      <c r="BC29">
        <v>11</v>
      </c>
      <c r="BD29" s="84" t="str">
        <f>REPLACE(INDEX(GroupVertices[Group],MATCH(Edges[[#This Row],[Vertex 1]],GroupVertices[Vertex],0)),1,1,"")</f>
        <v>1</v>
      </c>
      <c r="BE29" s="84" t="str">
        <f>REPLACE(INDEX(GroupVertices[Group],MATCH(Edges[[#This Row],[Vertex 2]],GroupVertices[Vertex],0)),1,1,"")</f>
        <v>2</v>
      </c>
    </row>
    <row r="30" spans="1:57" ht="45">
      <c r="A30" s="83" t="s">
        <v>214</v>
      </c>
      <c r="B30" s="83" t="s">
        <v>215</v>
      </c>
      <c r="C30" s="54" t="s">
        <v>408</v>
      </c>
      <c r="D30" s="55">
        <v>3</v>
      </c>
      <c r="E30" s="67" t="s">
        <v>136</v>
      </c>
      <c r="F30" s="56">
        <v>35</v>
      </c>
      <c r="G30" s="54"/>
      <c r="H30" s="58"/>
      <c r="I30" s="57"/>
      <c r="J30" s="57"/>
      <c r="K30" s="36" t="s">
        <v>66</v>
      </c>
      <c r="L30" s="82">
        <v>30</v>
      </c>
      <c r="M30" s="82"/>
      <c r="N30" s="64"/>
      <c r="O30" s="85" t="s">
        <v>227</v>
      </c>
      <c r="P30" s="87">
        <v>44210.75141203704</v>
      </c>
      <c r="Q30" s="85" t="s">
        <v>234</v>
      </c>
      <c r="R30" s="88" t="str">
        <f>HYPERLINK("https://seesuite.uga.edu/wp-content/uploads/2020/12/5750_FinalRerport_Greepeace.pdf")</f>
        <v>https://seesuite.uga.edu/wp-content/uploads/2020/12/5750_FinalRerport_Greepeace.pdf</v>
      </c>
      <c r="S30" s="85" t="s">
        <v>242</v>
      </c>
      <c r="T30" s="85" t="s">
        <v>243</v>
      </c>
      <c r="U30" s="88" t="str">
        <f>HYPERLINK("https://pbs.twimg.com/media/ErtgrmAW4AUrUwg.jpg")</f>
        <v>https://pbs.twimg.com/media/ErtgrmAW4AUrUwg.jpg</v>
      </c>
      <c r="V30" s="88" t="str">
        <f>HYPERLINK("https://pbs.twimg.com/media/ErtgrmAW4AUrUwg.jpg")</f>
        <v>https://pbs.twimg.com/media/ErtgrmAW4AUrUwg.jpg</v>
      </c>
      <c r="W30" s="87">
        <v>44210.75141203704</v>
      </c>
      <c r="X30" s="91">
        <v>44210</v>
      </c>
      <c r="Y30" s="93" t="s">
        <v>247</v>
      </c>
      <c r="Z30" s="88" t="str">
        <f>HYPERLINK("https://twitter.com/#!/seesuiteuga/status/1349778816839901186")</f>
        <v>https://twitter.com/#!/seesuiteuga/status/1349778816839901186</v>
      </c>
      <c r="AA30" s="85"/>
      <c r="AB30" s="85"/>
      <c r="AC30" s="93" t="s">
        <v>258</v>
      </c>
      <c r="AD30" s="85"/>
      <c r="AE30" s="85" t="b">
        <v>0</v>
      </c>
      <c r="AF30" s="85">
        <v>0</v>
      </c>
      <c r="AG30" s="93" t="s">
        <v>266</v>
      </c>
      <c r="AH30" s="85" t="b">
        <v>0</v>
      </c>
      <c r="AI30" s="85" t="s">
        <v>267</v>
      </c>
      <c r="AJ30" s="85"/>
      <c r="AK30" s="93" t="s">
        <v>266</v>
      </c>
      <c r="AL30" s="85" t="b">
        <v>0</v>
      </c>
      <c r="AM30" s="85">
        <v>0</v>
      </c>
      <c r="AN30" s="93" t="s">
        <v>266</v>
      </c>
      <c r="AO30" s="85" t="s">
        <v>268</v>
      </c>
      <c r="AP30" s="85" t="b">
        <v>0</v>
      </c>
      <c r="AQ30" s="93" t="s">
        <v>258</v>
      </c>
      <c r="AR30" s="85" t="s">
        <v>176</v>
      </c>
      <c r="AS30" s="85">
        <v>0</v>
      </c>
      <c r="AT30" s="85">
        <v>0</v>
      </c>
      <c r="AU30" s="85"/>
      <c r="AV30" s="85"/>
      <c r="AW30" s="85"/>
      <c r="AX30" s="85"/>
      <c r="AY30" s="85"/>
      <c r="AZ30" s="85"/>
      <c r="BA30" s="85"/>
      <c r="BB30" s="85"/>
      <c r="BC30">
        <v>11</v>
      </c>
      <c r="BD30" s="84" t="str">
        <f>REPLACE(INDEX(GroupVertices[Group],MATCH(Edges[[#This Row],[Vertex 1]],GroupVertices[Vertex],0)),1,1,"")</f>
        <v>1</v>
      </c>
      <c r="BE30" s="84" t="str">
        <f>REPLACE(INDEX(GroupVertices[Group],MATCH(Edges[[#This Row],[Vertex 2]],GroupVertices[Vertex],0)),1,1,"")</f>
        <v>2</v>
      </c>
    </row>
    <row r="31" spans="1:57" ht="45">
      <c r="A31" s="83" t="s">
        <v>214</v>
      </c>
      <c r="B31" s="83" t="s">
        <v>215</v>
      </c>
      <c r="C31" s="54" t="s">
        <v>408</v>
      </c>
      <c r="D31" s="55">
        <v>3</v>
      </c>
      <c r="E31" s="67" t="s">
        <v>136</v>
      </c>
      <c r="F31" s="56">
        <v>35</v>
      </c>
      <c r="G31" s="54"/>
      <c r="H31" s="58"/>
      <c r="I31" s="57"/>
      <c r="J31" s="57"/>
      <c r="K31" s="36" t="s">
        <v>66</v>
      </c>
      <c r="L31" s="82">
        <v>31</v>
      </c>
      <c r="M31" s="82"/>
      <c r="N31" s="64"/>
      <c r="O31" s="85" t="s">
        <v>227</v>
      </c>
      <c r="P31" s="87">
        <v>44210.76814814815</v>
      </c>
      <c r="Q31" s="85" t="s">
        <v>239</v>
      </c>
      <c r="R31" s="85"/>
      <c r="S31" s="85"/>
      <c r="T31" s="85" t="s">
        <v>246</v>
      </c>
      <c r="U31" s="88" t="str">
        <f>HYPERLINK("https://pbs.twimg.com/media/ErtlVeFXUAEUvng.jpg")</f>
        <v>https://pbs.twimg.com/media/ErtlVeFXUAEUvng.jpg</v>
      </c>
      <c r="V31" s="88" t="str">
        <f>HYPERLINK("https://pbs.twimg.com/media/ErtlVeFXUAEUvng.jpg")</f>
        <v>https://pbs.twimg.com/media/ErtlVeFXUAEUvng.jpg</v>
      </c>
      <c r="W31" s="87">
        <v>44210.76814814815</v>
      </c>
      <c r="X31" s="91">
        <v>44210</v>
      </c>
      <c r="Y31" s="93" t="s">
        <v>252</v>
      </c>
      <c r="Z31" s="88" t="str">
        <f>HYPERLINK("https://twitter.com/#!/seesuiteuga/status/1349784884173221889")</f>
        <v>https://twitter.com/#!/seesuiteuga/status/1349784884173221889</v>
      </c>
      <c r="AA31" s="85"/>
      <c r="AB31" s="85"/>
      <c r="AC31" s="93" t="s">
        <v>263</v>
      </c>
      <c r="AD31" s="85"/>
      <c r="AE31" s="85" t="b">
        <v>0</v>
      </c>
      <c r="AF31" s="85">
        <v>5</v>
      </c>
      <c r="AG31" s="93" t="s">
        <v>266</v>
      </c>
      <c r="AH31" s="85" t="b">
        <v>0</v>
      </c>
      <c r="AI31" s="85" t="s">
        <v>267</v>
      </c>
      <c r="AJ31" s="85"/>
      <c r="AK31" s="93" t="s">
        <v>266</v>
      </c>
      <c r="AL31" s="85" t="b">
        <v>0</v>
      </c>
      <c r="AM31" s="85">
        <v>1</v>
      </c>
      <c r="AN31" s="93" t="s">
        <v>266</v>
      </c>
      <c r="AO31" s="85" t="s">
        <v>269</v>
      </c>
      <c r="AP31" s="85" t="b">
        <v>0</v>
      </c>
      <c r="AQ31" s="93" t="s">
        <v>263</v>
      </c>
      <c r="AR31" s="85" t="s">
        <v>176</v>
      </c>
      <c r="AS31" s="85">
        <v>0</v>
      </c>
      <c r="AT31" s="85">
        <v>0</v>
      </c>
      <c r="AU31" s="85"/>
      <c r="AV31" s="85"/>
      <c r="AW31" s="85"/>
      <c r="AX31" s="85"/>
      <c r="AY31" s="85"/>
      <c r="AZ31" s="85"/>
      <c r="BA31" s="85"/>
      <c r="BB31" s="85"/>
      <c r="BC31">
        <v>11</v>
      </c>
      <c r="BD31" s="84" t="str">
        <f>REPLACE(INDEX(GroupVertices[Group],MATCH(Edges[[#This Row],[Vertex 1]],GroupVertices[Vertex],0)),1,1,"")</f>
        <v>1</v>
      </c>
      <c r="BE31" s="84" t="str">
        <f>REPLACE(INDEX(GroupVertices[Group],MATCH(Edges[[#This Row],[Vertex 2]],GroupVertices[Vertex],0)),1,1,"")</f>
        <v>2</v>
      </c>
    </row>
    <row r="32" spans="1:57" ht="45">
      <c r="A32" s="83" t="s">
        <v>214</v>
      </c>
      <c r="B32" s="83" t="s">
        <v>215</v>
      </c>
      <c r="C32" s="54" t="s">
        <v>408</v>
      </c>
      <c r="D32" s="55">
        <v>3</v>
      </c>
      <c r="E32" s="67" t="s">
        <v>136</v>
      </c>
      <c r="F32" s="56">
        <v>35</v>
      </c>
      <c r="G32" s="54"/>
      <c r="H32" s="58"/>
      <c r="I32" s="57"/>
      <c r="J32" s="57"/>
      <c r="K32" s="36" t="s">
        <v>66</v>
      </c>
      <c r="L32" s="82">
        <v>32</v>
      </c>
      <c r="M32" s="82"/>
      <c r="N32" s="64"/>
      <c r="O32" s="85" t="s">
        <v>227</v>
      </c>
      <c r="P32" s="87">
        <v>44210.99655092593</v>
      </c>
      <c r="Q32" s="85" t="s">
        <v>235</v>
      </c>
      <c r="R32" s="88" t="str">
        <f>HYPERLINK("https://seesuite.uga.edu/wp-content/uploads/2021/01/ADPR-5750_Habitat-Final-Report.pdf")</f>
        <v>https://seesuite.uga.edu/wp-content/uploads/2021/01/ADPR-5750_Habitat-Final-Report.pdf</v>
      </c>
      <c r="S32" s="85" t="s">
        <v>242</v>
      </c>
      <c r="T32" s="85" t="s">
        <v>244</v>
      </c>
      <c r="U32" s="88" t="str">
        <f>HYPERLINK("https://pbs.twimg.com/media/EruxeqBXYAAzMFa.jpg")</f>
        <v>https://pbs.twimg.com/media/EruxeqBXYAAzMFa.jpg</v>
      </c>
      <c r="V32" s="88" t="str">
        <f>HYPERLINK("https://pbs.twimg.com/media/EruxeqBXYAAzMFa.jpg")</f>
        <v>https://pbs.twimg.com/media/EruxeqBXYAAzMFa.jpg</v>
      </c>
      <c r="W32" s="87">
        <v>44210.99655092593</v>
      </c>
      <c r="X32" s="91">
        <v>44210</v>
      </c>
      <c r="Y32" s="93" t="s">
        <v>248</v>
      </c>
      <c r="Z32" s="88" t="str">
        <f>HYPERLINK("https://twitter.com/#!/seesuiteuga/status/1349867654832676868")</f>
        <v>https://twitter.com/#!/seesuiteuga/status/1349867654832676868</v>
      </c>
      <c r="AA32" s="85"/>
      <c r="AB32" s="85"/>
      <c r="AC32" s="93" t="s">
        <v>259</v>
      </c>
      <c r="AD32" s="85"/>
      <c r="AE32" s="85" t="b">
        <v>0</v>
      </c>
      <c r="AF32" s="85">
        <v>0</v>
      </c>
      <c r="AG32" s="93" t="s">
        <v>266</v>
      </c>
      <c r="AH32" s="85" t="b">
        <v>0</v>
      </c>
      <c r="AI32" s="85" t="s">
        <v>267</v>
      </c>
      <c r="AJ32" s="85"/>
      <c r="AK32" s="93" t="s">
        <v>266</v>
      </c>
      <c r="AL32" s="85" t="b">
        <v>0</v>
      </c>
      <c r="AM32" s="85">
        <v>0</v>
      </c>
      <c r="AN32" s="93" t="s">
        <v>266</v>
      </c>
      <c r="AO32" s="85" t="s">
        <v>268</v>
      </c>
      <c r="AP32" s="85" t="b">
        <v>0</v>
      </c>
      <c r="AQ32" s="93" t="s">
        <v>259</v>
      </c>
      <c r="AR32" s="85" t="s">
        <v>176</v>
      </c>
      <c r="AS32" s="85">
        <v>0</v>
      </c>
      <c r="AT32" s="85">
        <v>0</v>
      </c>
      <c r="AU32" s="85"/>
      <c r="AV32" s="85"/>
      <c r="AW32" s="85"/>
      <c r="AX32" s="85"/>
      <c r="AY32" s="85"/>
      <c r="AZ32" s="85"/>
      <c r="BA32" s="85"/>
      <c r="BB32" s="85"/>
      <c r="BC32">
        <v>11</v>
      </c>
      <c r="BD32" s="84" t="str">
        <f>REPLACE(INDEX(GroupVertices[Group],MATCH(Edges[[#This Row],[Vertex 1]],GroupVertices[Vertex],0)),1,1,"")</f>
        <v>1</v>
      </c>
      <c r="BE32" s="84" t="str">
        <f>REPLACE(INDEX(GroupVertices[Group],MATCH(Edges[[#This Row],[Vertex 2]],GroupVertices[Vertex],0)),1,1,"")</f>
        <v>2</v>
      </c>
    </row>
    <row r="33" spans="1:57" ht="45">
      <c r="A33" s="83" t="s">
        <v>214</v>
      </c>
      <c r="B33" s="83" t="s">
        <v>215</v>
      </c>
      <c r="C33" s="54" t="s">
        <v>408</v>
      </c>
      <c r="D33" s="55">
        <v>3</v>
      </c>
      <c r="E33" s="67" t="s">
        <v>136</v>
      </c>
      <c r="F33" s="56">
        <v>35</v>
      </c>
      <c r="G33" s="54"/>
      <c r="H33" s="58"/>
      <c r="I33" s="57"/>
      <c r="J33" s="57"/>
      <c r="K33" s="36" t="s">
        <v>66</v>
      </c>
      <c r="L33" s="82">
        <v>33</v>
      </c>
      <c r="M33" s="82"/>
      <c r="N33" s="64"/>
      <c r="O33" s="85" t="s">
        <v>227</v>
      </c>
      <c r="P33" s="87">
        <v>44211.75141203704</v>
      </c>
      <c r="Q33" s="85" t="s">
        <v>236</v>
      </c>
      <c r="R33" s="88" t="str">
        <f>HYPERLINK("https://seesuite.uga.edu/wp-content/uploads/2020/12/5750_FinalRerport_HRC.pdf")</f>
        <v>https://seesuite.uga.edu/wp-content/uploads/2020/12/5750_FinalRerport_HRC.pdf</v>
      </c>
      <c r="S33" s="85" t="s">
        <v>242</v>
      </c>
      <c r="T33" s="85" t="s">
        <v>243</v>
      </c>
      <c r="U33" s="88" t="str">
        <f>HYPERLINK("https://pbs.twimg.com/media/EryqRafXAAUGglW.png")</f>
        <v>https://pbs.twimg.com/media/EryqRafXAAUGglW.png</v>
      </c>
      <c r="V33" s="88" t="str">
        <f>HYPERLINK("https://pbs.twimg.com/media/EryqRafXAAUGglW.png")</f>
        <v>https://pbs.twimg.com/media/EryqRafXAAUGglW.png</v>
      </c>
      <c r="W33" s="87">
        <v>44211.75141203704</v>
      </c>
      <c r="X33" s="91">
        <v>44211</v>
      </c>
      <c r="Y33" s="93" t="s">
        <v>247</v>
      </c>
      <c r="Z33" s="88" t="str">
        <f>HYPERLINK("https://twitter.com/#!/seesuiteuga/status/1350141205770870785")</f>
        <v>https://twitter.com/#!/seesuiteuga/status/1350141205770870785</v>
      </c>
      <c r="AA33" s="85"/>
      <c r="AB33" s="85"/>
      <c r="AC33" s="93" t="s">
        <v>260</v>
      </c>
      <c r="AD33" s="85"/>
      <c r="AE33" s="85" t="b">
        <v>0</v>
      </c>
      <c r="AF33" s="85">
        <v>1</v>
      </c>
      <c r="AG33" s="93" t="s">
        <v>266</v>
      </c>
      <c r="AH33" s="85" t="b">
        <v>0</v>
      </c>
      <c r="AI33" s="85" t="s">
        <v>267</v>
      </c>
      <c r="AJ33" s="85"/>
      <c r="AK33" s="93" t="s">
        <v>266</v>
      </c>
      <c r="AL33" s="85" t="b">
        <v>0</v>
      </c>
      <c r="AM33" s="85">
        <v>0</v>
      </c>
      <c r="AN33" s="93" t="s">
        <v>266</v>
      </c>
      <c r="AO33" s="85" t="s">
        <v>268</v>
      </c>
      <c r="AP33" s="85" t="b">
        <v>0</v>
      </c>
      <c r="AQ33" s="93" t="s">
        <v>260</v>
      </c>
      <c r="AR33" s="85" t="s">
        <v>176</v>
      </c>
      <c r="AS33" s="85">
        <v>0</v>
      </c>
      <c r="AT33" s="85">
        <v>0</v>
      </c>
      <c r="AU33" s="85"/>
      <c r="AV33" s="85"/>
      <c r="AW33" s="85"/>
      <c r="AX33" s="85"/>
      <c r="AY33" s="85"/>
      <c r="AZ33" s="85"/>
      <c r="BA33" s="85"/>
      <c r="BB33" s="85"/>
      <c r="BC33">
        <v>11</v>
      </c>
      <c r="BD33" s="84" t="str">
        <f>REPLACE(INDEX(GroupVertices[Group],MATCH(Edges[[#This Row],[Vertex 1]],GroupVertices[Vertex],0)),1,1,"")</f>
        <v>1</v>
      </c>
      <c r="BE33" s="84" t="str">
        <f>REPLACE(INDEX(GroupVertices[Group],MATCH(Edges[[#This Row],[Vertex 2]],GroupVertices[Vertex],0)),1,1,"")</f>
        <v>2</v>
      </c>
    </row>
    <row r="34" spans="1:57" ht="45">
      <c r="A34" s="83" t="s">
        <v>214</v>
      </c>
      <c r="B34" s="83" t="s">
        <v>215</v>
      </c>
      <c r="C34" s="54" t="s">
        <v>408</v>
      </c>
      <c r="D34" s="55">
        <v>3</v>
      </c>
      <c r="E34" s="67" t="s">
        <v>136</v>
      </c>
      <c r="F34" s="56">
        <v>35</v>
      </c>
      <c r="G34" s="54"/>
      <c r="H34" s="58"/>
      <c r="I34" s="57"/>
      <c r="J34" s="57"/>
      <c r="K34" s="36" t="s">
        <v>66</v>
      </c>
      <c r="L34" s="82">
        <v>34</v>
      </c>
      <c r="M34" s="82"/>
      <c r="N34" s="64"/>
      <c r="O34" s="85" t="s">
        <v>227</v>
      </c>
      <c r="P34" s="87">
        <v>44211.90416666667</v>
      </c>
      <c r="Q34" s="85" t="s">
        <v>237</v>
      </c>
      <c r="R34" s="88" t="str">
        <f>HYPERLINK("https://seesuite.uga.edu/wp-content/uploads/2020/12/ADPR5750_NAACP_Final-Report-1.pdf")</f>
        <v>https://seesuite.uga.edu/wp-content/uploads/2020/12/ADPR5750_NAACP_Final-Report-1.pdf</v>
      </c>
      <c r="S34" s="85" t="s">
        <v>242</v>
      </c>
      <c r="T34" s="85" t="s">
        <v>243</v>
      </c>
      <c r="U34" s="88" t="str">
        <f>HYPERLINK("https://pbs.twimg.com/media/ErzcnjPXIAYbX0E.png")</f>
        <v>https://pbs.twimg.com/media/ErzcnjPXIAYbX0E.png</v>
      </c>
      <c r="V34" s="88" t="str">
        <f>HYPERLINK("https://pbs.twimg.com/media/ErzcnjPXIAYbX0E.png")</f>
        <v>https://pbs.twimg.com/media/ErzcnjPXIAYbX0E.png</v>
      </c>
      <c r="W34" s="87">
        <v>44211.90416666667</v>
      </c>
      <c r="X34" s="91">
        <v>44211</v>
      </c>
      <c r="Y34" s="93" t="s">
        <v>250</v>
      </c>
      <c r="Z34" s="88" t="str">
        <f>HYPERLINK("https://twitter.com/#!/seesuiteuga/status/1350196562287276034")</f>
        <v>https://twitter.com/#!/seesuiteuga/status/1350196562287276034</v>
      </c>
      <c r="AA34" s="85"/>
      <c r="AB34" s="85"/>
      <c r="AC34" s="93" t="s">
        <v>261</v>
      </c>
      <c r="AD34" s="85"/>
      <c r="AE34" s="85" t="b">
        <v>0</v>
      </c>
      <c r="AF34" s="85">
        <v>0</v>
      </c>
      <c r="AG34" s="93" t="s">
        <v>266</v>
      </c>
      <c r="AH34" s="85" t="b">
        <v>0</v>
      </c>
      <c r="AI34" s="85" t="s">
        <v>267</v>
      </c>
      <c r="AJ34" s="85"/>
      <c r="AK34" s="93" t="s">
        <v>266</v>
      </c>
      <c r="AL34" s="85" t="b">
        <v>0</v>
      </c>
      <c r="AM34" s="85">
        <v>0</v>
      </c>
      <c r="AN34" s="93" t="s">
        <v>266</v>
      </c>
      <c r="AO34" s="85" t="s">
        <v>268</v>
      </c>
      <c r="AP34" s="85" t="b">
        <v>0</v>
      </c>
      <c r="AQ34" s="93" t="s">
        <v>261</v>
      </c>
      <c r="AR34" s="85" t="s">
        <v>176</v>
      </c>
      <c r="AS34" s="85">
        <v>0</v>
      </c>
      <c r="AT34" s="85">
        <v>0</v>
      </c>
      <c r="AU34" s="85"/>
      <c r="AV34" s="85"/>
      <c r="AW34" s="85"/>
      <c r="AX34" s="85"/>
      <c r="AY34" s="85"/>
      <c r="AZ34" s="85"/>
      <c r="BA34" s="85"/>
      <c r="BB34" s="85"/>
      <c r="BC34">
        <v>11</v>
      </c>
      <c r="BD34" s="84" t="str">
        <f>REPLACE(INDEX(GroupVertices[Group],MATCH(Edges[[#This Row],[Vertex 1]],GroupVertices[Vertex],0)),1,1,"")</f>
        <v>1</v>
      </c>
      <c r="BE34" s="84" t="str">
        <f>REPLACE(INDEX(GroupVertices[Group],MATCH(Edges[[#This Row],[Vertex 2]],GroupVertices[Vertex],0)),1,1,"")</f>
        <v>2</v>
      </c>
    </row>
    <row r="35" spans="1:57" ht="45">
      <c r="A35" s="83" t="s">
        <v>214</v>
      </c>
      <c r="B35" s="83" t="s">
        <v>215</v>
      </c>
      <c r="C35" s="54" t="s">
        <v>408</v>
      </c>
      <c r="D35" s="55">
        <v>3</v>
      </c>
      <c r="E35" s="67" t="s">
        <v>136</v>
      </c>
      <c r="F35" s="56">
        <v>35</v>
      </c>
      <c r="G35" s="54"/>
      <c r="H35" s="58"/>
      <c r="I35" s="57"/>
      <c r="J35" s="57"/>
      <c r="K35" s="36" t="s">
        <v>66</v>
      </c>
      <c r="L35" s="82">
        <v>35</v>
      </c>
      <c r="M35" s="82"/>
      <c r="N35" s="64"/>
      <c r="O35" s="85" t="s">
        <v>227</v>
      </c>
      <c r="P35" s="87">
        <v>44211.99655092593</v>
      </c>
      <c r="Q35" s="85" t="s">
        <v>240</v>
      </c>
      <c r="R35" s="88" t="str">
        <f>HYPERLINK("https://seesuite.uga.edu/wp-content/uploads/2021/01/ADPR-5750_MAW.pdf")</f>
        <v>https://seesuite.uga.edu/wp-content/uploads/2021/01/ADPR-5750_MAW.pdf</v>
      </c>
      <c r="S35" s="85" t="s">
        <v>242</v>
      </c>
      <c r="T35" s="85" t="s">
        <v>244</v>
      </c>
      <c r="U35" s="88" t="str">
        <f>HYPERLINK("https://pbs.twimg.com/media/Erz7ERCXAAIzt2H.png")</f>
        <v>https://pbs.twimg.com/media/Erz7ERCXAAIzt2H.png</v>
      </c>
      <c r="V35" s="88" t="str">
        <f>HYPERLINK("https://pbs.twimg.com/media/Erz7ERCXAAIzt2H.png")</f>
        <v>https://pbs.twimg.com/media/Erz7ERCXAAIzt2H.png</v>
      </c>
      <c r="W35" s="87">
        <v>44211.99655092593</v>
      </c>
      <c r="X35" s="91">
        <v>44211</v>
      </c>
      <c r="Y35" s="93" t="s">
        <v>248</v>
      </c>
      <c r="Z35" s="88" t="str">
        <f>HYPERLINK("https://twitter.com/#!/seesuiteuga/status/1350230040550797318")</f>
        <v>https://twitter.com/#!/seesuiteuga/status/1350230040550797318</v>
      </c>
      <c r="AA35" s="85"/>
      <c r="AB35" s="85"/>
      <c r="AC35" s="93" t="s">
        <v>264</v>
      </c>
      <c r="AD35" s="85"/>
      <c r="AE35" s="85" t="b">
        <v>0</v>
      </c>
      <c r="AF35" s="85">
        <v>0</v>
      </c>
      <c r="AG35" s="93" t="s">
        <v>266</v>
      </c>
      <c r="AH35" s="85" t="b">
        <v>0</v>
      </c>
      <c r="AI35" s="85" t="s">
        <v>267</v>
      </c>
      <c r="AJ35" s="85"/>
      <c r="AK35" s="93" t="s">
        <v>266</v>
      </c>
      <c r="AL35" s="85" t="b">
        <v>0</v>
      </c>
      <c r="AM35" s="85">
        <v>0</v>
      </c>
      <c r="AN35" s="93" t="s">
        <v>266</v>
      </c>
      <c r="AO35" s="85" t="s">
        <v>268</v>
      </c>
      <c r="AP35" s="85" t="b">
        <v>0</v>
      </c>
      <c r="AQ35" s="93" t="s">
        <v>264</v>
      </c>
      <c r="AR35" s="85" t="s">
        <v>176</v>
      </c>
      <c r="AS35" s="85">
        <v>0</v>
      </c>
      <c r="AT35" s="85">
        <v>0</v>
      </c>
      <c r="AU35" s="85"/>
      <c r="AV35" s="85"/>
      <c r="AW35" s="85"/>
      <c r="AX35" s="85"/>
      <c r="AY35" s="85"/>
      <c r="AZ35" s="85"/>
      <c r="BA35" s="85"/>
      <c r="BB35" s="85"/>
      <c r="BC35">
        <v>11</v>
      </c>
      <c r="BD35" s="84" t="str">
        <f>REPLACE(INDEX(GroupVertices[Group],MATCH(Edges[[#This Row],[Vertex 1]],GroupVertices[Vertex],0)),1,1,"")</f>
        <v>1</v>
      </c>
      <c r="BE35" s="84" t="str">
        <f>REPLACE(INDEX(GroupVertices[Group],MATCH(Edges[[#This Row],[Vertex 2]],GroupVertices[Vertex],0)),1,1,"")</f>
        <v>2</v>
      </c>
    </row>
    <row r="36" spans="1:57" ht="45">
      <c r="A36" s="83" t="s">
        <v>214</v>
      </c>
      <c r="B36" s="83" t="s">
        <v>225</v>
      </c>
      <c r="C36" s="54" t="s">
        <v>408</v>
      </c>
      <c r="D36" s="55">
        <v>3</v>
      </c>
      <c r="E36" s="67" t="s">
        <v>132</v>
      </c>
      <c r="F36" s="56">
        <v>35</v>
      </c>
      <c r="G36" s="54"/>
      <c r="H36" s="58"/>
      <c r="I36" s="57"/>
      <c r="J36" s="57"/>
      <c r="K36" s="36" t="s">
        <v>65</v>
      </c>
      <c r="L36" s="82">
        <v>36</v>
      </c>
      <c r="M36" s="82"/>
      <c r="N36" s="64"/>
      <c r="O36" s="85" t="s">
        <v>227</v>
      </c>
      <c r="P36" s="87">
        <v>44211.99655092593</v>
      </c>
      <c r="Q36" s="85" t="s">
        <v>240</v>
      </c>
      <c r="R36" s="88" t="str">
        <f>HYPERLINK("https://seesuite.uga.edu/wp-content/uploads/2021/01/ADPR-5750_MAW.pdf")</f>
        <v>https://seesuite.uga.edu/wp-content/uploads/2021/01/ADPR-5750_MAW.pdf</v>
      </c>
      <c r="S36" s="85" t="s">
        <v>242</v>
      </c>
      <c r="T36" s="85" t="s">
        <v>244</v>
      </c>
      <c r="U36" s="88" t="str">
        <f>HYPERLINK("https://pbs.twimg.com/media/Erz7ERCXAAIzt2H.png")</f>
        <v>https://pbs.twimg.com/media/Erz7ERCXAAIzt2H.png</v>
      </c>
      <c r="V36" s="88" t="str">
        <f>HYPERLINK("https://pbs.twimg.com/media/Erz7ERCXAAIzt2H.png")</f>
        <v>https://pbs.twimg.com/media/Erz7ERCXAAIzt2H.png</v>
      </c>
      <c r="W36" s="87">
        <v>44211.99655092593</v>
      </c>
      <c r="X36" s="91">
        <v>44211</v>
      </c>
      <c r="Y36" s="93" t="s">
        <v>248</v>
      </c>
      <c r="Z36" s="88" t="str">
        <f>HYPERLINK("https://twitter.com/#!/seesuiteuga/status/1350230040550797318")</f>
        <v>https://twitter.com/#!/seesuiteuga/status/1350230040550797318</v>
      </c>
      <c r="AA36" s="85"/>
      <c r="AB36" s="85"/>
      <c r="AC36" s="93" t="s">
        <v>264</v>
      </c>
      <c r="AD36" s="85"/>
      <c r="AE36" s="85" t="b">
        <v>0</v>
      </c>
      <c r="AF36" s="85">
        <v>0</v>
      </c>
      <c r="AG36" s="93" t="s">
        <v>266</v>
      </c>
      <c r="AH36" s="85" t="b">
        <v>0</v>
      </c>
      <c r="AI36" s="85" t="s">
        <v>267</v>
      </c>
      <c r="AJ36" s="85"/>
      <c r="AK36" s="93" t="s">
        <v>266</v>
      </c>
      <c r="AL36" s="85" t="b">
        <v>0</v>
      </c>
      <c r="AM36" s="85">
        <v>0</v>
      </c>
      <c r="AN36" s="93" t="s">
        <v>266</v>
      </c>
      <c r="AO36" s="85" t="s">
        <v>268</v>
      </c>
      <c r="AP36" s="85" t="b">
        <v>0</v>
      </c>
      <c r="AQ36" s="93" t="s">
        <v>264</v>
      </c>
      <c r="AR36" s="85" t="s">
        <v>176</v>
      </c>
      <c r="AS36" s="85">
        <v>0</v>
      </c>
      <c r="AT36" s="85">
        <v>0</v>
      </c>
      <c r="AU36" s="85"/>
      <c r="AV36" s="85"/>
      <c r="AW36" s="85"/>
      <c r="AX36" s="85"/>
      <c r="AY36" s="85"/>
      <c r="AZ36" s="85"/>
      <c r="BA36" s="85"/>
      <c r="BB36" s="85"/>
      <c r="BC36">
        <v>1</v>
      </c>
      <c r="BD36" s="84" t="str">
        <f>REPLACE(INDEX(GroupVertices[Group],MATCH(Edges[[#This Row],[Vertex 1]],GroupVertices[Vertex],0)),1,1,"")</f>
        <v>1</v>
      </c>
      <c r="BE36" s="84"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400</v>
      </c>
      <c r="BB2" s="3"/>
      <c r="BC2" s="3"/>
    </row>
    <row r="3" spans="1:55" ht="15" customHeight="1">
      <c r="A3" s="50" t="s">
        <v>215</v>
      </c>
      <c r="B3" s="54"/>
      <c r="C3" s="54"/>
      <c r="D3" s="55"/>
      <c r="E3" s="56"/>
      <c r="F3" s="115" t="str">
        <f>HYPERLINK("http://pbs.twimg.com/profile_images/1151108027329732608/eFhqzf1Y_normal.png")</f>
        <v>http://pbs.twimg.com/profile_images/1151108027329732608/eFhqzf1Y_normal.png</v>
      </c>
      <c r="G3" s="54"/>
      <c r="H3" s="58" t="s">
        <v>215</v>
      </c>
      <c r="I3" s="57"/>
      <c r="J3" s="57"/>
      <c r="K3" s="117" t="s">
        <v>357</v>
      </c>
      <c r="L3" s="60"/>
      <c r="M3" s="61">
        <v>9182.1640625</v>
      </c>
      <c r="N3" s="61">
        <v>8222.8623046875</v>
      </c>
      <c r="O3" s="59"/>
      <c r="P3" s="62"/>
      <c r="Q3" s="62"/>
      <c r="R3" s="51"/>
      <c r="S3" s="51"/>
      <c r="T3" s="51"/>
      <c r="U3" s="51"/>
      <c r="V3" s="52"/>
      <c r="W3" s="52"/>
      <c r="X3" s="53"/>
      <c r="Y3" s="52"/>
      <c r="Z3" s="52"/>
      <c r="AA3" s="63">
        <v>3</v>
      </c>
      <c r="AB3" s="63"/>
      <c r="AC3" s="64"/>
      <c r="AD3" s="84" t="s">
        <v>305</v>
      </c>
      <c r="AE3" s="92" t="s">
        <v>318</v>
      </c>
      <c r="AF3" s="84">
        <v>2664</v>
      </c>
      <c r="AG3" s="84">
        <v>13447</v>
      </c>
      <c r="AH3" s="84">
        <v>20289</v>
      </c>
      <c r="AI3" s="84">
        <v>10077</v>
      </c>
      <c r="AJ3" s="84"/>
      <c r="AK3" s="84" t="s">
        <v>331</v>
      </c>
      <c r="AL3" s="84" t="s">
        <v>333</v>
      </c>
      <c r="AM3" s="89" t="str">
        <f>HYPERLINK("http://t.co/afG7EIfkP5")</f>
        <v>http://t.co/afG7EIfkP5</v>
      </c>
      <c r="AN3" s="84"/>
      <c r="AO3" s="86">
        <v>39895.02452546296</v>
      </c>
      <c r="AP3" s="89" t="str">
        <f>HYPERLINK("https://pbs.twimg.com/profile_banners/25916873/1562174287")</f>
        <v>https://pbs.twimg.com/profile_banners/25916873/1562174287</v>
      </c>
      <c r="AQ3" s="84" t="b">
        <v>0</v>
      </c>
      <c r="AR3" s="84" t="b">
        <v>0</v>
      </c>
      <c r="AS3" s="84" t="b">
        <v>1</v>
      </c>
      <c r="AT3" s="84"/>
      <c r="AU3" s="84">
        <v>325</v>
      </c>
      <c r="AV3" s="89" t="str">
        <f>HYPERLINK("http://abs.twimg.com/images/themes/theme7/bg.gif")</f>
        <v>http://abs.twimg.com/images/themes/theme7/bg.gif</v>
      </c>
      <c r="AW3" s="84" t="b">
        <v>1</v>
      </c>
      <c r="AX3" s="84" t="s">
        <v>344</v>
      </c>
      <c r="AY3" s="89" t="str">
        <f>HYPERLINK("https://twitter.com/ugagrady")</f>
        <v>https://twitter.com/ugagrady</v>
      </c>
      <c r="AZ3" s="84" t="s">
        <v>66</v>
      </c>
      <c r="BA3" s="84" t="str">
        <f>REPLACE(INDEX(GroupVertices[Group],MATCH(Vertices[[#This Row],[Vertex]],GroupVertices[Vertex],0)),1,1,"")</f>
        <v>2</v>
      </c>
      <c r="BB3" s="3"/>
      <c r="BC3" s="3"/>
    </row>
    <row r="4" spans="1:58" ht="15">
      <c r="A4" s="14" t="s">
        <v>226</v>
      </c>
      <c r="B4" s="15"/>
      <c r="C4" s="15"/>
      <c r="D4" s="94"/>
      <c r="E4" s="80"/>
      <c r="F4" s="115" t="str">
        <f>HYPERLINK("http://pbs.twimg.com/profile_images/499236807716790272/EqJonhNT_normal.jpeg")</f>
        <v>http://pbs.twimg.com/profile_images/499236807716790272/EqJonhNT_normal.jpeg</v>
      </c>
      <c r="G4" s="15"/>
      <c r="H4" s="16" t="s">
        <v>226</v>
      </c>
      <c r="I4" s="68"/>
      <c r="J4" s="68"/>
      <c r="K4" s="117" t="s">
        <v>345</v>
      </c>
      <c r="L4" s="95"/>
      <c r="M4" s="96">
        <v>9182.1640625</v>
      </c>
      <c r="N4" s="96">
        <v>4999.5</v>
      </c>
      <c r="O4" s="78"/>
      <c r="P4" s="97"/>
      <c r="Q4" s="97"/>
      <c r="R4" s="98"/>
      <c r="S4" s="98"/>
      <c r="T4" s="98"/>
      <c r="U4" s="98"/>
      <c r="V4" s="53"/>
      <c r="W4" s="53"/>
      <c r="X4" s="53"/>
      <c r="Y4" s="53"/>
      <c r="Z4" s="52"/>
      <c r="AA4" s="81">
        <v>4</v>
      </c>
      <c r="AB4" s="81"/>
      <c r="AC4" s="99"/>
      <c r="AD4" s="84" t="s">
        <v>293</v>
      </c>
      <c r="AE4" s="92" t="s">
        <v>306</v>
      </c>
      <c r="AF4" s="84">
        <v>2169</v>
      </c>
      <c r="AG4" s="84">
        <v>1130</v>
      </c>
      <c r="AH4" s="84">
        <v>90708</v>
      </c>
      <c r="AI4" s="84">
        <v>44723</v>
      </c>
      <c r="AJ4" s="84"/>
      <c r="AK4" s="84" t="s">
        <v>319</v>
      </c>
      <c r="AL4" s="84" t="s">
        <v>332</v>
      </c>
      <c r="AM4" s="89" t="str">
        <f>HYPERLINK("https://t.co/JG8uFoGUgE")</f>
        <v>https://t.co/JG8uFoGUgE</v>
      </c>
      <c r="AN4" s="84"/>
      <c r="AO4" s="86">
        <v>41654.759305555555</v>
      </c>
      <c r="AP4" s="89" t="str">
        <f>HYPERLINK("https://pbs.twimg.com/profile_banners/2293081752/1605031561")</f>
        <v>https://pbs.twimg.com/profile_banners/2293081752/1605031561</v>
      </c>
      <c r="AQ4" s="84" t="b">
        <v>0</v>
      </c>
      <c r="AR4" s="84" t="b">
        <v>0</v>
      </c>
      <c r="AS4" s="84" t="b">
        <v>1</v>
      </c>
      <c r="AT4" s="84"/>
      <c r="AU4" s="84">
        <v>9</v>
      </c>
      <c r="AV4" s="89" t="str">
        <f>HYPERLINK("http://abs.twimg.com/images/themes/theme1/bg.png")</f>
        <v>http://abs.twimg.com/images/themes/theme1/bg.png</v>
      </c>
      <c r="AW4" s="84" t="b">
        <v>0</v>
      </c>
      <c r="AX4" s="84" t="s">
        <v>344</v>
      </c>
      <c r="AY4" s="89" t="str">
        <f>HYPERLINK("https://twitter.com/ugagrad")</f>
        <v>https://twitter.com/ugagrad</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HYPERLINK("http://pbs.twimg.com/profile_images/687335647028236288/IVsIJYiP_normal.jpg")</f>
        <v>http://pbs.twimg.com/profile_images/687335647028236288/IVsIJYiP_normal.jpg</v>
      </c>
      <c r="G5" s="15"/>
      <c r="H5" s="16" t="s">
        <v>214</v>
      </c>
      <c r="I5" s="68"/>
      <c r="J5" s="68"/>
      <c r="K5" s="117" t="s">
        <v>346</v>
      </c>
      <c r="L5" s="95"/>
      <c r="M5" s="96">
        <v>4241.013671875</v>
      </c>
      <c r="N5" s="96">
        <v>4998.783203125</v>
      </c>
      <c r="O5" s="78"/>
      <c r="P5" s="97"/>
      <c r="Q5" s="97"/>
      <c r="R5" s="98"/>
      <c r="S5" s="98"/>
      <c r="T5" s="98"/>
      <c r="U5" s="98"/>
      <c r="V5" s="53"/>
      <c r="W5" s="53"/>
      <c r="X5" s="53"/>
      <c r="Y5" s="53"/>
      <c r="Z5" s="52"/>
      <c r="AA5" s="81">
        <v>5</v>
      </c>
      <c r="AB5" s="81"/>
      <c r="AC5" s="99"/>
      <c r="AD5" s="84" t="s">
        <v>294</v>
      </c>
      <c r="AE5" s="92" t="s">
        <v>307</v>
      </c>
      <c r="AF5" s="84">
        <v>67</v>
      </c>
      <c r="AG5" s="84">
        <v>373</v>
      </c>
      <c r="AH5" s="84">
        <v>407</v>
      </c>
      <c r="AI5" s="84">
        <v>91</v>
      </c>
      <c r="AJ5" s="84"/>
      <c r="AK5" s="84" t="s">
        <v>320</v>
      </c>
      <c r="AL5" s="84" t="s">
        <v>333</v>
      </c>
      <c r="AM5" s="89" t="str">
        <f>HYPERLINK("https://t.co/ISB6LuPyhm")</f>
        <v>https://t.co/ISB6LuPyhm</v>
      </c>
      <c r="AN5" s="84"/>
      <c r="AO5" s="86">
        <v>42382.75450231481</v>
      </c>
      <c r="AP5" s="89" t="str">
        <f>HYPERLINK("https://pbs.twimg.com/profile_banners/4754316685/1453320831")</f>
        <v>https://pbs.twimg.com/profile_banners/4754316685/1453320831</v>
      </c>
      <c r="AQ5" s="84" t="b">
        <v>0</v>
      </c>
      <c r="AR5" s="84" t="b">
        <v>0</v>
      </c>
      <c r="AS5" s="84" t="b">
        <v>0</v>
      </c>
      <c r="AT5" s="84"/>
      <c r="AU5" s="84">
        <v>13</v>
      </c>
      <c r="AV5" s="89" t="str">
        <f>HYPERLINK("http://abs.twimg.com/images/themes/theme1/bg.png")</f>
        <v>http://abs.twimg.com/images/themes/theme1/bg.png</v>
      </c>
      <c r="AW5" s="84" t="b">
        <v>0</v>
      </c>
      <c r="AX5" s="84" t="s">
        <v>344</v>
      </c>
      <c r="AY5" s="89" t="str">
        <f>HYPERLINK("https://twitter.com/seesuiteuga")</f>
        <v>https://twitter.com/seesuiteuga</v>
      </c>
      <c r="AZ5" s="84" t="s">
        <v>66</v>
      </c>
      <c r="BA5" s="84" t="str">
        <f>REPLACE(INDEX(GroupVertices[Group],MATCH(Vertices[[#This Row],[Vertex]],GroupVertices[Vertex],0)),1,1,"")</f>
        <v>1</v>
      </c>
      <c r="BB5" s="2"/>
      <c r="BC5" s="3"/>
      <c r="BD5" s="3"/>
      <c r="BE5" s="3"/>
      <c r="BF5" s="3"/>
    </row>
    <row r="6" spans="1:58" ht="15">
      <c r="A6" s="14" t="s">
        <v>216</v>
      </c>
      <c r="B6" s="15"/>
      <c r="C6" s="15"/>
      <c r="D6" s="94"/>
      <c r="E6" s="80"/>
      <c r="F6" s="115" t="str">
        <f>HYPERLINK("http://pbs.twimg.com/profile_images/1249780661558423560/6H5BYEsw_normal.jpg")</f>
        <v>http://pbs.twimg.com/profile_images/1249780661558423560/6H5BYEsw_normal.jpg</v>
      </c>
      <c r="G6" s="15"/>
      <c r="H6" s="16" t="s">
        <v>216</v>
      </c>
      <c r="I6" s="68"/>
      <c r="J6" s="68"/>
      <c r="K6" s="117" t="s">
        <v>347</v>
      </c>
      <c r="L6" s="95"/>
      <c r="M6" s="96">
        <v>428.7598571777344</v>
      </c>
      <c r="N6" s="96">
        <v>2948.03955078125</v>
      </c>
      <c r="O6" s="78"/>
      <c r="P6" s="97"/>
      <c r="Q6" s="97"/>
      <c r="R6" s="98"/>
      <c r="S6" s="98"/>
      <c r="T6" s="98"/>
      <c r="U6" s="98"/>
      <c r="V6" s="53"/>
      <c r="W6" s="53"/>
      <c r="X6" s="53"/>
      <c r="Y6" s="53"/>
      <c r="Z6" s="52"/>
      <c r="AA6" s="81">
        <v>6</v>
      </c>
      <c r="AB6" s="81"/>
      <c r="AC6" s="99"/>
      <c r="AD6" s="84" t="s">
        <v>295</v>
      </c>
      <c r="AE6" s="92" t="s">
        <v>308</v>
      </c>
      <c r="AF6" s="84">
        <v>3886</v>
      </c>
      <c r="AG6" s="84">
        <v>30176</v>
      </c>
      <c r="AH6" s="84">
        <v>7254</v>
      </c>
      <c r="AI6" s="84">
        <v>9862</v>
      </c>
      <c r="AJ6" s="84"/>
      <c r="AK6" s="84" t="s">
        <v>321</v>
      </c>
      <c r="AL6" s="84" t="s">
        <v>334</v>
      </c>
      <c r="AM6" s="89" t="str">
        <f>HYPERLINK("http://www.choa.org")</f>
        <v>http://www.choa.org</v>
      </c>
      <c r="AN6" s="84"/>
      <c r="AO6" s="86">
        <v>40252.64407407407</v>
      </c>
      <c r="AP6" s="89" t="str">
        <f>HYPERLINK("https://pbs.twimg.com/profile_banners/123276758/1592323573")</f>
        <v>https://pbs.twimg.com/profile_banners/123276758/1592323573</v>
      </c>
      <c r="AQ6" s="84" t="b">
        <v>0</v>
      </c>
      <c r="AR6" s="84" t="b">
        <v>0</v>
      </c>
      <c r="AS6" s="84" t="b">
        <v>1</v>
      </c>
      <c r="AT6" s="84"/>
      <c r="AU6" s="84">
        <v>425</v>
      </c>
      <c r="AV6" s="89" t="str">
        <f>HYPERLINK("http://abs.twimg.com/images/themes/theme1/bg.png")</f>
        <v>http://abs.twimg.com/images/themes/theme1/bg.png</v>
      </c>
      <c r="AW6" s="84" t="b">
        <v>1</v>
      </c>
      <c r="AX6" s="84" t="s">
        <v>344</v>
      </c>
      <c r="AY6" s="89" t="str">
        <f>HYPERLINK("https://twitter.com/childrensatl")</f>
        <v>https://twitter.com/childrensatl</v>
      </c>
      <c r="AZ6" s="84" t="s">
        <v>65</v>
      </c>
      <c r="BA6" s="84" t="str">
        <f>REPLACE(INDEX(GroupVertices[Group],MATCH(Vertices[[#This Row],[Vertex]],GroupVertices[Vertex],0)),1,1,"")</f>
        <v>1</v>
      </c>
      <c r="BB6" s="2"/>
      <c r="BC6" s="3"/>
      <c r="BD6" s="3"/>
      <c r="BE6" s="3"/>
      <c r="BF6" s="3"/>
    </row>
    <row r="7" spans="1:58" ht="15">
      <c r="A7" s="14" t="s">
        <v>217</v>
      </c>
      <c r="B7" s="15"/>
      <c r="C7" s="15"/>
      <c r="D7" s="94"/>
      <c r="E7" s="80"/>
      <c r="F7" s="115" t="str">
        <f>HYPERLINK("http://pbs.twimg.com/profile_images/1090260207245058048/VaE9x-60_normal.jpg")</f>
        <v>http://pbs.twimg.com/profile_images/1090260207245058048/VaE9x-60_normal.jpg</v>
      </c>
      <c r="G7" s="15"/>
      <c r="H7" s="16" t="s">
        <v>217</v>
      </c>
      <c r="I7" s="68"/>
      <c r="J7" s="68"/>
      <c r="K7" s="117" t="s">
        <v>348</v>
      </c>
      <c r="L7" s="95"/>
      <c r="M7" s="96">
        <v>8053.90673828125</v>
      </c>
      <c r="N7" s="96">
        <v>7049.9013671875</v>
      </c>
      <c r="O7" s="78"/>
      <c r="P7" s="97"/>
      <c r="Q7" s="97"/>
      <c r="R7" s="98"/>
      <c r="S7" s="98"/>
      <c r="T7" s="98"/>
      <c r="U7" s="98"/>
      <c r="V7" s="53"/>
      <c r="W7" s="53"/>
      <c r="X7" s="53"/>
      <c r="Y7" s="53"/>
      <c r="Z7" s="52"/>
      <c r="AA7" s="81">
        <v>7</v>
      </c>
      <c r="AB7" s="81"/>
      <c r="AC7" s="99"/>
      <c r="AD7" s="84" t="s">
        <v>296</v>
      </c>
      <c r="AE7" s="92" t="s">
        <v>309</v>
      </c>
      <c r="AF7" s="84">
        <v>232</v>
      </c>
      <c r="AG7" s="84">
        <v>179037</v>
      </c>
      <c r="AH7" s="84">
        <v>11968</v>
      </c>
      <c r="AI7" s="84">
        <v>6008</v>
      </c>
      <c r="AJ7" s="84"/>
      <c r="AK7" s="84" t="s">
        <v>322</v>
      </c>
      <c r="AL7" s="84" t="s">
        <v>335</v>
      </c>
      <c r="AM7" s="89" t="str">
        <f>HYPERLINK("http://fairfight.com")</f>
        <v>http://fairfight.com</v>
      </c>
      <c r="AN7" s="84"/>
      <c r="AO7" s="86">
        <v>42913.777766203704</v>
      </c>
      <c r="AP7" s="89" t="str">
        <f>HYPERLINK("https://pbs.twimg.com/profile_banners/879771304316071938/1586280340")</f>
        <v>https://pbs.twimg.com/profile_banners/879771304316071938/1586280340</v>
      </c>
      <c r="AQ7" s="84" t="b">
        <v>1</v>
      </c>
      <c r="AR7" s="84" t="b">
        <v>0</v>
      </c>
      <c r="AS7" s="84" t="b">
        <v>1</v>
      </c>
      <c r="AT7" s="84"/>
      <c r="AU7" s="84">
        <v>954</v>
      </c>
      <c r="AV7" s="84"/>
      <c r="AW7" s="84" t="b">
        <v>1</v>
      </c>
      <c r="AX7" s="84" t="s">
        <v>344</v>
      </c>
      <c r="AY7" s="89" t="str">
        <f>HYPERLINK("https://twitter.com/fairfightaction")</f>
        <v>https://twitter.com/fairfightaction</v>
      </c>
      <c r="AZ7" s="84" t="s">
        <v>65</v>
      </c>
      <c r="BA7" s="84" t="str">
        <f>REPLACE(INDEX(GroupVertices[Group],MATCH(Vertices[[#This Row],[Vertex]],GroupVertices[Vertex],0)),1,1,"")</f>
        <v>1</v>
      </c>
      <c r="BB7" s="2"/>
      <c r="BC7" s="3"/>
      <c r="BD7" s="3"/>
      <c r="BE7" s="3"/>
      <c r="BF7" s="3"/>
    </row>
    <row r="8" spans="1:58" ht="15">
      <c r="A8" s="14" t="s">
        <v>218</v>
      </c>
      <c r="B8" s="15"/>
      <c r="C8" s="15"/>
      <c r="D8" s="94"/>
      <c r="E8" s="80"/>
      <c r="F8" s="115" t="str">
        <f>HYPERLINK("http://pbs.twimg.com/profile_images/601748346143805442/lSuoN0Hk_normal.png")</f>
        <v>http://pbs.twimg.com/profile_images/601748346143805442/lSuoN0Hk_normal.png</v>
      </c>
      <c r="G8" s="15"/>
      <c r="H8" s="16" t="s">
        <v>218</v>
      </c>
      <c r="I8" s="68"/>
      <c r="J8" s="68"/>
      <c r="K8" s="117" t="s">
        <v>349</v>
      </c>
      <c r="L8" s="95"/>
      <c r="M8" s="96">
        <v>6284.67431640625</v>
      </c>
      <c r="N8" s="96">
        <v>9253.7626953125</v>
      </c>
      <c r="O8" s="78"/>
      <c r="P8" s="97"/>
      <c r="Q8" s="97"/>
      <c r="R8" s="98"/>
      <c r="S8" s="98"/>
      <c r="T8" s="98"/>
      <c r="U8" s="98"/>
      <c r="V8" s="53"/>
      <c r="W8" s="53"/>
      <c r="X8" s="53"/>
      <c r="Y8" s="53"/>
      <c r="Z8" s="52"/>
      <c r="AA8" s="81">
        <v>8</v>
      </c>
      <c r="AB8" s="81"/>
      <c r="AC8" s="99"/>
      <c r="AD8" s="84" t="s">
        <v>297</v>
      </c>
      <c r="AE8" s="92" t="s">
        <v>310</v>
      </c>
      <c r="AF8" s="84">
        <v>39814</v>
      </c>
      <c r="AG8" s="84">
        <v>473359</v>
      </c>
      <c r="AH8" s="84">
        <v>15499</v>
      </c>
      <c r="AI8" s="84">
        <v>11182</v>
      </c>
      <c r="AJ8" s="84"/>
      <c r="AK8" s="84" t="s">
        <v>323</v>
      </c>
      <c r="AL8" s="84" t="s">
        <v>336</v>
      </c>
      <c r="AM8" s="89" t="str">
        <f>HYPERLINK("https://www.feedingamerica.org/")</f>
        <v>https://www.feedingamerica.org/</v>
      </c>
      <c r="AN8" s="84"/>
      <c r="AO8" s="86">
        <v>39729.57623842593</v>
      </c>
      <c r="AP8" s="89" t="str">
        <f>HYPERLINK("https://pbs.twimg.com/profile_banners/16648790/1605652016")</f>
        <v>https://pbs.twimg.com/profile_banners/16648790/1605652016</v>
      </c>
      <c r="AQ8" s="84" t="b">
        <v>0</v>
      </c>
      <c r="AR8" s="84" t="b">
        <v>0</v>
      </c>
      <c r="AS8" s="84" t="b">
        <v>0</v>
      </c>
      <c r="AT8" s="84"/>
      <c r="AU8" s="84">
        <v>3207</v>
      </c>
      <c r="AV8" s="89" t="str">
        <f>HYPERLINK("http://abs.twimg.com/images/themes/theme1/bg.png")</f>
        <v>http://abs.twimg.com/images/themes/theme1/bg.png</v>
      </c>
      <c r="AW8" s="84" t="b">
        <v>1</v>
      </c>
      <c r="AX8" s="84" t="s">
        <v>344</v>
      </c>
      <c r="AY8" s="89" t="str">
        <f>HYPERLINK("https://twitter.com/feedingamerica")</f>
        <v>https://twitter.com/feedingamerica</v>
      </c>
      <c r="AZ8" s="84" t="s">
        <v>65</v>
      </c>
      <c r="BA8" s="84" t="str">
        <f>REPLACE(INDEX(GroupVertices[Group],MATCH(Vertices[[#This Row],[Vertex]],GroupVertices[Vertex],0)),1,1,"")</f>
        <v>1</v>
      </c>
      <c r="BB8" s="2"/>
      <c r="BC8" s="3"/>
      <c r="BD8" s="3"/>
      <c r="BE8" s="3"/>
      <c r="BF8" s="3"/>
    </row>
    <row r="9" spans="1:58" ht="15">
      <c r="A9" s="14" t="s">
        <v>219</v>
      </c>
      <c r="B9" s="15"/>
      <c r="C9" s="15"/>
      <c r="D9" s="94"/>
      <c r="E9" s="80"/>
      <c r="F9" s="115" t="str">
        <f>HYPERLINK("http://pbs.twimg.com/profile_images/1197196378990092288/DwI8KnIu_normal.png")</f>
        <v>http://pbs.twimg.com/profile_images/1197196378990092288/DwI8KnIu_normal.png</v>
      </c>
      <c r="G9" s="15"/>
      <c r="H9" s="16" t="s">
        <v>219</v>
      </c>
      <c r="I9" s="68"/>
      <c r="J9" s="68"/>
      <c r="K9" s="117" t="s">
        <v>350</v>
      </c>
      <c r="L9" s="95"/>
      <c r="M9" s="96">
        <v>115.86326599121094</v>
      </c>
      <c r="N9" s="96">
        <v>5936.201171875</v>
      </c>
      <c r="O9" s="78"/>
      <c r="P9" s="97"/>
      <c r="Q9" s="97"/>
      <c r="R9" s="98"/>
      <c r="S9" s="98"/>
      <c r="T9" s="98"/>
      <c r="U9" s="98"/>
      <c r="V9" s="53"/>
      <c r="W9" s="53"/>
      <c r="X9" s="53"/>
      <c r="Y9" s="53"/>
      <c r="Z9" s="52"/>
      <c r="AA9" s="81">
        <v>9</v>
      </c>
      <c r="AB9" s="81"/>
      <c r="AC9" s="99"/>
      <c r="AD9" s="84" t="s">
        <v>298</v>
      </c>
      <c r="AE9" s="92" t="s">
        <v>311</v>
      </c>
      <c r="AF9" s="84">
        <v>2373</v>
      </c>
      <c r="AG9" s="84">
        <v>95672</v>
      </c>
      <c r="AH9" s="84">
        <v>48573</v>
      </c>
      <c r="AI9" s="84">
        <v>28197</v>
      </c>
      <c r="AJ9" s="84"/>
      <c r="AK9" s="84" t="s">
        <v>324</v>
      </c>
      <c r="AL9" s="84" t="s">
        <v>337</v>
      </c>
      <c r="AM9" s="89" t="str">
        <f>HYPERLINK("http://www.girlscouts.org")</f>
        <v>http://www.girlscouts.org</v>
      </c>
      <c r="AN9" s="84"/>
      <c r="AO9" s="86">
        <v>40186.666354166664</v>
      </c>
      <c r="AP9" s="89" t="str">
        <f>HYPERLINK("https://pbs.twimg.com/profile_banners/103018203/1602024654")</f>
        <v>https://pbs.twimg.com/profile_banners/103018203/1602024654</v>
      </c>
      <c r="AQ9" s="84" t="b">
        <v>0</v>
      </c>
      <c r="AR9" s="84" t="b">
        <v>0</v>
      </c>
      <c r="AS9" s="84" t="b">
        <v>1</v>
      </c>
      <c r="AT9" s="84"/>
      <c r="AU9" s="84">
        <v>1359</v>
      </c>
      <c r="AV9" s="89" t="str">
        <f>HYPERLINK("http://abs.twimg.com/images/themes/theme1/bg.png")</f>
        <v>http://abs.twimg.com/images/themes/theme1/bg.png</v>
      </c>
      <c r="AW9" s="84" t="b">
        <v>1</v>
      </c>
      <c r="AX9" s="84" t="s">
        <v>344</v>
      </c>
      <c r="AY9" s="89" t="str">
        <f>HYPERLINK("https://twitter.com/girlscouts")</f>
        <v>https://twitter.com/girlscouts</v>
      </c>
      <c r="AZ9" s="84" t="s">
        <v>65</v>
      </c>
      <c r="BA9" s="84" t="str">
        <f>REPLACE(INDEX(GroupVertices[Group],MATCH(Vertices[[#This Row],[Vertex]],GroupVertices[Vertex],0)),1,1,"")</f>
        <v>1</v>
      </c>
      <c r="BB9" s="2"/>
      <c r="BC9" s="3"/>
      <c r="BD9" s="3"/>
      <c r="BE9" s="3"/>
      <c r="BF9" s="3"/>
    </row>
    <row r="10" spans="1:58" ht="15">
      <c r="A10" s="14" t="s">
        <v>220</v>
      </c>
      <c r="B10" s="15"/>
      <c r="C10" s="15"/>
      <c r="D10" s="94"/>
      <c r="E10" s="80"/>
      <c r="F10" s="115" t="str">
        <f>HYPERLINK("http://pbs.twimg.com/profile_images/1148171158816264192/fhbbxS9Y_normal.png")</f>
        <v>http://pbs.twimg.com/profile_images/1148171158816264192/fhbbxS9Y_normal.png</v>
      </c>
      <c r="G10" s="15"/>
      <c r="H10" s="16" t="s">
        <v>220</v>
      </c>
      <c r="I10" s="68"/>
      <c r="J10" s="68"/>
      <c r="K10" s="117" t="s">
        <v>351</v>
      </c>
      <c r="L10" s="95"/>
      <c r="M10" s="96">
        <v>8365.328125</v>
      </c>
      <c r="N10" s="96">
        <v>4061.529541015625</v>
      </c>
      <c r="O10" s="78"/>
      <c r="P10" s="97"/>
      <c r="Q10" s="97"/>
      <c r="R10" s="98"/>
      <c r="S10" s="98"/>
      <c r="T10" s="98"/>
      <c r="U10" s="98"/>
      <c r="V10" s="53"/>
      <c r="W10" s="53"/>
      <c r="X10" s="53"/>
      <c r="Y10" s="53"/>
      <c r="Z10" s="52"/>
      <c r="AA10" s="81">
        <v>10</v>
      </c>
      <c r="AB10" s="81"/>
      <c r="AC10" s="99"/>
      <c r="AD10" s="84" t="s">
        <v>299</v>
      </c>
      <c r="AE10" s="92" t="s">
        <v>312</v>
      </c>
      <c r="AF10" s="84">
        <v>4055</v>
      </c>
      <c r="AG10" s="84">
        <v>1894230</v>
      </c>
      <c r="AH10" s="84">
        <v>66930</v>
      </c>
      <c r="AI10" s="84">
        <v>11804</v>
      </c>
      <c r="AJ10" s="84"/>
      <c r="AK10" s="84" t="s">
        <v>325</v>
      </c>
      <c r="AL10" s="84" t="s">
        <v>338</v>
      </c>
      <c r="AM10" s="89" t="str">
        <f>HYPERLINK("https://t.co/E8iVq9veyl")</f>
        <v>https://t.co/E8iVq9veyl</v>
      </c>
      <c r="AN10" s="84"/>
      <c r="AO10" s="86">
        <v>39176.85456018519</v>
      </c>
      <c r="AP10" s="89" t="str">
        <f>HYPERLINK("https://pbs.twimg.com/profile_banners/3459051/1608323913")</f>
        <v>https://pbs.twimg.com/profile_banners/3459051/1608323913</v>
      </c>
      <c r="AQ10" s="84" t="b">
        <v>0</v>
      </c>
      <c r="AR10" s="84" t="b">
        <v>0</v>
      </c>
      <c r="AS10" s="84" t="b">
        <v>1</v>
      </c>
      <c r="AT10" s="84"/>
      <c r="AU10" s="84">
        <v>18789</v>
      </c>
      <c r="AV10" s="89" t="str">
        <f>HYPERLINK("http://abs.twimg.com/images/themes/theme14/bg.gif")</f>
        <v>http://abs.twimg.com/images/themes/theme14/bg.gif</v>
      </c>
      <c r="AW10" s="84" t="b">
        <v>1</v>
      </c>
      <c r="AX10" s="84" t="s">
        <v>344</v>
      </c>
      <c r="AY10" s="89" t="str">
        <f>HYPERLINK("https://twitter.com/greenpeace")</f>
        <v>https://twitter.com/greenpeace</v>
      </c>
      <c r="AZ10" s="84" t="s">
        <v>65</v>
      </c>
      <c r="BA10" s="84" t="str">
        <f>REPLACE(INDEX(GroupVertices[Group],MATCH(Vertices[[#This Row],[Vertex]],GroupVertices[Vertex],0)),1,1,"")</f>
        <v>1</v>
      </c>
      <c r="BB10" s="2"/>
      <c r="BC10" s="3"/>
      <c r="BD10" s="3"/>
      <c r="BE10" s="3"/>
      <c r="BF10" s="3"/>
    </row>
    <row r="11" spans="1:58" ht="15">
      <c r="A11" s="14" t="s">
        <v>221</v>
      </c>
      <c r="B11" s="15"/>
      <c r="C11" s="15"/>
      <c r="D11" s="94"/>
      <c r="E11" s="80"/>
      <c r="F11" s="115" t="str">
        <f>HYPERLINK("http://pbs.twimg.com/profile_images/702542049719898112/hmptfgCQ_normal.jpg")</f>
        <v>http://pbs.twimg.com/profile_images/702542049719898112/hmptfgCQ_normal.jpg</v>
      </c>
      <c r="G11" s="15"/>
      <c r="H11" s="16" t="s">
        <v>221</v>
      </c>
      <c r="I11" s="68"/>
      <c r="J11" s="68"/>
      <c r="K11" s="117" t="s">
        <v>352</v>
      </c>
      <c r="L11" s="95"/>
      <c r="M11" s="96">
        <v>2196.776123046875</v>
      </c>
      <c r="N11" s="96">
        <v>742.56201171875</v>
      </c>
      <c r="O11" s="78"/>
      <c r="P11" s="97"/>
      <c r="Q11" s="97"/>
      <c r="R11" s="98"/>
      <c r="S11" s="98"/>
      <c r="T11" s="98"/>
      <c r="U11" s="98"/>
      <c r="V11" s="53"/>
      <c r="W11" s="53"/>
      <c r="X11" s="53"/>
      <c r="Y11" s="53"/>
      <c r="Z11" s="52"/>
      <c r="AA11" s="81">
        <v>11</v>
      </c>
      <c r="AB11" s="81"/>
      <c r="AC11" s="99"/>
      <c r="AD11" s="84" t="s">
        <v>300</v>
      </c>
      <c r="AE11" s="92" t="s">
        <v>313</v>
      </c>
      <c r="AF11" s="84">
        <v>5440</v>
      </c>
      <c r="AG11" s="84">
        <v>1058386</v>
      </c>
      <c r="AH11" s="84">
        <v>26717</v>
      </c>
      <c r="AI11" s="84">
        <v>26249</v>
      </c>
      <c r="AJ11" s="84"/>
      <c r="AK11" s="84" t="s">
        <v>326</v>
      </c>
      <c r="AL11" s="84" t="s">
        <v>339</v>
      </c>
      <c r="AM11" s="89" t="str">
        <f>HYPERLINK("http://www.habitat.org")</f>
        <v>http://www.habitat.org</v>
      </c>
      <c r="AN11" s="84"/>
      <c r="AO11" s="86">
        <v>39924.552881944444</v>
      </c>
      <c r="AP11" s="89" t="str">
        <f>HYPERLINK("https://pbs.twimg.com/profile_banners/33898911/1587747234")</f>
        <v>https://pbs.twimg.com/profile_banners/33898911/1587747234</v>
      </c>
      <c r="AQ11" s="84" t="b">
        <v>0</v>
      </c>
      <c r="AR11" s="84" t="b">
        <v>0</v>
      </c>
      <c r="AS11" s="84" t="b">
        <v>0</v>
      </c>
      <c r="AT11" s="84"/>
      <c r="AU11" s="84">
        <v>2873</v>
      </c>
      <c r="AV11" s="89" t="str">
        <f>HYPERLINK("http://abs.twimg.com/images/themes/theme1/bg.png")</f>
        <v>http://abs.twimg.com/images/themes/theme1/bg.png</v>
      </c>
      <c r="AW11" s="84" t="b">
        <v>1</v>
      </c>
      <c r="AX11" s="84" t="s">
        <v>344</v>
      </c>
      <c r="AY11" s="89" t="str">
        <f>HYPERLINK("https://twitter.com/habitat_org")</f>
        <v>https://twitter.com/habitat_org</v>
      </c>
      <c r="AZ11" s="84" t="s">
        <v>65</v>
      </c>
      <c r="BA11" s="84" t="str">
        <f>REPLACE(INDEX(GroupVertices[Group],MATCH(Vertices[[#This Row],[Vertex]],GroupVertices[Vertex],0)),1,1,"")</f>
        <v>1</v>
      </c>
      <c r="BB11" s="2"/>
      <c r="BC11" s="3"/>
      <c r="BD11" s="3"/>
      <c r="BE11" s="3"/>
      <c r="BF11" s="3"/>
    </row>
    <row r="12" spans="1:58" ht="15">
      <c r="A12" s="14" t="s">
        <v>222</v>
      </c>
      <c r="B12" s="15"/>
      <c r="C12" s="15"/>
      <c r="D12" s="94"/>
      <c r="E12" s="80"/>
      <c r="F12" s="115" t="str">
        <f>HYPERLINK("http://pbs.twimg.com/profile_images/1116062042027384832/t-VxANUY_normal.jpg")</f>
        <v>http://pbs.twimg.com/profile_images/1116062042027384832/t-VxANUY_normal.jpg</v>
      </c>
      <c r="G12" s="15"/>
      <c r="H12" s="16" t="s">
        <v>222</v>
      </c>
      <c r="I12" s="68"/>
      <c r="J12" s="68"/>
      <c r="K12" s="117" t="s">
        <v>353</v>
      </c>
      <c r="L12" s="95"/>
      <c r="M12" s="96">
        <v>1379.8118896484375</v>
      </c>
      <c r="N12" s="96">
        <v>8565.947265625</v>
      </c>
      <c r="O12" s="78"/>
      <c r="P12" s="97"/>
      <c r="Q12" s="97"/>
      <c r="R12" s="98"/>
      <c r="S12" s="98"/>
      <c r="T12" s="98"/>
      <c r="U12" s="98"/>
      <c r="V12" s="53"/>
      <c r="W12" s="53"/>
      <c r="X12" s="53"/>
      <c r="Y12" s="53"/>
      <c r="Z12" s="52"/>
      <c r="AA12" s="81">
        <v>12</v>
      </c>
      <c r="AB12" s="81"/>
      <c r="AC12" s="99"/>
      <c r="AD12" s="84" t="s">
        <v>301</v>
      </c>
      <c r="AE12" s="92" t="s">
        <v>314</v>
      </c>
      <c r="AF12" s="84">
        <v>150292</v>
      </c>
      <c r="AG12" s="84">
        <v>824223</v>
      </c>
      <c r="AH12" s="84">
        <v>56812</v>
      </c>
      <c r="AI12" s="84">
        <v>21460</v>
      </c>
      <c r="AJ12" s="84"/>
      <c r="AK12" s="84" t="s">
        <v>327</v>
      </c>
      <c r="AL12" s="84" t="s">
        <v>340</v>
      </c>
      <c r="AM12" s="89" t="str">
        <f>HYPERLINK("http://hrc.org")</f>
        <v>http://hrc.org</v>
      </c>
      <c r="AN12" s="84"/>
      <c r="AO12" s="86">
        <v>39840.78863425926</v>
      </c>
      <c r="AP12" s="89" t="str">
        <f>HYPERLINK("https://pbs.twimg.com/profile_banners/19608297/1604771061")</f>
        <v>https://pbs.twimg.com/profile_banners/19608297/1604771061</v>
      </c>
      <c r="AQ12" s="84" t="b">
        <v>0</v>
      </c>
      <c r="AR12" s="84" t="b">
        <v>0</v>
      </c>
      <c r="AS12" s="84" t="b">
        <v>1</v>
      </c>
      <c r="AT12" s="84"/>
      <c r="AU12" s="84">
        <v>8243</v>
      </c>
      <c r="AV12" s="89" t="str">
        <f>HYPERLINK("http://abs.twimg.com/images/themes/theme1/bg.png")</f>
        <v>http://abs.twimg.com/images/themes/theme1/bg.png</v>
      </c>
      <c r="AW12" s="84" t="b">
        <v>1</v>
      </c>
      <c r="AX12" s="84" t="s">
        <v>344</v>
      </c>
      <c r="AY12" s="89" t="str">
        <f>HYPERLINK("https://twitter.com/hrc")</f>
        <v>https://twitter.com/hrc</v>
      </c>
      <c r="AZ12" s="84" t="s">
        <v>65</v>
      </c>
      <c r="BA12" s="84" t="str">
        <f>REPLACE(INDEX(GroupVertices[Group],MATCH(Vertices[[#This Row],[Vertex]],GroupVertices[Vertex],0)),1,1,"")</f>
        <v>1</v>
      </c>
      <c r="BB12" s="2"/>
      <c r="BC12" s="3"/>
      <c r="BD12" s="3"/>
      <c r="BE12" s="3"/>
      <c r="BF12" s="3"/>
    </row>
    <row r="13" spans="1:58" ht="15">
      <c r="A13" s="14" t="s">
        <v>223</v>
      </c>
      <c r="B13" s="15"/>
      <c r="C13" s="15"/>
      <c r="D13" s="94"/>
      <c r="E13" s="80"/>
      <c r="F13" s="115" t="str">
        <f>HYPERLINK("http://pbs.twimg.com/profile_images/1318699801182167040/fyiAOXrG_normal.jpg")</f>
        <v>http://pbs.twimg.com/profile_images/1318699801182167040/fyiAOXrG_normal.jpg</v>
      </c>
      <c r="G13" s="15"/>
      <c r="H13" s="16" t="s">
        <v>223</v>
      </c>
      <c r="I13" s="68"/>
      <c r="J13" s="68"/>
      <c r="K13" s="117" t="s">
        <v>354</v>
      </c>
      <c r="L13" s="95"/>
      <c r="M13" s="96">
        <v>4746.20361328125</v>
      </c>
      <c r="N13" s="96">
        <v>164.4572296142578</v>
      </c>
      <c r="O13" s="78"/>
      <c r="P13" s="97"/>
      <c r="Q13" s="97"/>
      <c r="R13" s="98"/>
      <c r="S13" s="98"/>
      <c r="T13" s="98"/>
      <c r="U13" s="98"/>
      <c r="V13" s="53"/>
      <c r="W13" s="53"/>
      <c r="X13" s="53"/>
      <c r="Y13" s="53"/>
      <c r="Z13" s="52"/>
      <c r="AA13" s="81">
        <v>13</v>
      </c>
      <c r="AB13" s="81"/>
      <c r="AC13" s="99"/>
      <c r="AD13" s="84" t="s">
        <v>302</v>
      </c>
      <c r="AE13" s="92" t="s">
        <v>315</v>
      </c>
      <c r="AF13" s="84">
        <v>30974</v>
      </c>
      <c r="AG13" s="84">
        <v>583515</v>
      </c>
      <c r="AH13" s="84">
        <v>31549</v>
      </c>
      <c r="AI13" s="84">
        <v>9077</v>
      </c>
      <c r="AJ13" s="84"/>
      <c r="AK13" s="84" t="s">
        <v>328</v>
      </c>
      <c r="AL13" s="84" t="s">
        <v>341</v>
      </c>
      <c r="AM13" s="89" t="str">
        <f>HYPERLINK("https://secure.actblue.com/donate/naacp-1donedying#")</f>
        <v>https://secure.actblue.com/donate/naacp-1donedying#</v>
      </c>
      <c r="AN13" s="84"/>
      <c r="AO13" s="86">
        <v>39969.85594907407</v>
      </c>
      <c r="AP13" s="89" t="str">
        <f>HYPERLINK("https://pbs.twimg.com/profile_banners/44988185/1603237508")</f>
        <v>https://pbs.twimg.com/profile_banners/44988185/1603237508</v>
      </c>
      <c r="AQ13" s="84" t="b">
        <v>0</v>
      </c>
      <c r="AR13" s="84" t="b">
        <v>0</v>
      </c>
      <c r="AS13" s="84" t="b">
        <v>1</v>
      </c>
      <c r="AT13" s="84"/>
      <c r="AU13" s="84">
        <v>4464</v>
      </c>
      <c r="AV13" s="89" t="str">
        <f>HYPERLINK("http://abs.twimg.com/images/themes/theme1/bg.png")</f>
        <v>http://abs.twimg.com/images/themes/theme1/bg.png</v>
      </c>
      <c r="AW13" s="84" t="b">
        <v>1</v>
      </c>
      <c r="AX13" s="84" t="s">
        <v>344</v>
      </c>
      <c r="AY13" s="89" t="str">
        <f>HYPERLINK("https://twitter.com/naacp")</f>
        <v>https://twitter.com/naacp</v>
      </c>
      <c r="AZ13" s="84" t="s">
        <v>65</v>
      </c>
      <c r="BA13" s="84" t="str">
        <f>REPLACE(INDEX(GroupVertices[Group],MATCH(Vertices[[#This Row],[Vertex]],GroupVertices[Vertex],0)),1,1,"")</f>
        <v>1</v>
      </c>
      <c r="BB13" s="2"/>
      <c r="BC13" s="3"/>
      <c r="BD13" s="3"/>
      <c r="BE13" s="3"/>
      <c r="BF13" s="3"/>
    </row>
    <row r="14" spans="1:58" ht="15">
      <c r="A14" s="14" t="s">
        <v>224</v>
      </c>
      <c r="B14" s="15"/>
      <c r="C14" s="15"/>
      <c r="D14" s="94"/>
      <c r="E14" s="80"/>
      <c r="F14" s="115" t="str">
        <f>HYPERLINK("http://pbs.twimg.com/profile_images/1533119854/AdPRLogo_normal.jpg")</f>
        <v>http://pbs.twimg.com/profile_images/1533119854/AdPRLogo_normal.jpg</v>
      </c>
      <c r="G14" s="15"/>
      <c r="H14" s="16" t="s">
        <v>224</v>
      </c>
      <c r="I14" s="68"/>
      <c r="J14" s="68"/>
      <c r="K14" s="117" t="s">
        <v>355</v>
      </c>
      <c r="L14" s="95"/>
      <c r="M14" s="96">
        <v>7102.87158203125</v>
      </c>
      <c r="N14" s="96">
        <v>1430.8050537109375</v>
      </c>
      <c r="O14" s="78"/>
      <c r="P14" s="97"/>
      <c r="Q14" s="97"/>
      <c r="R14" s="98"/>
      <c r="S14" s="98"/>
      <c r="T14" s="98"/>
      <c r="U14" s="98"/>
      <c r="V14" s="53"/>
      <c r="W14" s="53"/>
      <c r="X14" s="53"/>
      <c r="Y14" s="53"/>
      <c r="Z14" s="52"/>
      <c r="AA14" s="81">
        <v>14</v>
      </c>
      <c r="AB14" s="81"/>
      <c r="AC14" s="99"/>
      <c r="AD14" s="84" t="s">
        <v>303</v>
      </c>
      <c r="AE14" s="92" t="s">
        <v>316</v>
      </c>
      <c r="AF14" s="84">
        <v>679</v>
      </c>
      <c r="AG14" s="84">
        <v>1500</v>
      </c>
      <c r="AH14" s="84">
        <v>2579</v>
      </c>
      <c r="AI14" s="84">
        <v>2268</v>
      </c>
      <c r="AJ14" s="84"/>
      <c r="AK14" s="84" t="s">
        <v>329</v>
      </c>
      <c r="AL14" s="84" t="s">
        <v>342</v>
      </c>
      <c r="AM14" s="89" t="str">
        <f>HYPERLINK("http://t.co/3lBRz85zjc")</f>
        <v>http://t.co/3lBRz85zjc</v>
      </c>
      <c r="AN14" s="84"/>
      <c r="AO14" s="86">
        <v>40786.72077546296</v>
      </c>
      <c r="AP14" s="89" t="str">
        <f>HYPERLINK("https://pbs.twimg.com/profile_banners/365570643/1421939328")</f>
        <v>https://pbs.twimg.com/profile_banners/365570643/1421939328</v>
      </c>
      <c r="AQ14" s="84" t="b">
        <v>0</v>
      </c>
      <c r="AR14" s="84" t="b">
        <v>0</v>
      </c>
      <c r="AS14" s="84" t="b">
        <v>1</v>
      </c>
      <c r="AT14" s="84"/>
      <c r="AU14" s="84">
        <v>32</v>
      </c>
      <c r="AV14" s="89" t="str">
        <f>HYPERLINK("http://abs.twimg.com/images/themes/theme14/bg.gif")</f>
        <v>http://abs.twimg.com/images/themes/theme14/bg.gif</v>
      </c>
      <c r="AW14" s="84" t="b">
        <v>0</v>
      </c>
      <c r="AX14" s="84" t="s">
        <v>344</v>
      </c>
      <c r="AY14" s="89" t="str">
        <f>HYPERLINK("https://twitter.com/adpr_uga")</f>
        <v>https://twitter.com/adpr_uga</v>
      </c>
      <c r="AZ14" s="84" t="s">
        <v>65</v>
      </c>
      <c r="BA14" s="84" t="str">
        <f>REPLACE(INDEX(GroupVertices[Group],MATCH(Vertices[[#This Row],[Vertex]],GroupVertices[Vertex],0)),1,1,"")</f>
        <v>1</v>
      </c>
      <c r="BB14" s="2"/>
      <c r="BC14" s="3"/>
      <c r="BD14" s="3"/>
      <c r="BE14" s="3"/>
      <c r="BF14" s="3"/>
    </row>
    <row r="15" spans="1:58" ht="15">
      <c r="A15" s="100" t="s">
        <v>225</v>
      </c>
      <c r="B15" s="101"/>
      <c r="C15" s="101"/>
      <c r="D15" s="102"/>
      <c r="E15" s="103"/>
      <c r="F15" s="116" t="str">
        <f>HYPERLINK("http://pbs.twimg.com/profile_images/950768051271606272/N45hz4MN_normal.jpg")</f>
        <v>http://pbs.twimg.com/profile_images/950768051271606272/N45hz4MN_normal.jpg</v>
      </c>
      <c r="G15" s="101"/>
      <c r="H15" s="104" t="s">
        <v>225</v>
      </c>
      <c r="I15" s="105"/>
      <c r="J15" s="105"/>
      <c r="K15" s="118" t="s">
        <v>356</v>
      </c>
      <c r="L15" s="106"/>
      <c r="M15" s="107">
        <v>3735.682861328125</v>
      </c>
      <c r="N15" s="107">
        <v>9834.54296875</v>
      </c>
      <c r="O15" s="108"/>
      <c r="P15" s="109"/>
      <c r="Q15" s="109"/>
      <c r="R15" s="110"/>
      <c r="S15" s="110"/>
      <c r="T15" s="110"/>
      <c r="U15" s="110"/>
      <c r="V15" s="111"/>
      <c r="W15" s="111"/>
      <c r="X15" s="111"/>
      <c r="Y15" s="111"/>
      <c r="Z15" s="112"/>
      <c r="AA15" s="113">
        <v>15</v>
      </c>
      <c r="AB15" s="113"/>
      <c r="AC15" s="114"/>
      <c r="AD15" s="84" t="s">
        <v>304</v>
      </c>
      <c r="AE15" s="92" t="s">
        <v>317</v>
      </c>
      <c r="AF15" s="84">
        <v>9814</v>
      </c>
      <c r="AG15" s="84">
        <v>216393</v>
      </c>
      <c r="AH15" s="84">
        <v>36817</v>
      </c>
      <c r="AI15" s="84">
        <v>12797</v>
      </c>
      <c r="AJ15" s="84"/>
      <c r="AK15" s="84" t="s">
        <v>330</v>
      </c>
      <c r="AL15" s="84" t="s">
        <v>343</v>
      </c>
      <c r="AM15" s="89" t="str">
        <f>HYPERLINK("http://wish.org")</f>
        <v>http://wish.org</v>
      </c>
      <c r="AN15" s="84"/>
      <c r="AO15" s="86">
        <v>40025.97673611111</v>
      </c>
      <c r="AP15" s="89" t="str">
        <f>HYPERLINK("https://pbs.twimg.com/profile_banners/61903300/1608936664")</f>
        <v>https://pbs.twimg.com/profile_banners/61903300/1608936664</v>
      </c>
      <c r="AQ15" s="84" t="b">
        <v>0</v>
      </c>
      <c r="AR15" s="84" t="b">
        <v>0</v>
      </c>
      <c r="AS15" s="84" t="b">
        <v>1</v>
      </c>
      <c r="AT15" s="84"/>
      <c r="AU15" s="84">
        <v>2578</v>
      </c>
      <c r="AV15" s="89" t="str">
        <f>HYPERLINK("http://abs.twimg.com/images/themes/theme1/bg.png")</f>
        <v>http://abs.twimg.com/images/themes/theme1/bg.png</v>
      </c>
      <c r="AW15" s="84" t="b">
        <v>1</v>
      </c>
      <c r="AX15" s="84" t="s">
        <v>344</v>
      </c>
      <c r="AY15" s="89" t="str">
        <f>HYPERLINK("https://twitter.com/makeawish")</f>
        <v>https://twitter.com/makeawish</v>
      </c>
      <c r="AZ15" s="84" t="s">
        <v>65</v>
      </c>
      <c r="BA15" s="84" t="str">
        <f>REPLACE(INDEX(GroupVertices[Group],MATCH(Vertices[[#This Row],[Vertex]],GroupVertices[Vertex],0)),1,1,"")</f>
        <v>1</v>
      </c>
      <c r="BB15" s="2"/>
      <c r="BC15" s="3"/>
      <c r="BD15" s="3"/>
      <c r="BE15" s="3"/>
      <c r="BF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403</v>
      </c>
    </row>
    <row r="3" spans="1:25" ht="15">
      <c r="A3" s="83" t="s">
        <v>396</v>
      </c>
      <c r="B3" s="121" t="s">
        <v>398</v>
      </c>
      <c r="C3" s="121" t="s">
        <v>56</v>
      </c>
      <c r="D3" s="119"/>
      <c r="E3" s="15"/>
      <c r="F3" s="16" t="s">
        <v>396</v>
      </c>
      <c r="G3" s="78"/>
      <c r="H3" s="78"/>
      <c r="I3" s="120">
        <v>3</v>
      </c>
      <c r="J3" s="65"/>
      <c r="K3" s="51">
        <v>11</v>
      </c>
      <c r="L3" s="51">
        <v>9</v>
      </c>
      <c r="M3" s="51">
        <v>11</v>
      </c>
      <c r="N3" s="51">
        <v>20</v>
      </c>
      <c r="O3" s="51">
        <v>0</v>
      </c>
      <c r="P3" s="52">
        <v>0</v>
      </c>
      <c r="Q3" s="52">
        <v>0</v>
      </c>
      <c r="R3" s="51">
        <v>1</v>
      </c>
      <c r="S3" s="51">
        <v>0</v>
      </c>
      <c r="T3" s="51">
        <v>11</v>
      </c>
      <c r="U3" s="51">
        <v>20</v>
      </c>
      <c r="V3" s="51">
        <v>2</v>
      </c>
      <c r="W3" s="52">
        <v>1.652893</v>
      </c>
      <c r="X3" s="52">
        <v>0.09090909090909091</v>
      </c>
      <c r="Y3" s="84" t="s">
        <v>404</v>
      </c>
    </row>
    <row r="4" spans="1:25" ht="15">
      <c r="A4" s="83" t="s">
        <v>397</v>
      </c>
      <c r="B4" s="121" t="s">
        <v>399</v>
      </c>
      <c r="C4" s="121" t="s">
        <v>56</v>
      </c>
      <c r="D4" s="119"/>
      <c r="E4" s="15"/>
      <c r="F4" s="16" t="s">
        <v>397</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396</v>
      </c>
      <c r="B2" s="92" t="s">
        <v>214</v>
      </c>
      <c r="C2" s="84">
        <f>VLOOKUP(GroupVertices[[#This Row],[Vertex]],Vertices[],MATCH("ID",Vertices[[#Headers],[Vertex]:[Vertex Group]],0),FALSE)</f>
        <v>5</v>
      </c>
    </row>
    <row r="3" spans="1:3" ht="15">
      <c r="A3" s="85" t="s">
        <v>396</v>
      </c>
      <c r="B3" s="92" t="s">
        <v>225</v>
      </c>
      <c r="C3" s="84">
        <f>VLOOKUP(GroupVertices[[#This Row],[Vertex]],Vertices[],MATCH("ID",Vertices[[#Headers],[Vertex]:[Vertex Group]],0),FALSE)</f>
        <v>15</v>
      </c>
    </row>
    <row r="4" spans="1:3" ht="15">
      <c r="A4" s="85" t="s">
        <v>396</v>
      </c>
      <c r="B4" s="92" t="s">
        <v>224</v>
      </c>
      <c r="C4" s="84">
        <f>VLOOKUP(GroupVertices[[#This Row],[Vertex]],Vertices[],MATCH("ID",Vertices[[#Headers],[Vertex]:[Vertex Group]],0),FALSE)</f>
        <v>14</v>
      </c>
    </row>
    <row r="5" spans="1:3" ht="15">
      <c r="A5" s="85" t="s">
        <v>396</v>
      </c>
      <c r="B5" s="92" t="s">
        <v>223</v>
      </c>
      <c r="C5" s="84">
        <f>VLOOKUP(GroupVertices[[#This Row],[Vertex]],Vertices[],MATCH("ID",Vertices[[#Headers],[Vertex]:[Vertex Group]],0),FALSE)</f>
        <v>13</v>
      </c>
    </row>
    <row r="6" spans="1:3" ht="15">
      <c r="A6" s="85" t="s">
        <v>396</v>
      </c>
      <c r="B6" s="92" t="s">
        <v>222</v>
      </c>
      <c r="C6" s="84">
        <f>VLOOKUP(GroupVertices[[#This Row],[Vertex]],Vertices[],MATCH("ID",Vertices[[#Headers],[Vertex]:[Vertex Group]],0),FALSE)</f>
        <v>12</v>
      </c>
    </row>
    <row r="7" spans="1:3" ht="15">
      <c r="A7" s="85" t="s">
        <v>396</v>
      </c>
      <c r="B7" s="92" t="s">
        <v>221</v>
      </c>
      <c r="C7" s="84">
        <f>VLOOKUP(GroupVertices[[#This Row],[Vertex]],Vertices[],MATCH("ID",Vertices[[#Headers],[Vertex]:[Vertex Group]],0),FALSE)</f>
        <v>11</v>
      </c>
    </row>
    <row r="8" spans="1:3" ht="15">
      <c r="A8" s="85" t="s">
        <v>396</v>
      </c>
      <c r="B8" s="92" t="s">
        <v>220</v>
      </c>
      <c r="C8" s="84">
        <f>VLOOKUP(GroupVertices[[#This Row],[Vertex]],Vertices[],MATCH("ID",Vertices[[#Headers],[Vertex]:[Vertex Group]],0),FALSE)</f>
        <v>10</v>
      </c>
    </row>
    <row r="9" spans="1:3" ht="15">
      <c r="A9" s="85" t="s">
        <v>396</v>
      </c>
      <c r="B9" s="92" t="s">
        <v>219</v>
      </c>
      <c r="C9" s="84">
        <f>VLOOKUP(GroupVertices[[#This Row],[Vertex]],Vertices[],MATCH("ID",Vertices[[#Headers],[Vertex]:[Vertex Group]],0),FALSE)</f>
        <v>9</v>
      </c>
    </row>
    <row r="10" spans="1:3" ht="15">
      <c r="A10" s="85" t="s">
        <v>396</v>
      </c>
      <c r="B10" s="92" t="s">
        <v>218</v>
      </c>
      <c r="C10" s="84">
        <f>VLOOKUP(GroupVertices[[#This Row],[Vertex]],Vertices[],MATCH("ID",Vertices[[#Headers],[Vertex]:[Vertex Group]],0),FALSE)</f>
        <v>8</v>
      </c>
    </row>
    <row r="11" spans="1:3" ht="15">
      <c r="A11" s="85" t="s">
        <v>396</v>
      </c>
      <c r="B11" s="92" t="s">
        <v>217</v>
      </c>
      <c r="C11" s="84">
        <f>VLOOKUP(GroupVertices[[#This Row],[Vertex]],Vertices[],MATCH("ID",Vertices[[#Headers],[Vertex]:[Vertex Group]],0),FALSE)</f>
        <v>7</v>
      </c>
    </row>
    <row r="12" spans="1:3" ht="15">
      <c r="A12" s="85" t="s">
        <v>396</v>
      </c>
      <c r="B12" s="92" t="s">
        <v>216</v>
      </c>
      <c r="C12" s="84">
        <f>VLOOKUP(GroupVertices[[#This Row],[Vertex]],Vertices[],MATCH("ID",Vertices[[#Headers],[Vertex]:[Vertex Group]],0),FALSE)</f>
        <v>6</v>
      </c>
    </row>
    <row r="13" spans="1:3" ht="15">
      <c r="A13" s="85" t="s">
        <v>397</v>
      </c>
      <c r="B13" s="92" t="s">
        <v>215</v>
      </c>
      <c r="C13" s="84">
        <f>VLOOKUP(GroupVertices[[#This Row],[Vertex]],Vertices[],MATCH("ID",Vertices[[#Headers],[Vertex]:[Vertex Group]],0),FALSE)</f>
        <v>3</v>
      </c>
    </row>
    <row r="14" spans="1:3" ht="15">
      <c r="A14" s="85" t="s">
        <v>397</v>
      </c>
      <c r="B14" s="92" t="s">
        <v>226</v>
      </c>
      <c r="C14"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IF(COUNT(Vertices[In-Degree])&gt;0,F36,NoMetricMessage)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IF(COUNT(Vertices[Out-Degree])&gt;0,H36,NoMetricMessage)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Centrality])&gt;0,J36,NoMetricMessage)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Centrality])&gt;0,L36,NoMetricMessage)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Centrality])&gt;0,N36,NoMetricMessage)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IF(COUNT(Vertices[PageRank])&gt;0,P36,NoMetricMessage)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Coefficient])&gt;0,R36,NoMetricMessage)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401</v>
      </c>
      <c r="BE2" s="13" t="s">
        <v>402</v>
      </c>
    </row>
    <row r="3" spans="1:57" ht="15" customHeight="1">
      <c r="A3" s="83" t="s">
        <v>215</v>
      </c>
      <c r="B3" s="83" t="s">
        <v>226</v>
      </c>
      <c r="C3" s="54"/>
      <c r="D3" s="55"/>
      <c r="E3" s="67"/>
      <c r="F3" s="56"/>
      <c r="G3" s="54"/>
      <c r="H3" s="58"/>
      <c r="I3" s="57"/>
      <c r="J3" s="57"/>
      <c r="K3" s="36" t="s">
        <v>65</v>
      </c>
      <c r="L3" s="63">
        <v>3</v>
      </c>
      <c r="M3" s="63"/>
      <c r="N3" s="64"/>
      <c r="O3" s="84" t="s">
        <v>228</v>
      </c>
      <c r="P3" s="86">
        <v>44210.78643518518</v>
      </c>
      <c r="Q3" s="84" t="s">
        <v>241</v>
      </c>
      <c r="R3" s="84"/>
      <c r="S3" s="84"/>
      <c r="T3" s="84" t="s">
        <v>246</v>
      </c>
      <c r="U3" s="84"/>
      <c r="V3" s="89" t="str">
        <f>HYPERLINK("http://pbs.twimg.com/profile_images/1151108027329732608/eFhqzf1Y_normal.png")</f>
        <v>http://pbs.twimg.com/profile_images/1151108027329732608/eFhqzf1Y_normal.png</v>
      </c>
      <c r="W3" s="86">
        <v>44210.78643518518</v>
      </c>
      <c r="X3" s="90">
        <v>44210</v>
      </c>
      <c r="Y3" s="92" t="s">
        <v>253</v>
      </c>
      <c r="Z3" s="89" t="str">
        <f>HYPERLINK("https://twitter.com/#!/ugagrady/status/1349791508547981314")</f>
        <v>https://twitter.com/#!/ugagrady/status/1349791508547981314</v>
      </c>
      <c r="AA3" s="84"/>
      <c r="AB3" s="84"/>
      <c r="AC3" s="92" t="s">
        <v>265</v>
      </c>
      <c r="AD3" s="84"/>
      <c r="AE3" s="84" t="b">
        <v>0</v>
      </c>
      <c r="AF3" s="84">
        <v>0</v>
      </c>
      <c r="AG3" s="92" t="s">
        <v>266</v>
      </c>
      <c r="AH3" s="84" t="b">
        <v>0</v>
      </c>
      <c r="AI3" s="84" t="s">
        <v>267</v>
      </c>
      <c r="AJ3" s="84"/>
      <c r="AK3" s="92" t="s">
        <v>266</v>
      </c>
      <c r="AL3" s="84" t="b">
        <v>0</v>
      </c>
      <c r="AM3" s="84">
        <v>1</v>
      </c>
      <c r="AN3" s="92" t="s">
        <v>263</v>
      </c>
      <c r="AO3" s="84" t="s">
        <v>270</v>
      </c>
      <c r="AP3" s="84" t="b">
        <v>0</v>
      </c>
      <c r="AQ3" s="92" t="s">
        <v>263</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227</v>
      </c>
      <c r="P4" s="87">
        <v>44208.75141203704</v>
      </c>
      <c r="Q4" s="85" t="s">
        <v>230</v>
      </c>
      <c r="R4" s="88" t="str">
        <f>HYPERLINK("https://seesuite.uga.edu/wp-content/uploads/2021/01/ADPR-5750_CHOA-Final-Assignment.pdf")</f>
        <v>https://seesuite.uga.edu/wp-content/uploads/2021/01/ADPR-5750_CHOA-Final-Assignment.pdf</v>
      </c>
      <c r="S4" s="85" t="s">
        <v>242</v>
      </c>
      <c r="T4" s="85" t="s">
        <v>243</v>
      </c>
      <c r="U4" s="88" t="str">
        <f>HYPERLINK("https://pbs.twimg.com/media/ErjNgC_W4AM3GEk.png")</f>
        <v>https://pbs.twimg.com/media/ErjNgC_W4AM3GEk.png</v>
      </c>
      <c r="V4" s="88" t="str">
        <f>HYPERLINK("https://pbs.twimg.com/media/ErjNgC_W4AM3GEk.png")</f>
        <v>https://pbs.twimg.com/media/ErjNgC_W4AM3GEk.png</v>
      </c>
      <c r="W4" s="87">
        <v>44208.75141203704</v>
      </c>
      <c r="X4" s="91">
        <v>44208</v>
      </c>
      <c r="Y4" s="93" t="s">
        <v>247</v>
      </c>
      <c r="Z4" s="88" t="str">
        <f>HYPERLINK("https://twitter.com/#!/seesuiteuga/status/1349054040278183937")</f>
        <v>https://twitter.com/#!/seesuiteuga/status/1349054040278183937</v>
      </c>
      <c r="AA4" s="85"/>
      <c r="AB4" s="85"/>
      <c r="AC4" s="93" t="s">
        <v>254</v>
      </c>
      <c r="AD4" s="85"/>
      <c r="AE4" s="85" t="b">
        <v>0</v>
      </c>
      <c r="AF4" s="85">
        <v>0</v>
      </c>
      <c r="AG4" s="93" t="s">
        <v>266</v>
      </c>
      <c r="AH4" s="85" t="b">
        <v>0</v>
      </c>
      <c r="AI4" s="85" t="s">
        <v>267</v>
      </c>
      <c r="AJ4" s="85"/>
      <c r="AK4" s="93" t="s">
        <v>266</v>
      </c>
      <c r="AL4" s="85" t="b">
        <v>0</v>
      </c>
      <c r="AM4" s="85">
        <v>0</v>
      </c>
      <c r="AN4" s="93" t="s">
        <v>266</v>
      </c>
      <c r="AO4" s="85" t="s">
        <v>268</v>
      </c>
      <c r="AP4" s="85" t="b">
        <v>0</v>
      </c>
      <c r="AQ4" s="93" t="s">
        <v>254</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217</v>
      </c>
      <c r="C5" s="54"/>
      <c r="D5" s="55"/>
      <c r="E5" s="67"/>
      <c r="F5" s="56"/>
      <c r="G5" s="54"/>
      <c r="H5" s="58"/>
      <c r="I5" s="57"/>
      <c r="J5" s="57"/>
      <c r="K5" s="36" t="s">
        <v>65</v>
      </c>
      <c r="L5" s="82">
        <v>5</v>
      </c>
      <c r="M5" s="82"/>
      <c r="N5" s="64"/>
      <c r="O5" s="85" t="s">
        <v>227</v>
      </c>
      <c r="P5" s="87">
        <v>44208.99655092593</v>
      </c>
      <c r="Q5" s="85" t="s">
        <v>231</v>
      </c>
      <c r="R5" s="88" t="str">
        <f>HYPERLINK("https://seesuite.uga.edu/wp-content/uploads/2020/12/ADPR5750_FFA_Final-Report.pdf")</f>
        <v>https://seesuite.uga.edu/wp-content/uploads/2020/12/ADPR5750_FFA_Final-Report.pdf</v>
      </c>
      <c r="S5" s="85" t="s">
        <v>242</v>
      </c>
      <c r="T5" s="85" t="s">
        <v>243</v>
      </c>
      <c r="U5" s="88" t="str">
        <f>HYPERLINK("https://pbs.twimg.com/media/ErkeTFGW4AA6HUn.png")</f>
        <v>https://pbs.twimg.com/media/ErkeTFGW4AA6HUn.png</v>
      </c>
      <c r="V5" s="88" t="str">
        <f>HYPERLINK("https://pbs.twimg.com/media/ErkeTFGW4AA6HUn.png")</f>
        <v>https://pbs.twimg.com/media/ErkeTFGW4AA6HUn.png</v>
      </c>
      <c r="W5" s="87">
        <v>44208.99655092593</v>
      </c>
      <c r="X5" s="91">
        <v>44208</v>
      </c>
      <c r="Y5" s="93" t="s">
        <v>248</v>
      </c>
      <c r="Z5" s="88" t="str">
        <f>HYPERLINK("https://twitter.com/#!/seesuiteuga/status/1349142877750886402")</f>
        <v>https://twitter.com/#!/seesuiteuga/status/1349142877750886402</v>
      </c>
      <c r="AA5" s="85"/>
      <c r="AB5" s="85"/>
      <c r="AC5" s="93" t="s">
        <v>255</v>
      </c>
      <c r="AD5" s="85"/>
      <c r="AE5" s="85" t="b">
        <v>0</v>
      </c>
      <c r="AF5" s="85">
        <v>0</v>
      </c>
      <c r="AG5" s="93" t="s">
        <v>266</v>
      </c>
      <c r="AH5" s="85" t="b">
        <v>0</v>
      </c>
      <c r="AI5" s="85" t="s">
        <v>267</v>
      </c>
      <c r="AJ5" s="85"/>
      <c r="AK5" s="93" t="s">
        <v>266</v>
      </c>
      <c r="AL5" s="85" t="b">
        <v>0</v>
      </c>
      <c r="AM5" s="85">
        <v>0</v>
      </c>
      <c r="AN5" s="93" t="s">
        <v>266</v>
      </c>
      <c r="AO5" s="85" t="s">
        <v>268</v>
      </c>
      <c r="AP5" s="85" t="b">
        <v>0</v>
      </c>
      <c r="AQ5" s="93" t="s">
        <v>255</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214</v>
      </c>
      <c r="B6" s="83" t="s">
        <v>218</v>
      </c>
      <c r="C6" s="54"/>
      <c r="D6" s="55"/>
      <c r="E6" s="67"/>
      <c r="F6" s="56"/>
      <c r="G6" s="54"/>
      <c r="H6" s="58"/>
      <c r="I6" s="57"/>
      <c r="J6" s="57"/>
      <c r="K6" s="36" t="s">
        <v>65</v>
      </c>
      <c r="L6" s="82">
        <v>6</v>
      </c>
      <c r="M6" s="82"/>
      <c r="N6" s="64"/>
      <c r="O6" s="85" t="s">
        <v>227</v>
      </c>
      <c r="P6" s="87">
        <v>44209.751435185186</v>
      </c>
      <c r="Q6" s="85" t="s">
        <v>232</v>
      </c>
      <c r="R6" s="88" t="str">
        <f>HYPERLINK("https://seesuite.uga.edu/wp-content/uploads/2020/12/7750-Final_Feeding_America.pdf")</f>
        <v>https://seesuite.uga.edu/wp-content/uploads/2020/12/7750-Final_Feeding_America.pdf</v>
      </c>
      <c r="S6" s="85" t="s">
        <v>242</v>
      </c>
      <c r="T6" s="85" t="s">
        <v>243</v>
      </c>
      <c r="U6" s="88" t="str">
        <f>HYPERLINK("https://pbs.twimg.com/media/EroXGVQWMAQrOWe.png")</f>
        <v>https://pbs.twimg.com/media/EroXGVQWMAQrOWe.png</v>
      </c>
      <c r="V6" s="88" t="str">
        <f>HYPERLINK("https://pbs.twimg.com/media/EroXGVQWMAQrOWe.png")</f>
        <v>https://pbs.twimg.com/media/EroXGVQWMAQrOWe.png</v>
      </c>
      <c r="W6" s="87">
        <v>44209.751435185186</v>
      </c>
      <c r="X6" s="91">
        <v>44209</v>
      </c>
      <c r="Y6" s="93" t="s">
        <v>249</v>
      </c>
      <c r="Z6" s="88" t="str">
        <f>HYPERLINK("https://twitter.com/#!/seesuiteuga/status/1349416437425823747")</f>
        <v>https://twitter.com/#!/seesuiteuga/status/1349416437425823747</v>
      </c>
      <c r="AA6" s="85"/>
      <c r="AB6" s="85"/>
      <c r="AC6" s="93" t="s">
        <v>256</v>
      </c>
      <c r="AD6" s="85"/>
      <c r="AE6" s="85" t="b">
        <v>0</v>
      </c>
      <c r="AF6" s="85">
        <v>1</v>
      </c>
      <c r="AG6" s="93" t="s">
        <v>266</v>
      </c>
      <c r="AH6" s="85" t="b">
        <v>0</v>
      </c>
      <c r="AI6" s="85" t="s">
        <v>267</v>
      </c>
      <c r="AJ6" s="85"/>
      <c r="AK6" s="93" t="s">
        <v>266</v>
      </c>
      <c r="AL6" s="85" t="b">
        <v>0</v>
      </c>
      <c r="AM6" s="85">
        <v>0</v>
      </c>
      <c r="AN6" s="93" t="s">
        <v>266</v>
      </c>
      <c r="AO6" s="85" t="s">
        <v>268</v>
      </c>
      <c r="AP6" s="85" t="b">
        <v>0</v>
      </c>
      <c r="AQ6" s="93" t="s">
        <v>256</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219</v>
      </c>
      <c r="C7" s="54"/>
      <c r="D7" s="55"/>
      <c r="E7" s="67"/>
      <c r="F7" s="56"/>
      <c r="G7" s="54"/>
      <c r="H7" s="58"/>
      <c r="I7" s="57"/>
      <c r="J7" s="57"/>
      <c r="K7" s="36" t="s">
        <v>65</v>
      </c>
      <c r="L7" s="82">
        <v>7</v>
      </c>
      <c r="M7" s="82"/>
      <c r="N7" s="64"/>
      <c r="O7" s="85" t="s">
        <v>227</v>
      </c>
      <c r="P7" s="87">
        <v>44209.99655092593</v>
      </c>
      <c r="Q7" s="85" t="s">
        <v>233</v>
      </c>
      <c r="R7" s="88" t="str">
        <f>HYPERLINK("https://seesuite.uga.edu/wp-content/uploads/2021/01/7750_FinalReport_GirlScoutsofAmerica.pdf")</f>
        <v>https://seesuite.uga.edu/wp-content/uploads/2021/01/7750_FinalReport_GirlScoutsofAmerica.pdf</v>
      </c>
      <c r="S7" s="85" t="s">
        <v>242</v>
      </c>
      <c r="T7" s="85" t="s">
        <v>244</v>
      </c>
      <c r="U7" s="88" t="str">
        <f>HYPERLINK("https://pbs.twimg.com/media/Erpn42SW8AE46if.png")</f>
        <v>https://pbs.twimg.com/media/Erpn42SW8AE46if.png</v>
      </c>
      <c r="V7" s="88" t="str">
        <f>HYPERLINK("https://pbs.twimg.com/media/Erpn42SW8AE46if.png")</f>
        <v>https://pbs.twimg.com/media/Erpn42SW8AE46if.png</v>
      </c>
      <c r="W7" s="87">
        <v>44209.99655092593</v>
      </c>
      <c r="X7" s="91">
        <v>44209</v>
      </c>
      <c r="Y7" s="93" t="s">
        <v>248</v>
      </c>
      <c r="Z7" s="88" t="str">
        <f>HYPERLINK("https://twitter.com/#!/seesuiteuga/status/1349505265939447808")</f>
        <v>https://twitter.com/#!/seesuiteuga/status/1349505265939447808</v>
      </c>
      <c r="AA7" s="85"/>
      <c r="AB7" s="85"/>
      <c r="AC7" s="93" t="s">
        <v>257</v>
      </c>
      <c r="AD7" s="85"/>
      <c r="AE7" s="85" t="b">
        <v>0</v>
      </c>
      <c r="AF7" s="85">
        <v>3</v>
      </c>
      <c r="AG7" s="93" t="s">
        <v>266</v>
      </c>
      <c r="AH7" s="85" t="b">
        <v>0</v>
      </c>
      <c r="AI7" s="85" t="s">
        <v>267</v>
      </c>
      <c r="AJ7" s="85"/>
      <c r="AK7" s="93" t="s">
        <v>266</v>
      </c>
      <c r="AL7" s="85" t="b">
        <v>0</v>
      </c>
      <c r="AM7" s="85">
        <v>0</v>
      </c>
      <c r="AN7" s="93" t="s">
        <v>266</v>
      </c>
      <c r="AO7" s="85" t="s">
        <v>268</v>
      </c>
      <c r="AP7" s="85" t="b">
        <v>0</v>
      </c>
      <c r="AQ7" s="93" t="s">
        <v>257</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220</v>
      </c>
      <c r="C8" s="54"/>
      <c r="D8" s="55"/>
      <c r="E8" s="67"/>
      <c r="F8" s="56"/>
      <c r="G8" s="54"/>
      <c r="H8" s="58"/>
      <c r="I8" s="57"/>
      <c r="J8" s="57"/>
      <c r="K8" s="36" t="s">
        <v>65</v>
      </c>
      <c r="L8" s="82">
        <v>8</v>
      </c>
      <c r="M8" s="82"/>
      <c r="N8" s="64"/>
      <c r="O8" s="85" t="s">
        <v>227</v>
      </c>
      <c r="P8" s="87">
        <v>44210.75141203704</v>
      </c>
      <c r="Q8" s="85" t="s">
        <v>234</v>
      </c>
      <c r="R8" s="88" t="str">
        <f>HYPERLINK("https://seesuite.uga.edu/wp-content/uploads/2020/12/5750_FinalRerport_Greepeace.pdf")</f>
        <v>https://seesuite.uga.edu/wp-content/uploads/2020/12/5750_FinalRerport_Greepeace.pdf</v>
      </c>
      <c r="S8" s="85" t="s">
        <v>242</v>
      </c>
      <c r="T8" s="85" t="s">
        <v>243</v>
      </c>
      <c r="U8" s="88" t="str">
        <f>HYPERLINK("https://pbs.twimg.com/media/ErtgrmAW4AUrUwg.jpg")</f>
        <v>https://pbs.twimg.com/media/ErtgrmAW4AUrUwg.jpg</v>
      </c>
      <c r="V8" s="88" t="str">
        <f>HYPERLINK("https://pbs.twimg.com/media/ErtgrmAW4AUrUwg.jpg")</f>
        <v>https://pbs.twimg.com/media/ErtgrmAW4AUrUwg.jpg</v>
      </c>
      <c r="W8" s="87">
        <v>44210.75141203704</v>
      </c>
      <c r="X8" s="91">
        <v>44210</v>
      </c>
      <c r="Y8" s="93" t="s">
        <v>247</v>
      </c>
      <c r="Z8" s="88" t="str">
        <f>HYPERLINK("https://twitter.com/#!/seesuiteuga/status/1349778816839901186")</f>
        <v>https://twitter.com/#!/seesuiteuga/status/1349778816839901186</v>
      </c>
      <c r="AA8" s="85"/>
      <c r="AB8" s="85"/>
      <c r="AC8" s="93" t="s">
        <v>258</v>
      </c>
      <c r="AD8" s="85"/>
      <c r="AE8" s="85" t="b">
        <v>0</v>
      </c>
      <c r="AF8" s="85">
        <v>0</v>
      </c>
      <c r="AG8" s="93" t="s">
        <v>266</v>
      </c>
      <c r="AH8" s="85" t="b">
        <v>0</v>
      </c>
      <c r="AI8" s="85" t="s">
        <v>267</v>
      </c>
      <c r="AJ8" s="85"/>
      <c r="AK8" s="93" t="s">
        <v>266</v>
      </c>
      <c r="AL8" s="85" t="b">
        <v>0</v>
      </c>
      <c r="AM8" s="85">
        <v>0</v>
      </c>
      <c r="AN8" s="93" t="s">
        <v>266</v>
      </c>
      <c r="AO8" s="85" t="s">
        <v>268</v>
      </c>
      <c r="AP8" s="85" t="b">
        <v>0</v>
      </c>
      <c r="AQ8" s="93" t="s">
        <v>258</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214</v>
      </c>
      <c r="B9" s="83" t="s">
        <v>221</v>
      </c>
      <c r="C9" s="54"/>
      <c r="D9" s="55"/>
      <c r="E9" s="67"/>
      <c r="F9" s="56"/>
      <c r="G9" s="54"/>
      <c r="H9" s="58"/>
      <c r="I9" s="57"/>
      <c r="J9" s="57"/>
      <c r="K9" s="36" t="s">
        <v>65</v>
      </c>
      <c r="L9" s="82">
        <v>9</v>
      </c>
      <c r="M9" s="82"/>
      <c r="N9" s="64"/>
      <c r="O9" s="85" t="s">
        <v>227</v>
      </c>
      <c r="P9" s="87">
        <v>44210.99655092593</v>
      </c>
      <c r="Q9" s="85" t="s">
        <v>235</v>
      </c>
      <c r="R9" s="88" t="str">
        <f>HYPERLINK("https://seesuite.uga.edu/wp-content/uploads/2021/01/ADPR-5750_Habitat-Final-Report.pdf")</f>
        <v>https://seesuite.uga.edu/wp-content/uploads/2021/01/ADPR-5750_Habitat-Final-Report.pdf</v>
      </c>
      <c r="S9" s="85" t="s">
        <v>242</v>
      </c>
      <c r="T9" s="85" t="s">
        <v>244</v>
      </c>
      <c r="U9" s="88" t="str">
        <f>HYPERLINK("https://pbs.twimg.com/media/EruxeqBXYAAzMFa.jpg")</f>
        <v>https://pbs.twimg.com/media/EruxeqBXYAAzMFa.jpg</v>
      </c>
      <c r="V9" s="88" t="str">
        <f>HYPERLINK("https://pbs.twimg.com/media/EruxeqBXYAAzMFa.jpg")</f>
        <v>https://pbs.twimg.com/media/EruxeqBXYAAzMFa.jpg</v>
      </c>
      <c r="W9" s="87">
        <v>44210.99655092593</v>
      </c>
      <c r="X9" s="91">
        <v>44210</v>
      </c>
      <c r="Y9" s="93" t="s">
        <v>248</v>
      </c>
      <c r="Z9" s="88" t="str">
        <f>HYPERLINK("https://twitter.com/#!/seesuiteuga/status/1349867654832676868")</f>
        <v>https://twitter.com/#!/seesuiteuga/status/1349867654832676868</v>
      </c>
      <c r="AA9" s="85"/>
      <c r="AB9" s="85"/>
      <c r="AC9" s="93" t="s">
        <v>259</v>
      </c>
      <c r="AD9" s="85"/>
      <c r="AE9" s="85" t="b">
        <v>0</v>
      </c>
      <c r="AF9" s="85">
        <v>0</v>
      </c>
      <c r="AG9" s="93" t="s">
        <v>266</v>
      </c>
      <c r="AH9" s="85" t="b">
        <v>0</v>
      </c>
      <c r="AI9" s="85" t="s">
        <v>267</v>
      </c>
      <c r="AJ9" s="85"/>
      <c r="AK9" s="93" t="s">
        <v>266</v>
      </c>
      <c r="AL9" s="85" t="b">
        <v>0</v>
      </c>
      <c r="AM9" s="85">
        <v>0</v>
      </c>
      <c r="AN9" s="93" t="s">
        <v>266</v>
      </c>
      <c r="AO9" s="85" t="s">
        <v>268</v>
      </c>
      <c r="AP9" s="85" t="b">
        <v>0</v>
      </c>
      <c r="AQ9" s="93" t="s">
        <v>259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214</v>
      </c>
      <c r="B10" s="83" t="s">
        <v>222</v>
      </c>
      <c r="C10" s="54"/>
      <c r="D10" s="55"/>
      <c r="E10" s="67"/>
      <c r="F10" s="56"/>
      <c r="G10" s="54"/>
      <c r="H10" s="58"/>
      <c r="I10" s="57"/>
      <c r="J10" s="57"/>
      <c r="K10" s="36" t="s">
        <v>65</v>
      </c>
      <c r="L10" s="82">
        <v>10</v>
      </c>
      <c r="M10" s="82"/>
      <c r="N10" s="64"/>
      <c r="O10" s="85" t="s">
        <v>227</v>
      </c>
      <c r="P10" s="87">
        <v>44211.75141203704</v>
      </c>
      <c r="Q10" s="85" t="s">
        <v>236</v>
      </c>
      <c r="R10" s="88" t="str">
        <f>HYPERLINK("https://seesuite.uga.edu/wp-content/uploads/2020/12/5750_FinalRerport_HRC.pdf")</f>
        <v>https://seesuite.uga.edu/wp-content/uploads/2020/12/5750_FinalRerport_HRC.pdf</v>
      </c>
      <c r="S10" s="85" t="s">
        <v>242</v>
      </c>
      <c r="T10" s="85" t="s">
        <v>243</v>
      </c>
      <c r="U10" s="88" t="str">
        <f>HYPERLINK("https://pbs.twimg.com/media/EryqRafXAAUGglW.png")</f>
        <v>https://pbs.twimg.com/media/EryqRafXAAUGglW.png</v>
      </c>
      <c r="V10" s="88" t="str">
        <f>HYPERLINK("https://pbs.twimg.com/media/EryqRafXAAUGglW.png")</f>
        <v>https://pbs.twimg.com/media/EryqRafXAAUGglW.png</v>
      </c>
      <c r="W10" s="87">
        <v>44211.75141203704</v>
      </c>
      <c r="X10" s="91">
        <v>44211</v>
      </c>
      <c r="Y10" s="93" t="s">
        <v>247</v>
      </c>
      <c r="Z10" s="88" t="str">
        <f>HYPERLINK("https://twitter.com/#!/seesuiteuga/status/1350141205770870785")</f>
        <v>https://twitter.com/#!/seesuiteuga/status/1350141205770870785</v>
      </c>
      <c r="AA10" s="85"/>
      <c r="AB10" s="85"/>
      <c r="AC10" s="93" t="s">
        <v>260</v>
      </c>
      <c r="AD10" s="85"/>
      <c r="AE10" s="85" t="b">
        <v>0</v>
      </c>
      <c r="AF10" s="85">
        <v>1</v>
      </c>
      <c r="AG10" s="93" t="s">
        <v>266</v>
      </c>
      <c r="AH10" s="85" t="b">
        <v>0</v>
      </c>
      <c r="AI10" s="85" t="s">
        <v>267</v>
      </c>
      <c r="AJ10" s="85"/>
      <c r="AK10" s="93" t="s">
        <v>266</v>
      </c>
      <c r="AL10" s="85" t="b">
        <v>0</v>
      </c>
      <c r="AM10" s="85">
        <v>0</v>
      </c>
      <c r="AN10" s="93" t="s">
        <v>266</v>
      </c>
      <c r="AO10" s="85" t="s">
        <v>268</v>
      </c>
      <c r="AP10" s="85" t="b">
        <v>0</v>
      </c>
      <c r="AQ10" s="93" t="s">
        <v>260</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214</v>
      </c>
      <c r="B11" s="83" t="s">
        <v>223</v>
      </c>
      <c r="C11" s="54"/>
      <c r="D11" s="55"/>
      <c r="E11" s="67"/>
      <c r="F11" s="56"/>
      <c r="G11" s="54"/>
      <c r="H11" s="58"/>
      <c r="I11" s="57"/>
      <c r="J11" s="57"/>
      <c r="K11" s="36" t="s">
        <v>65</v>
      </c>
      <c r="L11" s="82">
        <v>11</v>
      </c>
      <c r="M11" s="82"/>
      <c r="N11" s="64"/>
      <c r="O11" s="85" t="s">
        <v>227</v>
      </c>
      <c r="P11" s="87">
        <v>44211.90416666667</v>
      </c>
      <c r="Q11" s="85" t="s">
        <v>237</v>
      </c>
      <c r="R11" s="88" t="str">
        <f>HYPERLINK("https://seesuite.uga.edu/wp-content/uploads/2020/12/ADPR5750_NAACP_Final-Report-1.pdf")</f>
        <v>https://seesuite.uga.edu/wp-content/uploads/2020/12/ADPR5750_NAACP_Final-Report-1.pdf</v>
      </c>
      <c r="S11" s="85" t="s">
        <v>242</v>
      </c>
      <c r="T11" s="85" t="s">
        <v>243</v>
      </c>
      <c r="U11" s="88" t="str">
        <f>HYPERLINK("https://pbs.twimg.com/media/ErzcnjPXIAYbX0E.png")</f>
        <v>https://pbs.twimg.com/media/ErzcnjPXIAYbX0E.png</v>
      </c>
      <c r="V11" s="88" t="str">
        <f>HYPERLINK("https://pbs.twimg.com/media/ErzcnjPXIAYbX0E.png")</f>
        <v>https://pbs.twimg.com/media/ErzcnjPXIAYbX0E.png</v>
      </c>
      <c r="W11" s="87">
        <v>44211.90416666667</v>
      </c>
      <c r="X11" s="91">
        <v>44211</v>
      </c>
      <c r="Y11" s="93" t="s">
        <v>250</v>
      </c>
      <c r="Z11" s="88" t="str">
        <f>HYPERLINK("https://twitter.com/#!/seesuiteuga/status/1350196562287276034")</f>
        <v>https://twitter.com/#!/seesuiteuga/status/1350196562287276034</v>
      </c>
      <c r="AA11" s="85"/>
      <c r="AB11" s="85"/>
      <c r="AC11" s="93" t="s">
        <v>261</v>
      </c>
      <c r="AD11" s="85"/>
      <c r="AE11" s="85" t="b">
        <v>0</v>
      </c>
      <c r="AF11" s="85">
        <v>0</v>
      </c>
      <c r="AG11" s="93" t="s">
        <v>266</v>
      </c>
      <c r="AH11" s="85" t="b">
        <v>0</v>
      </c>
      <c r="AI11" s="85" t="s">
        <v>267</v>
      </c>
      <c r="AJ11" s="85"/>
      <c r="AK11" s="93" t="s">
        <v>266</v>
      </c>
      <c r="AL11" s="85" t="b">
        <v>0</v>
      </c>
      <c r="AM11" s="85">
        <v>0</v>
      </c>
      <c r="AN11" s="93" t="s">
        <v>266</v>
      </c>
      <c r="AO11" s="85" t="s">
        <v>268</v>
      </c>
      <c r="AP11" s="85" t="b">
        <v>0</v>
      </c>
      <c r="AQ11" s="93" t="s">
        <v>261</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214</v>
      </c>
      <c r="B12" s="83" t="s">
        <v>224</v>
      </c>
      <c r="C12" s="54"/>
      <c r="D12" s="55"/>
      <c r="E12" s="67"/>
      <c r="F12" s="56"/>
      <c r="G12" s="54"/>
      <c r="H12" s="58"/>
      <c r="I12" s="57"/>
      <c r="J12" s="57"/>
      <c r="K12" s="36" t="s">
        <v>65</v>
      </c>
      <c r="L12" s="82">
        <v>12</v>
      </c>
      <c r="M12" s="82"/>
      <c r="N12" s="64"/>
      <c r="O12" s="85" t="s">
        <v>227</v>
      </c>
      <c r="P12" s="87">
        <v>44207.9965625</v>
      </c>
      <c r="Q12" s="85" t="s">
        <v>238</v>
      </c>
      <c r="R12" s="88" t="str">
        <f>HYPERLINK("https://seesuite.uga.edu/wp-content/uploads/2020/12/5750_FinalRerport_ARC.pdf")</f>
        <v>https://seesuite.uga.edu/wp-content/uploads/2020/12/5750_FinalRerport_ARC.pdf</v>
      </c>
      <c r="S12" s="85" t="s">
        <v>242</v>
      </c>
      <c r="T12" s="85" t="s">
        <v>245</v>
      </c>
      <c r="U12" s="88" t="str">
        <f>HYPERLINK("https://pbs.twimg.com/media/ErfUtdnXcAISNul.jpg")</f>
        <v>https://pbs.twimg.com/media/ErfUtdnXcAISNul.jpg</v>
      </c>
      <c r="V12" s="88" t="str">
        <f>HYPERLINK("https://pbs.twimg.com/media/ErfUtdnXcAISNul.jpg")</f>
        <v>https://pbs.twimg.com/media/ErfUtdnXcAISNul.jpg</v>
      </c>
      <c r="W12" s="87">
        <v>44207.9965625</v>
      </c>
      <c r="X12" s="91">
        <v>44207</v>
      </c>
      <c r="Y12" s="93" t="s">
        <v>251</v>
      </c>
      <c r="Z12" s="88" t="str">
        <f>HYPERLINK("https://twitter.com/#!/seesuiteuga/status/1348780492271792131")</f>
        <v>https://twitter.com/#!/seesuiteuga/status/1348780492271792131</v>
      </c>
      <c r="AA12" s="85"/>
      <c r="AB12" s="85"/>
      <c r="AC12" s="93" t="s">
        <v>262</v>
      </c>
      <c r="AD12" s="85"/>
      <c r="AE12" s="85" t="b">
        <v>0</v>
      </c>
      <c r="AF12" s="85">
        <v>0</v>
      </c>
      <c r="AG12" s="93" t="s">
        <v>266</v>
      </c>
      <c r="AH12" s="85" t="b">
        <v>0</v>
      </c>
      <c r="AI12" s="85" t="s">
        <v>267</v>
      </c>
      <c r="AJ12" s="85"/>
      <c r="AK12" s="93" t="s">
        <v>266</v>
      </c>
      <c r="AL12" s="85" t="b">
        <v>0</v>
      </c>
      <c r="AM12" s="85">
        <v>0</v>
      </c>
      <c r="AN12" s="93" t="s">
        <v>266</v>
      </c>
      <c r="AO12" s="85" t="s">
        <v>268</v>
      </c>
      <c r="AP12" s="85" t="b">
        <v>0</v>
      </c>
      <c r="AQ12" s="93" t="s">
        <v>262</v>
      </c>
      <c r="AR12" s="85" t="s">
        <v>176</v>
      </c>
      <c r="AS12" s="85">
        <v>0</v>
      </c>
      <c r="AT12" s="85">
        <v>0</v>
      </c>
      <c r="AU12" s="85"/>
      <c r="AV12" s="85"/>
      <c r="AW12" s="85"/>
      <c r="AX12" s="85"/>
      <c r="AY12" s="85"/>
      <c r="AZ12" s="85"/>
      <c r="BA12" s="85"/>
      <c r="BB12" s="85"/>
      <c r="BC12">
        <v>11</v>
      </c>
      <c r="BD12" s="84" t="str">
        <f>REPLACE(INDEX(GroupVertices[Group],MATCH(Edges11[[#This Row],[Vertex 1]],GroupVertices[Vertex],0)),1,1,"")</f>
        <v>1</v>
      </c>
      <c r="BE12" s="84" t="str">
        <f>REPLACE(INDEX(GroupVertices[Group],MATCH(Edges11[[#This Row],[Vertex 2]],GroupVertices[Vertex],0)),1,1,"")</f>
        <v>1</v>
      </c>
    </row>
    <row r="13" spans="1:57" ht="15">
      <c r="A13" s="83" t="s">
        <v>214</v>
      </c>
      <c r="B13" s="83" t="s">
        <v>224</v>
      </c>
      <c r="C13" s="54"/>
      <c r="D13" s="55"/>
      <c r="E13" s="67"/>
      <c r="F13" s="56"/>
      <c r="G13" s="54"/>
      <c r="H13" s="58"/>
      <c r="I13" s="57"/>
      <c r="J13" s="57"/>
      <c r="K13" s="36" t="s">
        <v>65</v>
      </c>
      <c r="L13" s="82">
        <v>18</v>
      </c>
      <c r="M13" s="82"/>
      <c r="N13" s="64"/>
      <c r="O13" s="85" t="s">
        <v>227</v>
      </c>
      <c r="P13" s="87">
        <v>44210.76814814815</v>
      </c>
      <c r="Q13" s="85" t="s">
        <v>239</v>
      </c>
      <c r="R13" s="85"/>
      <c r="S13" s="85"/>
      <c r="T13" s="85" t="s">
        <v>246</v>
      </c>
      <c r="U13" s="88" t="str">
        <f>HYPERLINK("https://pbs.twimg.com/media/ErtlVeFXUAEUvng.jpg")</f>
        <v>https://pbs.twimg.com/media/ErtlVeFXUAEUvng.jpg</v>
      </c>
      <c r="V13" s="88" t="str">
        <f>HYPERLINK("https://pbs.twimg.com/media/ErtlVeFXUAEUvng.jpg")</f>
        <v>https://pbs.twimg.com/media/ErtlVeFXUAEUvng.jpg</v>
      </c>
      <c r="W13" s="87">
        <v>44210.76814814815</v>
      </c>
      <c r="X13" s="91">
        <v>44210</v>
      </c>
      <c r="Y13" s="93" t="s">
        <v>252</v>
      </c>
      <c r="Z13" s="88" t="str">
        <f>HYPERLINK("https://twitter.com/#!/seesuiteuga/status/1349784884173221889")</f>
        <v>https://twitter.com/#!/seesuiteuga/status/1349784884173221889</v>
      </c>
      <c r="AA13" s="85"/>
      <c r="AB13" s="85"/>
      <c r="AC13" s="93" t="s">
        <v>263</v>
      </c>
      <c r="AD13" s="85"/>
      <c r="AE13" s="85" t="b">
        <v>0</v>
      </c>
      <c r="AF13" s="85">
        <v>5</v>
      </c>
      <c r="AG13" s="93" t="s">
        <v>266</v>
      </c>
      <c r="AH13" s="85" t="b">
        <v>0</v>
      </c>
      <c r="AI13" s="85" t="s">
        <v>267</v>
      </c>
      <c r="AJ13" s="85"/>
      <c r="AK13" s="93" t="s">
        <v>266</v>
      </c>
      <c r="AL13" s="85" t="b">
        <v>0</v>
      </c>
      <c r="AM13" s="85">
        <v>1</v>
      </c>
      <c r="AN13" s="93" t="s">
        <v>266</v>
      </c>
      <c r="AO13" s="85" t="s">
        <v>269</v>
      </c>
      <c r="AP13" s="85" t="b">
        <v>0</v>
      </c>
      <c r="AQ13" s="93" t="s">
        <v>263</v>
      </c>
      <c r="AR13" s="85" t="s">
        <v>176</v>
      </c>
      <c r="AS13" s="85">
        <v>0</v>
      </c>
      <c r="AT13" s="85">
        <v>0</v>
      </c>
      <c r="AU13" s="85"/>
      <c r="AV13" s="85"/>
      <c r="AW13" s="85"/>
      <c r="AX13" s="85"/>
      <c r="AY13" s="85"/>
      <c r="AZ13" s="85"/>
      <c r="BA13" s="85"/>
      <c r="BB13" s="85"/>
      <c r="BC13">
        <v>11</v>
      </c>
      <c r="BD13" s="84" t="str">
        <f>REPLACE(INDEX(GroupVertices[Group],MATCH(Edges11[[#This Row],[Vertex 1]],GroupVertices[Vertex],0)),1,1,"")</f>
        <v>1</v>
      </c>
      <c r="BE13" s="84" t="str">
        <f>REPLACE(INDEX(GroupVertices[Group],MATCH(Edges11[[#This Row],[Vertex 2]],GroupVertices[Vertex],0)),1,1,"")</f>
        <v>1</v>
      </c>
    </row>
    <row r="14" spans="1:57" ht="15">
      <c r="A14" s="83" t="s">
        <v>214</v>
      </c>
      <c r="B14" s="83" t="s">
        <v>224</v>
      </c>
      <c r="C14" s="54"/>
      <c r="D14" s="55"/>
      <c r="E14" s="67"/>
      <c r="F14" s="56"/>
      <c r="G14" s="54"/>
      <c r="H14" s="58"/>
      <c r="I14" s="57"/>
      <c r="J14" s="57"/>
      <c r="K14" s="36" t="s">
        <v>65</v>
      </c>
      <c r="L14" s="82">
        <v>22</v>
      </c>
      <c r="M14" s="82"/>
      <c r="N14" s="64"/>
      <c r="O14" s="85" t="s">
        <v>227</v>
      </c>
      <c r="P14" s="87">
        <v>44211.99655092593</v>
      </c>
      <c r="Q14" s="85" t="s">
        <v>240</v>
      </c>
      <c r="R14" s="88" t="str">
        <f>HYPERLINK("https://seesuite.uga.edu/wp-content/uploads/2021/01/ADPR-5750_MAW.pdf")</f>
        <v>https://seesuite.uga.edu/wp-content/uploads/2021/01/ADPR-5750_MAW.pdf</v>
      </c>
      <c r="S14" s="85" t="s">
        <v>242</v>
      </c>
      <c r="T14" s="85" t="s">
        <v>244</v>
      </c>
      <c r="U14" s="88" t="str">
        <f>HYPERLINK("https://pbs.twimg.com/media/Erz7ERCXAAIzt2H.png")</f>
        <v>https://pbs.twimg.com/media/Erz7ERCXAAIzt2H.png</v>
      </c>
      <c r="V14" s="88" t="str">
        <f>HYPERLINK("https://pbs.twimg.com/media/Erz7ERCXAAIzt2H.png")</f>
        <v>https://pbs.twimg.com/media/Erz7ERCXAAIzt2H.png</v>
      </c>
      <c r="W14" s="87">
        <v>44211.99655092593</v>
      </c>
      <c r="X14" s="91">
        <v>44211</v>
      </c>
      <c r="Y14" s="93" t="s">
        <v>248</v>
      </c>
      <c r="Z14" s="88" t="str">
        <f>HYPERLINK("https://twitter.com/#!/seesuiteuga/status/1350230040550797318")</f>
        <v>https://twitter.com/#!/seesuiteuga/status/1350230040550797318</v>
      </c>
      <c r="AA14" s="85"/>
      <c r="AB14" s="85"/>
      <c r="AC14" s="93" t="s">
        <v>264</v>
      </c>
      <c r="AD14" s="85"/>
      <c r="AE14" s="85" t="b">
        <v>0</v>
      </c>
      <c r="AF14" s="85">
        <v>0</v>
      </c>
      <c r="AG14" s="93" t="s">
        <v>266</v>
      </c>
      <c r="AH14" s="85" t="b">
        <v>0</v>
      </c>
      <c r="AI14" s="85" t="s">
        <v>267</v>
      </c>
      <c r="AJ14" s="85"/>
      <c r="AK14" s="93" t="s">
        <v>266</v>
      </c>
      <c r="AL14" s="85" t="b">
        <v>0</v>
      </c>
      <c r="AM14" s="85">
        <v>0</v>
      </c>
      <c r="AN14" s="93" t="s">
        <v>266</v>
      </c>
      <c r="AO14" s="85" t="s">
        <v>268</v>
      </c>
      <c r="AP14" s="85" t="b">
        <v>0</v>
      </c>
      <c r="AQ14" s="93" t="s">
        <v>264</v>
      </c>
      <c r="AR14" s="85" t="s">
        <v>176</v>
      </c>
      <c r="AS14" s="85">
        <v>0</v>
      </c>
      <c r="AT14" s="85">
        <v>0</v>
      </c>
      <c r="AU14" s="85"/>
      <c r="AV14" s="85"/>
      <c r="AW14" s="85"/>
      <c r="AX14" s="85"/>
      <c r="AY14" s="85"/>
      <c r="AZ14" s="85"/>
      <c r="BA14" s="85"/>
      <c r="BB14" s="85"/>
      <c r="BC14">
        <v>11</v>
      </c>
      <c r="BD14" s="84" t="str">
        <f>REPLACE(INDEX(GroupVertices[Group],MATCH(Edges11[[#This Row],[Vertex 1]],GroupVertices[Vertex],0)),1,1,"")</f>
        <v>1</v>
      </c>
      <c r="BE14" s="84" t="str">
        <f>REPLACE(INDEX(GroupVertices[Group],MATCH(Edges11[[#This Row],[Vertex 2]],GroupVertices[Vertex],0)),1,1,"")</f>
        <v>1</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412</v>
      </c>
    </row>
    <row r="24" spans="10:11" ht="409.5">
      <c r="J24" t="s">
        <v>393</v>
      </c>
      <c r="K24" s="13" t="s">
        <v>411</v>
      </c>
    </row>
    <row r="25" spans="10:11" ht="15">
      <c r="J25" t="s">
        <v>394</v>
      </c>
      <c r="K25" t="b">
        <v>0</v>
      </c>
    </row>
    <row r="26" spans="10:11" ht="15">
      <c r="J26" t="s">
        <v>409</v>
      </c>
      <c r="K26" t="s">
        <v>410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406</v>
      </c>
      <c r="B25" t="s">
        <v>405</v>
      </c>
    </row>
    <row r="26" spans="1:2" ht="15">
      <c r="A26" s="123">
        <v>44207.9965625</v>
      </c>
      <c r="B26" s="3">
        <v>1</v>
      </c>
    </row>
    <row r="27" spans="1:2" ht="15">
      <c r="A27" s="123">
        <v>44208.75141203704</v>
      </c>
      <c r="B27" s="3">
        <v>1</v>
      </c>
    </row>
    <row r="28" spans="1:2" ht="15">
      <c r="A28" s="123">
        <v>44208.99655092593</v>
      </c>
      <c r="B28" s="3">
        <v>1</v>
      </c>
    </row>
    <row r="29" spans="1:2" ht="15">
      <c r="A29" s="123">
        <v>44209.751435185186</v>
      </c>
      <c r="B29" s="3">
        <v>1</v>
      </c>
    </row>
    <row r="30" spans="1:2" ht="15">
      <c r="A30" s="123">
        <v>44209.99655092593</v>
      </c>
      <c r="B30" s="3">
        <v>1</v>
      </c>
    </row>
    <row r="31" spans="1:2" ht="15">
      <c r="A31" s="123">
        <v>44210.75141203704</v>
      </c>
      <c r="B31" s="3">
        <v>1</v>
      </c>
    </row>
    <row r="32" spans="1:2" ht="15">
      <c r="A32" s="123">
        <v>44210.76814814815</v>
      </c>
      <c r="B32" s="3">
        <v>1</v>
      </c>
    </row>
    <row r="33" spans="1:2" ht="15">
      <c r="A33" s="123">
        <v>44210.78643518518</v>
      </c>
      <c r="B33" s="3">
        <v>1</v>
      </c>
    </row>
    <row r="34" spans="1:2" ht="15">
      <c r="A34" s="123">
        <v>44210.99655092593</v>
      </c>
      <c r="B34" s="3">
        <v>1</v>
      </c>
    </row>
    <row r="35" spans="1:2" ht="15">
      <c r="A35" s="123">
        <v>44211.75141203704</v>
      </c>
      <c r="B35" s="3">
        <v>1</v>
      </c>
    </row>
    <row r="36" spans="1:2" ht="15">
      <c r="A36" s="123">
        <v>44211.90416666667</v>
      </c>
      <c r="B36" s="3">
        <v>1</v>
      </c>
    </row>
    <row r="37" spans="1:2" ht="15">
      <c r="A37" s="123">
        <v>44211.99655092593</v>
      </c>
      <c r="B37" s="3">
        <v>1</v>
      </c>
    </row>
    <row r="38" spans="1:2" ht="15">
      <c r="A38" s="123" t="s">
        <v>407</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2021-01-16T18:07:41Z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