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<sst xmlns="http://schemas.openxmlformats.org/spreadsheetml/2006/main" count="9335" uniqueCount="1646">
  <si>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</si>
  <si>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</si>
  <si>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</si>
  <si>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</si>
  <si>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</si>
  <si>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</si>
  <si>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</si>
  <si>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</si>
  <si>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</si>
  <si>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</si>
  <si>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</si>
  <si>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</si>
  <si>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</si>
  <si>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</si>
  <si>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</si>
  <si>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</si>
  <si>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</si>
  <si>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</si>
  <si>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</si>
  <si>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</si>
  <si>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</si>
  <si>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</si>
  <si>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</si>
  <si>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</si>
  <si>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</si>
  <si>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</si>
  <si>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</si>
  <si>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</si>
  <si>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</si>
  <si>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</si>
  <si>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</si>
  <si>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</si>
  <si>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</si>
  <si>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</si>
  <si>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</si>
  <si>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</si>
  <si>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</si>
  <si>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</si>
  <si>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</si>
  <si>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</si>
  <si>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</si>
  <si>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</si>
  <si>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</si>
  <si>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</si>
  <si>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</si>
  <si>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</si>
  <si>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</si>
  <si>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</si>
  <si>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</si>
  <si>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</si>
  <si>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</si>
  <si>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</si>
  <si>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</si>
  <si>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</si>
  <si>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</si>
  <si>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</si>
  <si>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</si>
  <si>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</si>
  <si>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</si>
  <si>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</si>
  <si>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</si>
  <si>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</si>
  <si>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</si>
  <si>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</si>
  <si>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</si>
  <si>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</si>
  <si>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</si>
  <si>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</si>
  <si>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</si>
  <si>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</si>
  <si>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</si>
  <si>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</si>
  <si>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</si>
  <si>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</si>
  <si>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</si>
  <si>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</si>
  <si>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</si>
  <si>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</si>
  <si>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</si>
  <si>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</si>
  <si>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</si>
  <si>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</si>
  <si>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</si>
  <si>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</si>
  <si>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</si>
  <si>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</si>
  <si>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</si>
  <si>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</si>
  <si>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</si>
  <si>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</si>
  <si>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</si>
  <si>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</si>
  <si>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</si>
  <si>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</si>
  <si>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</si>
  <si>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</si>
  <si>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</si>
  <si>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</si>
  <si>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</si>
  <si>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</si>
  <si>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</si>
  <si>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</si>
  <si>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</si>
  <si>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</si>
  <si>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</si>
  <si>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</si>
  <si>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</si>
  <si>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</si>
  <si>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</si>
  <si>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</si>
  <si>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</si>
  <si>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</si>
  <si>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</si>
  <si>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</si>
  <si>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</si>
  <si>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</si>
  <si>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</si>
  <si>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</si>
  <si>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</si>
  <si>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</si>
  <si>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</si>
  <si>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</si>
  <si>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</si>
  <si>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</si>
  <si>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</si>
  <si>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</si>
  <si>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</si>
  <si>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</si>
  <si>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</si>
  <si>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</si>
  <si>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</si>
  <si>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</si>
  <si>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</si>
  <si>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</si>
  <si>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</si>
  <si>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</si>
  <si>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</si>
  <si>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</si>
  <si>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</si>
  <si>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</si>
  <si>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</si>
  <si>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</si>
  <si>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</si>
  <si>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</si>
  <si>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</si>
  <si>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</si>
  <si>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</si>
  <si>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</si>
  <si>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</si>
  <si>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</si>
  <si>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</si>
  <si>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</si>
  <si>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</si>
  <si>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</si>
  <si>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</si>
  <si>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</si>
  <si>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</si>
  <si>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</si>
  <si>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</si>
  <si>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</si>
  <si>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</si>
  <si>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</si>
  <si>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</si>
  <si>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</si>
  <si>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</si>
  <si>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</si>
  <si>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</si>
  <si>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</si>
  <si>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</si>
  <si>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</si>
  <si>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</si>
  <si>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</si>
  <si>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</si>
  <si>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</si>
  <si>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</si>
  <si>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</si>
  <si>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</si>
  <si>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</si>
  <si>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</si>
  <si>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</si>
  <si>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</si>
  <si>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</si>
  <si>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</si>
  <si>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</si>
  <si>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</si>
  <si>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</si>
  <si>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</si>
  <si>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</si>
  <si>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</si>
  <si>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</si>
  <si>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</si>
  <si>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</si>
  <si>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Autofill Workbook Results</t>
  </si>
  <si>
    <t>Graph History</t>
  </si>
  <si>
    <t>Relationship</t>
  </si>
  <si>
    <t>EObJsBkBoHE</t>
  </si>
  <si>
    <t>XmG5XD7YDhI</t>
  </si>
  <si>
    <t>4E4ZqGLIKxI</t>
  </si>
  <si>
    <t>FLiv3xnEepw</t>
  </si>
  <si>
    <t>x9IzmOWAlnA</t>
  </si>
  <si>
    <t>Izbh1fd-L5w</t>
  </si>
  <si>
    <t>w9NG7C6O9mg</t>
  </si>
  <si>
    <t>wadBvDPeE4E</t>
  </si>
  <si>
    <t>yknqOhpUtzQ</t>
  </si>
  <si>
    <t>9YcbpzQ3f8I</t>
  </si>
  <si>
    <t>0snyC8fNhXo</t>
  </si>
  <si>
    <t>GDEZBIXOz_c</t>
  </si>
  <si>
    <t>kCApYWeu-kE</t>
  </si>
  <si>
    <t>SM08TsCldWI</t>
  </si>
  <si>
    <t>Axw0hU71zQw</t>
  </si>
  <si>
    <t>kbLFMObmLNQ</t>
  </si>
  <si>
    <t>6syIwTVbrt0</t>
  </si>
  <si>
    <t>lbb2lMCSg64</t>
  </si>
  <si>
    <t>gcfAT8aMxuQ</t>
  </si>
  <si>
    <t>1yCjhTuLA1o</t>
  </si>
  <si>
    <t>vp7VXgvVAPg</t>
  </si>
  <si>
    <t>FpOIbhOmGUs</t>
  </si>
  <si>
    <t>v6Q7jL0BH9k</t>
  </si>
  <si>
    <t>HJ4Hcq3YX4k</t>
  </si>
  <si>
    <t>BRAb8AzW3-E</t>
  </si>
  <si>
    <t>2FqM4gKeNO4</t>
  </si>
  <si>
    <t>AyMwPYpmYng</t>
  </si>
  <si>
    <t>hTnnEnpQkkk</t>
  </si>
  <si>
    <t>08MqGSL9TNQ</t>
  </si>
  <si>
    <t>zMlwGOki4Yg</t>
  </si>
  <si>
    <t>owl9we4ldFI</t>
  </si>
  <si>
    <t>leNjC1CQiow</t>
  </si>
  <si>
    <t>R_fAtEHVOBA</t>
  </si>
  <si>
    <t>Gs4NPuKIXdo</t>
  </si>
  <si>
    <t>PC-PgkhpsNc</t>
  </si>
  <si>
    <t>zEgrruOITHw</t>
  </si>
  <si>
    <t>pwsImFyc0lE</t>
  </si>
  <si>
    <t>xKhYGRpbwOc</t>
  </si>
  <si>
    <t>imzmS6mzOws</t>
  </si>
  <si>
    <t>J1W5uqAyHTg</t>
  </si>
  <si>
    <t>L0C_D68E1Q0</t>
  </si>
  <si>
    <t>dVWAoy7Srnc</t>
  </si>
  <si>
    <t>XWsFWTuqe5I</t>
  </si>
  <si>
    <t>dgXEGk2DviM</t>
  </si>
  <si>
    <t>Q-1EpHE_4Pc</t>
  </si>
  <si>
    <t>3tEH8PPQ_rM</t>
  </si>
  <si>
    <t>ix5N8KUruqE</t>
  </si>
  <si>
    <t>WteWbivNGNo</t>
  </si>
  <si>
    <t>agS1Fzq04l4</t>
  </si>
  <si>
    <t>ToeJORZmSdw</t>
  </si>
  <si>
    <t>hKP8yH-LeaM</t>
  </si>
  <si>
    <t>k8fWPGwA_rM</t>
  </si>
  <si>
    <t>odzI3rC5ErQ</t>
  </si>
  <si>
    <t>QwZGmQLOkP0</t>
  </si>
  <si>
    <t>dPXAhB_BJDI</t>
  </si>
  <si>
    <t>DSKvHwcI75E</t>
  </si>
  <si>
    <t>aRZIeTroUog</t>
  </si>
  <si>
    <t>ngqWjgZudeE</t>
  </si>
  <si>
    <t>hzl-jKb-_iw</t>
  </si>
  <si>
    <t>4tAOA7Skqtw</t>
  </si>
  <si>
    <t>zxQgaRUbl6g</t>
  </si>
  <si>
    <t>XHoqoK0f02o</t>
  </si>
  <si>
    <t>FbKkNI-I1lo</t>
  </si>
  <si>
    <t>WvGthq20j-s</t>
  </si>
  <si>
    <t>hstzxKOvRlc</t>
  </si>
  <si>
    <t>Yjm4FB_ihTA</t>
  </si>
  <si>
    <t>YElgXp6mHtY</t>
  </si>
  <si>
    <t>VqJVt09P7ts</t>
  </si>
  <si>
    <t>t-NXT9y04Bs</t>
  </si>
  <si>
    <t>qE8BlRPAPkY</t>
  </si>
  <si>
    <t>17vBj5PkW3o</t>
  </si>
  <si>
    <t>lzMkFhHffqs</t>
  </si>
  <si>
    <t>KZIjTbN6fck</t>
  </si>
  <si>
    <t>sRgyfe0N598</t>
  </si>
  <si>
    <t>QhH4CD1c8xQ</t>
  </si>
  <si>
    <t>n53w-rU-kzk</t>
  </si>
  <si>
    <t>n2aGOi1mEZw</t>
  </si>
  <si>
    <t>D6rZwkij-io</t>
  </si>
  <si>
    <t>CSpyZor-Byk</t>
  </si>
  <si>
    <t>SqFhd-Igs6w</t>
  </si>
  <si>
    <t>gWD6g9CV_sc</t>
  </si>
  <si>
    <t>oqkzp9C2VyI</t>
  </si>
  <si>
    <t>cVLpdzhcU0g</t>
  </si>
  <si>
    <t>Q-B_ONJIEcE</t>
  </si>
  <si>
    <t>2U-tOghblfE</t>
  </si>
  <si>
    <t>mm8asJxdcds</t>
  </si>
  <si>
    <t>i08CLBnv4vA</t>
  </si>
  <si>
    <t>TaCRec7KBMc</t>
  </si>
  <si>
    <t>qmWCn-y58ls</t>
  </si>
  <si>
    <t>77Sq1DeXoyI</t>
  </si>
  <si>
    <t>i9Fx-BIbzCE</t>
  </si>
  <si>
    <t>Q2JBLuQDUvI</t>
  </si>
  <si>
    <t>_rqGCAgIzX4</t>
  </si>
  <si>
    <t>tBbGCQnxqys</t>
  </si>
  <si>
    <t>a_5qZ786BDo</t>
  </si>
  <si>
    <t>UyD6-wg9600</t>
  </si>
  <si>
    <t>1a0H9vnJMZs</t>
  </si>
  <si>
    <t>81VHpE3HXGI</t>
  </si>
  <si>
    <t>g1dVl8aFGVo</t>
  </si>
  <si>
    <t>L-dPxGLesE4</t>
  </si>
  <si>
    <t>px7ff2_Jeqw</t>
  </si>
  <si>
    <t>IiUDKDxScxI</t>
  </si>
  <si>
    <t>9x9zUtxo7iY</t>
  </si>
  <si>
    <t>sx9e3gc4c_w</t>
  </si>
  <si>
    <t>zkWS268c64M</t>
  </si>
  <si>
    <t>G9qAbLnsMAE</t>
  </si>
  <si>
    <t>Cr_Q-GQKmmM</t>
  </si>
  <si>
    <t>2ZHuj8uBinM</t>
  </si>
  <si>
    <t>Y5-5uAC8L4Q</t>
  </si>
  <si>
    <t>FE5u6jViz1Y</t>
  </si>
  <si>
    <t>WyybzNlLx2k</t>
  </si>
  <si>
    <t>N3yv5E-hjbc</t>
  </si>
  <si>
    <t>mLOSLYNWmBA</t>
  </si>
  <si>
    <t>mjAq8eA7uOM</t>
  </si>
  <si>
    <t>1A0yLJOm69Y</t>
  </si>
  <si>
    <t>C8k9mdb9NE8</t>
  </si>
  <si>
    <t>prs0ht5KSmw</t>
  </si>
  <si>
    <t>vEXe6QNXsaU</t>
  </si>
  <si>
    <t>rU6dZwHhf4Y</t>
  </si>
  <si>
    <t>XcqFJyMmy_g</t>
  </si>
  <si>
    <t>v_4_bGZspEE</t>
  </si>
  <si>
    <t>g2IriWIcClk</t>
  </si>
  <si>
    <t>z4dmsYmlUbM</t>
  </si>
  <si>
    <t>UrsBUydpCnE</t>
  </si>
  <si>
    <t>rsDKfunaGSo</t>
  </si>
  <si>
    <t>JfMTWr8_pw4</t>
  </si>
  <si>
    <t>HNY2dxugho8</t>
  </si>
  <si>
    <t>3BxOkYDOst4</t>
  </si>
  <si>
    <t>CwQ8IrHZDgA</t>
  </si>
  <si>
    <t>cjsxFr6RIG0</t>
  </si>
  <si>
    <t>ItjEz2yEPBw</t>
  </si>
  <si>
    <t>3Im7vNRA2ns</t>
  </si>
  <si>
    <t>W17wAJHzuds</t>
  </si>
  <si>
    <t>OYrzMhT0Kag</t>
  </si>
  <si>
    <t>dnHtgUHsavQ</t>
  </si>
  <si>
    <t>iiVeQkIELyc</t>
  </si>
  <si>
    <t>mqSVYmj3wjY</t>
  </si>
  <si>
    <t>oVjq8VnLjz0</t>
  </si>
  <si>
    <t>7Fnmmf6x3cA</t>
  </si>
  <si>
    <t>CS0_lZovXm0</t>
  </si>
  <si>
    <t>L36Xv_nF2SI</t>
  </si>
  <si>
    <t>bb_Jimpi8HE</t>
  </si>
  <si>
    <t>5L8oGi6sPy4</t>
  </si>
  <si>
    <t>WNe6U7yl8Z4</t>
  </si>
  <si>
    <t>UrrWA_t1rjc</t>
  </si>
  <si>
    <t>dSx5_PjaWVE</t>
  </si>
  <si>
    <t>nznUgnrPvTM</t>
  </si>
  <si>
    <t>eLu2RxENv6o</t>
  </si>
  <si>
    <t>HQfzwFCKtF8</t>
  </si>
  <si>
    <t>8JXMw2GUiv8</t>
  </si>
  <si>
    <t>W6RzekieOgM</t>
  </si>
  <si>
    <t>7LMnpM0p4cM</t>
  </si>
  <si>
    <t>89mxOdwPfxA</t>
  </si>
  <si>
    <t>f6ElMvP7ubs</t>
  </si>
  <si>
    <t>E72zEz0961o</t>
  </si>
  <si>
    <t>371n3Ye9vVo</t>
  </si>
  <si>
    <t>t8YHRVf60BU</t>
  </si>
  <si>
    <t>NYEN__tMIkw</t>
  </si>
  <si>
    <t>Cp5dejUrVUE</t>
  </si>
  <si>
    <t>ZF6wyBW2uN4</t>
  </si>
  <si>
    <t>_ci5QaUkAfw</t>
  </si>
  <si>
    <t>DfVp1zDYNLg</t>
  </si>
  <si>
    <t>39yXz72qdow</t>
  </si>
  <si>
    <t>m-pMvG1PY9g</t>
  </si>
  <si>
    <t>7TBPrYJDoDE</t>
  </si>
  <si>
    <t>H0gH6EB6OeE</t>
  </si>
  <si>
    <t>qvkHyCBZjZ8</t>
  </si>
  <si>
    <t>pYVVfRljZFo</t>
  </si>
  <si>
    <t>piA3_R_bzDY</t>
  </si>
  <si>
    <t>_8jVuG99UcQ</t>
  </si>
  <si>
    <t>aCuI7pgHqTo</t>
  </si>
  <si>
    <t>oO1MDikdSyw</t>
  </si>
  <si>
    <t>5s9-rg1ygWs</t>
  </si>
  <si>
    <t>OzyPZwSisZ0</t>
  </si>
  <si>
    <t>H5B6BS39PTM</t>
  </si>
  <si>
    <t>NX0QBphzG-s</t>
  </si>
  <si>
    <t>j_PUwmDcPBs</t>
  </si>
  <si>
    <t>isBm5RTslow</t>
  </si>
  <si>
    <t>6Lauxn9oTt4</t>
  </si>
  <si>
    <t>hVfI1U7uHR4</t>
  </si>
  <si>
    <t>o-D-Duv8Mcs</t>
  </si>
  <si>
    <t>kQFsy_StbK8</t>
  </si>
  <si>
    <t>Recommended Video (2.0)</t>
  </si>
  <si>
    <t>Recommended Video (1.0)</t>
  </si>
  <si>
    <t>Recommended Video (1.5)</t>
  </si>
  <si>
    <t>Title</t>
  </si>
  <si>
    <t>Description</t>
  </si>
  <si>
    <t>Tags</t>
  </si>
  <si>
    <t>Author</t>
  </si>
  <si>
    <t>Created Date (UTC)</t>
  </si>
  <si>
    <t>Views</t>
  </si>
  <si>
    <t>Comments</t>
  </si>
  <si>
    <t>Likes Count</t>
  </si>
  <si>
    <t>Dislikes Count</t>
  </si>
  <si>
    <t>Custom Menu Item Text</t>
  </si>
  <si>
    <t>Custom Menu Item Action</t>
  </si>
  <si>
    <t>Tutorial: Gephi Netzwerkvisualisierung bearbeiten</t>
  </si>
  <si>
    <t>Week 3: Gephi - An Introduction Tour</t>
  </si>
  <si>
    <t>Usando NodeXL</t>
  </si>
  <si>
    <t>Verificando la consistencia de los valores de las variables</t>
  </si>
  <si>
    <t>NodeXL Example Search</t>
  </si>
  <si>
    <t>AnalisisDescriptivoBásico</t>
  </si>
  <si>
    <t>Visualización de Redes y atributos topológicos usando Cytoscape</t>
  </si>
  <si>
    <t>Network Analysis Walkthrough</t>
  </si>
  <si>
    <t>Using Network Analyst Tool on Arc GIS 10.3 Tutorial ~ Finding the shortest quickest root</t>
  </si>
  <si>
    <t>Network Analysis: Closest Facilities Application</t>
  </si>
  <si>
    <t>Network Analyst - Creating Service Areas</t>
  </si>
  <si>
    <t>Network Analyst: An Introduction</t>
  </si>
  <si>
    <t>Network Analyst - New Routes - The Traveling Salesman Problem</t>
  </si>
  <si>
    <t>Network Analysis: Location-Allocation of Resources/Facilities</t>
  </si>
  <si>
    <t>Network Analysis - 1 : Calculate Shortest Distance using ESRI ArcGIS (Proximity Analysis)</t>
  </si>
  <si>
    <t>Network Analyst: Creating Network Datasets</t>
  </si>
  <si>
    <t>Network Service Areas</t>
  </si>
  <si>
    <t>Introduction to ArcGIS Network Analyst</t>
  </si>
  <si>
    <t>GEPHI - Network visualization tutorial [HD]</t>
  </si>
  <si>
    <t>Gephi Labels and Colors</t>
  </si>
  <si>
    <t>Gephi tutorial. Layouts and Attributes</t>
  </si>
  <si>
    <t>Combine and Analyze Co-Hashtag Networks (Instagram, Twitter, etc.) with Gephi</t>
  </si>
  <si>
    <t>mostrando o programa NodeXL para análise de redes sociais</t>
  </si>
  <si>
    <t>Mostrando análise de séries temporais com ARIMA video 2</t>
  </si>
  <si>
    <t>Gephi e Análise baseada em Grafos</t>
  </si>
  <si>
    <t>Como elaborar uma visualização de sua rede no Facebook usando Gephi</t>
  </si>
  <si>
    <t>Mostrando modelos ARIMA para análise de séries temporais</t>
  </si>
  <si>
    <t>Gestão de Redes Sociais – Ferramenta Completa Para Gerenciamento de Redes Sociais</t>
  </si>
  <si>
    <t>Aprendendo Gephi para análise de redes sociais</t>
  </si>
  <si>
    <t>Mostrando o software Gephi</t>
  </si>
  <si>
    <t>[특강]2017 하계 교수법 - 네트워크 분석(영남대 박한우 교수)</t>
  </si>
  <si>
    <t>Ch10_08.빅데이터와 데이터마이닝(소셜네트워크분석)08</t>
  </si>
  <si>
    <t>[현장영상] 논문 정보 수집과 연구 동향 분석 세미나</t>
  </si>
  <si>
    <t>네이버 다음 구글을 활용해 빅데이터 분석 공짜로 해보기</t>
  </si>
  <si>
    <t>선행연구 엑셀정리 Best 사례 소개</t>
  </si>
  <si>
    <t>[강연] 다양한 사람들을 연결하는 사회연결망! _ 2019 현대차 정몽구 재단 인성교육 포럼</t>
  </si>
  <si>
    <t>[Dream Lecture] 네트워크사회와 사회혁신 – 이재열 서울대 교수</t>
  </si>
  <si>
    <t>논문쓰는법: 키워드 분석으로 주제 정하기, 리뷰논문 만드는방법</t>
  </si>
  <si>
    <t>사회관계망작성법</t>
  </si>
  <si>
    <t>행위자 네트워크 이론</t>
  </si>
  <si>
    <t>Social Networks: Converting a 2-Mode Matrix to 1-Mode Matrices in Excel</t>
  </si>
  <si>
    <t>Working with attributes in older parts of UCINET</t>
  </si>
  <si>
    <t>Two Mode Networks and One Mode Networks</t>
  </si>
  <si>
    <t>COM/SOC 375 at UMA: Getting Ready for QAP Regression</t>
  </si>
  <si>
    <t>Working With Two Mode Social Network Data in R</t>
  </si>
  <si>
    <t>Nicholas Christakis: The Sociological Science Behind Social Networks and Social Influence</t>
  </si>
  <si>
    <t>How Social Media Shapes Identity | Ulrike Schultze | TEDxSMU</t>
  </si>
  <si>
    <t>What does 'The Social Construction of Reality' Mean? - by Dr. Dennis Hiebert</t>
  </si>
  <si>
    <t>The wisdom of sociology: Sam Richards at TEDxLacador</t>
  </si>
  <si>
    <t>The Secret Life of Social Norms | Michele Gelfand, PhD | TEDxPaloAltoSalon</t>
  </si>
  <si>
    <t>Jeffrey Brenzel: The Essential Value of a Classic Education | Big Think</t>
  </si>
  <si>
    <t>Steven Pinker: Linguistics as a Window to Understanding the Brain | Big Think</t>
  </si>
  <si>
    <t>Nicholas Christakis: The hidden influence of social networks</t>
  </si>
  <si>
    <t>Tamar Gendler: An Introduction to the Philosophy of Politics and Economics | Big Think</t>
  </si>
  <si>
    <t>Unit 2.2 NodeXL Tutorial - Visual Properties &amp; Filters</t>
  </si>
  <si>
    <t>ED795 Lesson 1.1 (Intro to R)</t>
  </si>
  <si>
    <t>ED 795 Lesson 2.4 Sentiment Analysis with Twitter</t>
  </si>
  <si>
    <t>Unit 2.2 NodeXL Tutorial - Calculating Graph Metrics</t>
  </si>
  <si>
    <t>Topic Modeling Tool Tutorial</t>
  </si>
  <si>
    <t>Unit 2.2 NodeXL Tutorial - Grouping and Clusters in Networks</t>
  </si>
  <si>
    <t>ED795 Lesson 1.2 (Into the Tidyverse)</t>
  </si>
  <si>
    <t>Unit 2.2 NodeXL Tutorial - Importing Twitter Data</t>
  </si>
  <si>
    <t>20200713 - Sunbelt 2020 - NodeXL Network Content Analysis</t>
  </si>
  <si>
    <t>Webinar: High Content Analysis</t>
  </si>
  <si>
    <t>Exploratory Factor Analysis (conceptual)</t>
  </si>
  <si>
    <t>learn how to conduct content analysis: research method</t>
  </si>
  <si>
    <t>Conducting a Content Analysis</t>
  </si>
  <si>
    <t>Basic content analysis with Yoshikoder</t>
  </si>
  <si>
    <t>Comm Research Methods - Content Analysis</t>
  </si>
  <si>
    <t>Why Study Ego Networks?</t>
  </si>
  <si>
    <t>Social and Economic Networks 3.7 Week 3: Estimating ERGMs</t>
  </si>
  <si>
    <t>Network Analysis - Network Terminology</t>
  </si>
  <si>
    <t>03 Ego-Network Analysis &amp; Alzheimer's Disease, 2018</t>
  </si>
  <si>
    <t>Nicholas Christakis: How social networks predict epidemics</t>
  </si>
  <si>
    <t>Social Network Analysis - From Graph Theory to Applications - Dima Goldenberg - PyCon Israel 2019</t>
  </si>
  <si>
    <t>Introduction to Social Network Analysis</t>
  </si>
  <si>
    <t>10 Ego-Network Analysis, 2018</t>
  </si>
  <si>
    <t>Homophily in Ego Networks (plus Bears)</t>
  </si>
  <si>
    <t>Network Analysis Tutorial #1</t>
  </si>
  <si>
    <t>Learn k-Means Clustering for Free</t>
  </si>
  <si>
    <t>Using Network Analysis to Detect Kickback Schemes Among Medical Providers</t>
  </si>
  <si>
    <t>Principal Component Analysis Easy Tutorial #3 : Cluster Visualization</t>
  </si>
  <si>
    <t>Social network analysis - Introduction to structural thinking: Dr Bernie Hogan, University of Oxford</t>
  </si>
  <si>
    <t>Network Analysis Tutorial: Network Visualization</t>
  </si>
  <si>
    <t>Data Preprocessing Tutorial</t>
  </si>
  <si>
    <t>Network Analysis Tutorial #2</t>
  </si>
  <si>
    <t>Gephi Tutorial: Visualizing Facebook Network</t>
  </si>
  <si>
    <t>Facebook Netzwerk analysieren und visualisieren (Gephi Tutorial)</t>
  </si>
  <si>
    <t>Facebook Page Like Networks with Netvizz and Gephi</t>
  </si>
  <si>
    <t>Polinode and NodeXL Pro Joint Webinar</t>
  </si>
  <si>
    <t>NodeXL Pro Quick Start Guide: How to do a Twitter search network analysis</t>
  </si>
  <si>
    <t>L 3 | Linear Programming (Simplex Method) | Industrial Engineering | GATE/ESE 2021 | Gaurav Babu</t>
  </si>
  <si>
    <t>DevFest India 2020 | Day 01</t>
  </si>
  <si>
    <t>Live Webinar</t>
  </si>
  <si>
    <t>Polinode Surveys: A Tutorial</t>
  </si>
  <si>
    <t>Notion System Design: Create a Flow Chart _xD83D__xDEA6_</t>
  </si>
  <si>
    <t>Polinode Surveys: A Quick Start Guide</t>
  </si>
  <si>
    <t>Polinode: Delivering Deep Insights</t>
  </si>
  <si>
    <t>Polinode Networks: A Quick Start Guide</t>
  </si>
  <si>
    <t>Polinode Networks: A Tutorial</t>
  </si>
  <si>
    <t>Content Matters: Uncovering Semantic Networks and Hashtag Networks in NodeXL</t>
  </si>
  <si>
    <t>Realist and Nominalist Approaches to Social Network Data Collection</t>
  </si>
  <si>
    <t>Population Pyramids: How to Read them, How to Find them</t>
  </si>
  <si>
    <t>A Walkthrough Analysis of Tor Networks in Gephi</t>
  </si>
  <si>
    <t>Gephi Tutorial - How to use Gephi for Network Analysis</t>
  </si>
  <si>
    <t>Sociology of a pandemic: Coronavirus, social distancing and social networks</t>
  </si>
  <si>
    <t>Installing NodeXL</t>
  </si>
  <si>
    <t>How to: Quick Reddit Sentiment Analysis using R, RedditExtractor and SentimentAnalysis</t>
  </si>
  <si>
    <t>COM/SOC 375 Exercise: Importing and Visualizing Twitter and Facebook Data with NodeXL</t>
  </si>
  <si>
    <t>Connecting NodeXL and Twitter in less than Four Minutes</t>
  </si>
  <si>
    <t>import data from CSV into Gephi</t>
  </si>
  <si>
    <t>Converting Various Formats into Adjacency Lists for Gephi</t>
  </si>
  <si>
    <t>Gephi Citation Network Analysis with Scopus Data</t>
  </si>
  <si>
    <t>How to import a CSV into Gephi</t>
  </si>
  <si>
    <t>Uploading data into Gephi: Part I of 3</t>
  </si>
  <si>
    <t>convert excel csv to network</t>
  </si>
  <si>
    <t>excel to ucinet</t>
  </si>
  <si>
    <t>NetDraw save as vna so you can pick up again later</t>
  </si>
  <si>
    <t>Degree Centrality</t>
  </si>
  <si>
    <t>[연재 #2] Ucinet 관계 확장 시각화 방법</t>
  </si>
  <si>
    <t>EE: NETDRAW visualisation and basics</t>
  </si>
  <si>
    <t>MGT 780 8 Mar 2016 Egonets</t>
  </si>
  <si>
    <t>Lesson 4: Using Attributes to Describe Data</t>
  </si>
  <si>
    <t>visualizing pv504 in ucinet/netdraw</t>
  </si>
  <si>
    <t>HypothesesPart2</t>
  </si>
  <si>
    <t>Importing network survey from excel into UCINET</t>
  </si>
  <si>
    <t>Gephi Tutorial on Network Visualization and Analysis</t>
  </si>
  <si>
    <t>Gephi 中文教程</t>
  </si>
  <si>
    <t>Gephi Tutorial: Filtering Networks</t>
  </si>
  <si>
    <t>Using Gephi to visualise and understand communities</t>
  </si>
  <si>
    <t>Visual Analysis of Social Networks</t>
  </si>
  <si>
    <t>Análise de Redes com NODEXL - Parte1</t>
  </si>
  <si>
    <t>Importando dados no SPSS</t>
  </si>
  <si>
    <t>continuação da apresentação do NodeXL para análise de redes</t>
  </si>
  <si>
    <t>Análise de dados qualiativos com o QDA Miner</t>
  </si>
  <si>
    <t>Tutorial #3 : Dynamic(Temporal) Network - Infection Transmission Routes Network</t>
  </si>
  <si>
    <t>Introduction to GEPHI</t>
  </si>
  <si>
    <t>Gephi Modularity Tutorial</t>
  </si>
  <si>
    <t>Network Structure</t>
  </si>
  <si>
    <t>Bibliometrics (9): Citation Network Analysis using Gephi</t>
  </si>
  <si>
    <t>Gephi Tutorial 1 - Vistas básicas y carga de datos</t>
  </si>
  <si>
    <t>Updated Gephi Quick Start Tutorial for v 0.9</t>
  </si>
  <si>
    <t>Uncovering Meaning in Twitter Networks Using NodeXL Pro</t>
  </si>
  <si>
    <t>Edges, Vertices, Edge Lists and Sociograms in NodeXL</t>
  </si>
  <si>
    <t>How to Extract and Save Reddit Data using R and RedditExtractoR</t>
  </si>
  <si>
    <t>Unit 3.2 Tutorial - Text Mining with NodeXL Pro</t>
  </si>
  <si>
    <t>Webinar #2: Twitter and News Sentiment Analysis Using Text Network Visualization Tool InfraNodus</t>
  </si>
  <si>
    <t>Running NodeXL, Entering Edge Lists and Making Visualization Choices</t>
  </si>
  <si>
    <t>Finding influencers using NodeXL</t>
  </si>
  <si>
    <t>Visualizing Social Network Data based on Twitter #Hashtag using NodeXL</t>
  </si>
  <si>
    <t>Working With NodeXL: Installing, Entering Edge Lists, and Visualizing Tie Strength</t>
  </si>
  <si>
    <t>Importing Data into NodeXL from various social networks - Tutorial</t>
  </si>
  <si>
    <t>NodeXL Tutorial (part 3 of 3)</t>
  </si>
  <si>
    <t>TXT (투모로우바이투게더) '5시 53분의 하늘에서 발견한 너와 나' Official Teaser - 연준 (YEONJUN)</t>
  </si>
  <si>
    <t>First Look at the PlayStation 5 User Experience</t>
  </si>
  <si>
    <t>Como Crear Grupos En Zoom | Crear Salas Para Grupos Pequeños en ZOOM</t>
  </si>
  <si>
    <t>Guía y uso de NodeXL</t>
  </si>
  <si>
    <t>NodeXL Tutorial (part 2 of 3)</t>
  </si>
  <si>
    <t>Tutorial - Software NVivo</t>
  </si>
  <si>
    <t>NodeXL: Group in a box Layout</t>
  </si>
  <si>
    <t>Gephi Appearance Part 4 of 4</t>
  </si>
  <si>
    <t>Uploading data into Gephi: Part 3 of 3</t>
  </si>
  <si>
    <t>Gephi Appearance Part 1 of 4</t>
  </si>
  <si>
    <t>Calculating the Degree in Gephi</t>
  </si>
  <si>
    <t>Installing NodeXL for Network Analysis: Quick and Simple</t>
  </si>
  <si>
    <t>Walkthrough: Using NodeXL to Visualize Twitter Networks</t>
  </si>
  <si>
    <t>How to Enter NodeXL Edge Lists and Begin Visualizing Networks</t>
  </si>
  <si>
    <t>NodeXL Tutorial (part 1 of 3)</t>
  </si>
  <si>
    <t>Introduction to NodeXL - 1</t>
  </si>
  <si>
    <t>NVivo 12 and Thematic / Content Analysis.</t>
  </si>
  <si>
    <t>Identifying Influencers Using Pagerank Analysis.</t>
  </si>
  <si>
    <t>NodeXL - Social Network Analysis in Excel</t>
  </si>
  <si>
    <t>NodeXL Tutorial</t>
  </si>
  <si>
    <t>#ASA15 NodeXL Social Media Network Map and Report for August 25, 2015</t>
  </si>
  <si>
    <t>EE: UCINET network metrics and visualising in NETDRAW</t>
  </si>
  <si>
    <t>Gephi's Twitter Streaming Importer</t>
  </si>
  <si>
    <t>Introduction: R and IGraph for Edge Lists and Social Network Graphs</t>
  </si>
  <si>
    <t>Sarah Guido, Celia La - Twitter Network Analysis with NetworkX - PyCon 2015</t>
  </si>
  <si>
    <t>#6 Kopi Udara Milenial - Tutorial Social Network Analysis &amp; NodeXL (bag 1)</t>
  </si>
  <si>
    <t>NodeXL to Gephi</t>
  </si>
  <si>
    <t>The fundamentals of Gephi</t>
  </si>
  <si>
    <t>In diesem Video zeigen wir dir Schritt für Schritt, wie du in Gephi - einem anfängerfreundlichen Tool zur Netzwerkanalyse - deine Netzwerkvisualisierung anpassen kannst. 
Eine komplette Lerneinheit zur Netzwerkanalyse findest du ab 29.4.2019 auf unserer Webseite unter: https://fortext.net/routinen/lerneinheiten/
Eine Einführung in die Methodik der Netzwerkanalyse und ihre Verbindung zu den Literaturwissenschaften findest du auf unserer Webseite unter https://fortext.net/routinen/methoden/netzwerkanalyse
Dieses Video ist der zweite Teil einer Tutorial-Serie zur Netzwerkanalyse in der Literaturwissenschaft. Mehr Screencasts dazu findest du hier auf unserem YouTube-Kanal. 
Gephi kannst du dir hier herunterladen https://gephi.org/
Viel Spaß bei deiner digitalen Literaturanalyse!</t>
  </si>
  <si>
    <t>Dragan Gasevic gives an introductory tour of Gephi for week 3 of DALMOOC.</t>
  </si>
  <si>
    <t>Bajamos informacion y la subimos a NodelXL para graficar una red En este caso tomamos como ejemplo la red hidrográfica en Venezuela. Nivel muy básico</t>
  </si>
  <si>
    <t>Una vez que hemos subido los datos, verificamos valores de las variables y de sus categorias. Esto nos ayudará a diseñar la estrategia para limpiar la data. Hemos usado una función anonima y la funcion table()</t>
  </si>
  <si>
    <t>Example search of Twitter data using "bike race" as a search term</t>
  </si>
  <si>
    <t>Trabajamos como caso de estudio para una sala situacional o de análisis estratégico comentarios posteados por lectores de un periodico de circulación nacional, en este caso, en relación con la salud presidente de la República, durante los últimos días de diciembre 2012 y los primeros días del mes de enero 2013. Un seguimiento de este tipo permitiría, por ejemplo, fortalecer o diseñar una estrategia comunicacional</t>
  </si>
  <si>
    <t>En este video tutorial se describe brevemente como visualizar redes y atributos topológicos básicos usando Cytoscape</t>
  </si>
  <si>
    <t>This video introduces the ArcGIS Network Analyst toolbar and some of its functions. Designed to accompany the exercise at https://uwgis.wordpress.com</t>
  </si>
  <si>
    <t>By Using ArcGIS 10.3 we will find the shortest quickest route between two random points on a map.</t>
  </si>
  <si>
    <t>Determine the closest 2 fire stations to respond along the street network to a house fire event.</t>
  </si>
  <si>
    <t>Using the Network Anaylst tools to determine drive time from Mary Townes Science Complex in order to create a polygon service area.</t>
  </si>
  <si>
    <t>This session is geared toward new or potential users of ArcGIS Network Analyst— an extension designed to model road networks and solve transportation related problems. Network Analyst is often used to route vehicles or fleets of vehicles, calculate coverage, and perform site selection analysis. The presenters will cover Network Analyst’s modeling and analytic capabilities in ArcGIS Pro and ArcGIS Online.</t>
  </si>
  <si>
    <t>In this tutorial, we talk about using ESRI ArcGIS Network Analyst to create a new route among 49 points that we visited for field verification.  This determines the quickest route based on travel time or distance.  This is sometimes called the Traveling Salement Problem to represent the route in which one could visit as many points using as few resources (time, money, gas, etc.) as possible.</t>
  </si>
  <si>
    <t>For every fire station in the street network, determine the minimum travel distance to one of three candidate water resources.</t>
  </si>
  <si>
    <t>The distance between any two points is calculated as the shortest distance between them, that is, where the two features are closest to each other.
By: Tanzeem Ansari, B.Tech, Civil Engg, Quantum University, Roorkee, India
---------------------------------------------------------------------------------------------------------------------------------------
If you enjoyed the video, do hit the Like button and Subscribe to my channel, 
don't forget to Share with your friends and family.
---------------------------------------------------------------------------------------------------------------------------------------
SOCIAL MEDIA LINK
---------------------------------------------------------------------------------------------------------------------------------------
Follow me on Instagram and Twitter for more updates and photos:
Instagram ID: https://www.instagram.com/anujinstapage/
Twitter ID: https://twitter.com/anujtiwariTweet/
---------------------------------------------------------------------------------------------------------------------------------------
E-mail for the questions, suggestions and business inquiries: atiwari2@ce.iitr.ac.in
---------------------------------------------------------------------------------------------------------------------------------------</t>
  </si>
  <si>
    <t>This session will discuss best practices for preparing your data for use with Network Analyst. This includes modeling network datasets that contain one-way streets, hierarchies, turns, signposts, and historical and live traffic. Considerations for building network datasets using travel modes will also be discussed.
-------------------------------------------------------------------------------------------------------------------------- 
Follow us on Social Media!
Twitter: https://twitter.com/Esri
Facebook: https://facebook.com/EsriGIS
LinkedIn: https://www.linkedin.com/company/esri
Instagram: https://www.instagram.com/esrigram  
The Science of Where: http://www.esri.com</t>
  </si>
  <si>
    <t>For 2 candidate locations, estimate the number of potential customers within a 5-minute and 10-minute drive.</t>
  </si>
  <si>
    <t>Mahmoud Abdulrahman, GIS Analyst, +966561318400, Mahmouda18@gmail.com, Saudi Arabia, Riyadh
http://kotobgis.blogspot.com/
https://www.facebook.com/gislibrary
https://www.facebook.com/gspace.gis</t>
  </si>
  <si>
    <t>Introduction to network analysis and visualization with GEPHI. Datasets and tutorial here: http://www.martingrandjean.ch/gephi-introduction
Papers using Gephi: http://cogentoa.tandfonline.com/doi/full/10.1080/23311983.2016.1171458 and https://halshs.archives-ouvertes.fr/halshs-01610098 and http://dx.doi.org/10.3166/lcn.10.3.37-54
[NOTICE] No, there's no sound, that's a way to make this tutorial available for non-english speakers (and for people working without headphones), with all the informations displayed during the tutorial (and a comprehensive tutorial online to complete the video, link above).</t>
  </si>
  <si>
    <t>A tutorial on using the hidden color and label features in Gephi.</t>
  </si>
  <si>
    <t>In this tutorial, we will try multiple layouts available in Gephi. We will take a look at force-directed and attributed layouts.
Detailed tutorial: https://blog.miz.space/tutorial/2020/01/05/gephi-tutorial-layouts-force-atlas-circle-pack-radial-axis/
This tutorial is prepared for a lecture on data visualization for EE-558 A Network Tour of Data Science course (2019 Fall semester). 
https://edu.epfl.ch/coursebook/en/a-network-tour-of-data-science-EE-558</t>
  </si>
  <si>
    <t>This video demonstrates how to combine two co-hashtag networks (e.g. from Instagram or Twitter) and analyze how they relate to each other. I use two Instagram co-hashtag networks (gamergate, socialjustice), retrieved with the Instagram Hashtag Explorer, as examples.
Instagram hashtag explorer: https://tools.digitalmethods.net/netvizz/instagram/
Gephi: http://gephi.org
More internet research software: http://labs.polsys.net
Even more software: https://wiki.digitalmethods.net/Dmi/ToolDatabase</t>
  </si>
  <si>
    <t>Neste segundo video, analiso como interpretar os gráficos AFC e PAFC para identificar a existencia de elementos AR e MA nas séries e qual a ordem destes parâmetros. Depois uso o módulo previsões do SPSS para construir interativamente um modelo levando em conta os parâmetros do ARIMA, a existência de outliers na série, a existência de fatores explicativos. Também explico como interpretar o output do SPSS</t>
  </si>
  <si>
    <t>Introdução ao uso do sistema Gephi para análise baseada em grafos.  Este tutorial usa o exemplo do grafo baseado no romance Les Miserables e segue os mesmos passos do tutorial disponível em: https://gephi.github.io/users/quick-start/</t>
  </si>
  <si>
    <t>Este vídeo explica como fazer uma visualização de sua rede de amigos no Facebook utilizando o software de visualização de redes Gephi.</t>
  </si>
  <si>
    <t>São dois videos sobre o tema e neste primeiro mostro os elementos que compoem as séries temporais, o conceito de estacionaridade, como tornar a série estacionária e outros passos preliminares, usando o software SPSS</t>
  </si>
  <si>
    <t>Quer conhecer a ferramenta mais completa quando o assunto é Gestão de Redes Sociais?
Vem comigo que vou te mostrar tudo neste vídeo!
✅ LINKS CITADOS NO VÍDEO
▸ Ferramenta Mlabs - http://bit.ly/Ferramenta_Mlabs
▸ Ferramenta Mlabs - http://bit.ly/Ferramenta_Mlabs
Se você está procurando uma ferramenta para fazer o gerenciamento de redes sociais, seja as suas próprias redes ou então redes sociais de clientes, neste vídeo lhe apresento uma ferramenta incrível para fazer a gestão de redes sociais.
Muitas pessoas sofrem por falta de tempo, não consegue ficar postando, respondendo e analisando as redes sociais.
Mas através de uma ferramenta de gerenciamento é possível fazer tudo isso e investindo pouco tempo.
Veja algumas funcionalidades da ferramenta:
▸ Agendamento de Posts (para diferentes redes sociais)
▸ Gerenciamento de Inbox, Direct e Whatsapp
▸ Relatórios Automatizados
▸ Workflow
▸ Usuários ilimitados
▸ Calendário para organização
▸ Feed dentro da própria ferramenta
▸ Gerenciamento do Google Meu Negócio
Ente diversas outras funcionalidades incríveis que você vai encontrar na ferramenta Mlabs.
Se está procurando uma ferramenta para gestão de redes sociais, você precisa ver este vídeo!
❤️ COMPARTILHE ESTE VÍDEO COM UM AMIGO ❤️
▸ https://youtu.be/GJjSFt6FZMI
✅ CURSOS AFILIADOS QUE EU RECOMENDO
Atenção: só recomendo cursos que eu tive acesso. Isso é fundamental para fazer indicações. Não sou de recomendar cursos ou materiais que eu não vi ou testei. estou continuamente estudando para mais cursos para recomendar a vocês.
▸FÓRMULA NEGÓCIO ONLINE http://bit.ly/2wgtbrD 
O melhor curso para você que deseja COMEÇAR DO ZERO no Marketing Digital. Seja para seu negócio físico ou Digital. O curso é do Alex Vargas, um excelente profissional que aborda praticamente tudo sobre como criar um negócio na internet.
✅ LIVROS QUE MUDARAM MINHA VISÃO SOBRE A VIDA E NEGÓCIOS
▸ PAI RICO PAI POBRE https://amzn.to/2Ocp85n
Leia e tenha vontade de pedir as contas ainda hoje do seu emprego.
▸OPORTUNIDADES DISFARÇADAS https://amzn.to/2Cn12A8
Como encontrar oportunidades independente do ramo de atuação da sua empresa
▸A BOA SORTE https://amzn.to/2ufxGPM
Título inexplicável. Compre, leia e depois me envie uma mensagem de agradecimento
▸DOBRE SEUS LUCROS https://amzn.to/2uaXAnQ 
Aprenda a forcar no que realmente trás resultados para a sua empresa
▸FREE - O FUTURO DOS PREÇOS https://amzn.to/2ucSZkP
Entenda porque no futuro tudo vai ser de graça e como sua empresa pode aproveitar isso!
✅ LIVROS DE MARKETING DIGITAL E AFINS QUE VOCÊ PRECISA LER
▸8PS DO MARKETING DIGITAL https://amzn.to/2W7FLBR
O método mais completo e poderoso sobre Marketing Digital.
▸INBOUND MARKETING https://amzn.to/2HGIHRW
Seja encontrado usando o Google, a mídia social e os blogs.
▸AS ARMAS DA PERSUASÃO https://amzn.to/2W87faC
Influencie pessoas e não se deixe influenciar.
❤️ VÍDEOS DO CANAL RELACIONADOS COM ESTE ASSUNTO ❤️
▸Crie Vídeos Animados Online - https://www.youtube.com/watch?v=UsnPxxYJolU
▸Como criar um Catálogo de Produtos no Whatsapp - https://www.youtube.com/watch?v=i2JQPYzZtgY
▸Como criar um Site Grátis - https://www.youtube.com/watch?v=JHrb3s9CgJs
▸ Como Criar um Cartão de Visitas Digital e Interativo - https://www.youtube.com/watch?v=wUZUZy5RuEI</t>
  </si>
  <si>
    <t>Hoje vamos trabalhar com Gephi para análise de redes sociais, nesse vídeo exploramos um pouco do programa na prática, transformando planilhas em dados de rede, que podem ser utilizados por pesquisadores, pesquisadoras, profissionais e entusiastas de ciência de dados.
Promoção Kindle Unlimited – https://amzn.to/2JvmN5P
Site do Gephi - https://gephi.org/
Site do Java - https://www.java.com/pt_BR/download/
Planilha de Nós - http://pesquisaejogos.com.br/wp-content/uploads/2019/05/Tabela-de-Nós.csv
Planilha de Arestas - http://pesquisaejogos.com.br/wp-content/uploads/2019/05/Tabela-de-Arestas.csv
Imagem com resultado - http://pesquisaejogos.com.br/wp-content/uploads/2019/05/Resultado.png
Livros recomendados:
Análise Estrutural das Redes Sociais – https://amzn.to/2W4j5TA
Análise de Redes Para Mídia Social - https://amzn.to/2Yz7VHn
Nosso site é o: http://www.pesquisaejogos.com.br/
Nosso E-mail é o: contato@pesquisaejogos.com.br
Site: http://www.lijc.com.br/wp/
Facebook: https://www.facebook.com/LIJCEDUCACIONAL
Instagram: https://www.instagram.com/lijceducacionalLink 
Lattes do professor Jeferson Antunes – http://lattes.cnpq.br/1597168569510229</t>
  </si>
  <si>
    <t>neste video tutorial mostramos rapidamente algumas caracteristicas principais do Gephi, software que é referência para a análise de redes sociais e outros tipos de rede
(Recorded with http://screencast-o-matic.com)</t>
  </si>
  <si>
    <t>장소: 대구한의대학교
일시: 2017. 6. 28 (수) 10:00
네트워크 분석 이론과 NodeXL(노드엑셀)을 이용한 분석법</t>
  </si>
  <si>
    <t>본강의는 KC대학교 재학생의 Blended Learning을 위해 제작되고 오픈되었습니다. 
그러나 공부하시는 분들의 강의자료에 대한 요청이 많으셔서 네이버 까페를 오픈했습니다. 
채널홈으로 오시면 빅데이터와 관련된 다양한 강의를 순서대로 들을 수 있습니다. 
https://cafe.naver.com/kcbig
열심히 공부해서 좋은 성과가 있으시길 바랍니다. ^^</t>
  </si>
  <si>
    <t>19년 4월 1일, NetMiner를 활용한 논문 정보 수집과 연구 동향 분석 세미나 전체 영상입니다. 
세미나 발표 자료 보러 가기 (https://www.slideshare.net/cyram_inc/presentation-20190403/cyram_inc/presentation-20190403)
세미나 결과 보러 가기(https://cyram.tistory.com/297)</t>
  </si>
  <si>
    <t>네이버 다음 구글을 활용해 빅데이터 분석 공짜로 해보기
▶마케팅상담 문의
카톡상담 : http://pf.kakao.com/_BJxnFu/chat
연락처 : 010-6382-0215
대표번호 : 1544-3907
E-mail : okwinus@planfit.co.kr
상담신청 : http://bit.ly/2Qcxpe5
------------------------------------------------
귀사의 온라인마케팅 팀장이 되어드립니다.
아래 3가지 핵심업무를 합니다.
1. 500업체 컨설팅의 전문성으로 온라인마케팅 컨설팅 
2. 10년경력의 경험과 노하우를 바탕으로 온라인 홍보운영 
3. 1만명 수강생 배출 노하우을 통한 맞춤식 마케팅 교육</t>
  </si>
  <si>
    <t>선행연구 조사 내용을 엑셀로 정리하는 Best 사례를 소개합니다~
논준모연구소
www.nonjunmo.com</t>
  </si>
  <si>
    <t>관계는 행위자와 행위자를 묶는 선!
사회연결망을 학급에 적용하면
도덕적이고 친사회적인 사회를
만들 수 있을까요?
다양한 학생들이 모여있는 학급에 
사회연결망을 적용한 후 그 효과를 
살펴봤습니다. 
| 강연자 : 건국대학교 교직과 박종효 교수
| 강연 주제 : 사회연결망분석을 활용한 인성교육 실천과 효과: 클래스넷 프로그램을 중심으로
| 강연 주최: 현대차 정몽구 재단 인성교육 포럼
#현대차_정몽구_재단 #클래스넷프로그램 #사회연결망분석
#학생상담 #학생생활지도</t>
  </si>
  <si>
    <t>제 14회 드림렉쳐: 더 넓은 세상으로! - 2016. 05. 07 (토)
초연결시대, 사회는 어떻게 변하고 있고 우리는 미래를 어떻게 준비해야 할까요? 이재열 서울대 교수님의 드림렉쳐 "네트워크사회와 사회혁신"에서 그 해답을 찾아보세요.</t>
  </si>
  <si>
    <t>여러분 안녕하세요 드림셀파 논문컨설팅입니다. 
오늘도 지난 시간에 이어서 논문 주제를 정하는 방법에 대해서 
이야기 해보려고 합니다. 
그 중 키워드로 부터 어떻게 논문 주제를 구체화 할 수있는지
키워드 분석을 통해서 아이디어를 얻는 방법을 설명해 드릴예정이예요.
연구 동향을 간단히 파악해서 나만의 리뷰논문을 만들고, 
어떤 방식으로 키워드에서 주제로 보다 더 구체화 시키는지 
설명해 두었으니 잘 확인해주세요 :) 
※ 드림셀파 논문컨설팅이 궁금하다면? ※ 
- 대표전화 : 1588-8235
드림셀파 논문컨설팅은 탄탄한 전국 네트워크와 연구자 네트워크를 기반으로 운영된다. 
드림셀파는 논문 지도 경력 25년 이상인 윤선희 대표가 설립한 회사로 다년간의 논문지도 노하우와 서울대, 카이스트 등 명문대 출신의 최우수 지도박사들의 노하우를 바탕으로 컨설팅이 진행된다. 
또 매년 전공별 논문지도 우수 지도박사를 선발하는 제도를 통해 철저하게 품질을 검증한다. 
드림셀파는 연구윤리를 준수하는 업체로 논문대필을 하지 않는다.역량있는 지도박사님들과 1:1 맞춤형 컨설팅을 통해서 고객 스스로 논문을 작성하고 완성하는 '지도시스템'에 중점을 두어 운영이 된다.</t>
  </si>
  <si>
    <t>BizHRD컨설팅 대표이사 김용진 Job신과 함께
업무 네트워크의 중요성이 나날이 증대하하고 있습니다.
여러분의 업무 네트워크 수준은 어느 정도 되시는지요? 
자신의 사회관계망을 만들어 보시면서 점검해 보시고, 향후 전략도 수립해 보시기 바랍니다.
본 내용은 UCInet 프로그램을 이용하여 자신의 네트워크망을 그려보시기 바랍니다.
업무의 달인이 되는 그 날까지 ^^</t>
  </si>
  <si>
    <t>‘인간’뿐만 아니라, 기술, 자연 현상, 인공물 등과 같은 ‘비인간’도 인간의 행위를 바꿀 수 있는 행위능력을 가진 행위자의 범주에 포함합니다. 인간과 비인간을 포함한 행위자들의 복잡한 관계에 의해 사회가 생성되고, 행위자들은 서로 영향을 주고받으면서 지속적으로 변화하는 관계입니다. 내가 어떤 행위자 네트워크에 연결되어 있는지에 따라서 나의 행위능력이 좌우됩니다. 존재는 존재 자체의 의미나 가치로 결정되는 것이 아니라 어떤 행위자와 연결되느냐에 따라 그때 생기는 관계가 결정합니다</t>
  </si>
  <si>
    <t>This how-to video, shot for students in the undergraduate social networks course at the University of Maine at Augusta, demonstrates the use of the MMULT matrix multiplication command in Microsoft Excel to convert a 2-mode matrix into two 1-mode matrices.  The example of overlapping membership on the boards of directors of six Fortune 500 corporations is used as a walkthrough for students to work on their own assignments regarding a similar subject.  The habit of making mistakes and learning from them in the course of working with data is also modeled.  Screwing up is an integral part of doing academic work!  It's how we respond to the inevitable screwups that shapes our success.</t>
  </si>
  <si>
    <t>Working with procedures under Tools|Testing Hypotheses|Mixed nodal-dyadic which combine network data with attributes, and where attributes are specified using an older type of syntax</t>
  </si>
  <si>
    <t>This video defines, discusses, and works through an example of the difference between 2-mode and 1-mode matrices in social network analysis... and how to move from 2 modes to 1.  Shot for the University of Maine at Augusta undergraduate social networks course.</t>
  </si>
  <si>
    <t>This video considers how to use UCINET software to configure data and successfully run a QAP regression analysis to explain variation in some dyadic relation.  Produced in Fall 2012 for the undergraduate social networks course at the University of Maine at Augusta.</t>
  </si>
  <si>
    <t>This video demonstrates two methods for importing and transforming 2-mode network data (also known as bipartite networks or affiliation matrices) in the open-source research program R.  Method #1 involves direct input of an affiliation matrix into R, a method good for relatively small matrices. For larger matrices, it's easier to enter affiliation data into a spreadsheet and import a .csv (comma-delimited) file into R.  One hypothetical affiliation matrix and one actual affiliation matrix of corporate board interlocks are used to illustrate the development of R scripts for 2-mode network research.  This video was created for the University of Maine at Augusta undergraduate social science program.</t>
  </si>
  <si>
    <t>The Sociological Science Behind Social Networks and Social Influence
Watch the newest video from Big Think: https://bigth.ink/NewVideo
Join Big Think Edge for exclusive videos: https://bigth.ink/Edge
---------------------------------------------------------------------------------- 
If you think you're in complete control of your destiny or even your own actions, you're wrong. Every choice you make, every behavior you exhibit, and even every desire you have finds its roots in the social universe. In his lecture, Nicholas Christakis explains why individual actions are inextricably linked to sociological pressures. Whether you’re absorbing altruism performed by someone you’ll never meet or deciding to jump off the Golden Gate Bridge, collective phenomena affect every aspect of your life.
---------------------------------------------------------------------------------- 
NICHOLAS CHRISTAKIS:
Nicholas A. Christakis is a physician, sociologist, and director of the Human Nature Lab at Yale University, where he is the Sterling Professor of Social and Natural Science. His most recent book is Blueprint: The Evolutionary Origins of a Good Society (March 2019). Follow him on Twitter @NAChristakis
---------------------------------------------------------------------------------- 
TRANSCRIPT:
Hi, my name is Nicholas Christakis and I'm a physician and a social scientist and the discipline I'm going to be speaking about to you today is sociology.  Sociology is the field in which you study human behavior and human experience and how it relates to the fact that individuals are embedded within larger groups and collections of individuals.  When you see an individual as a member of a group or the collectivity you get a completely different perspective on that person and on the groups of which they are a member and in fact, in sociology we explore a fundamental tension and that tension arises because of two facts.  On the one hand you yourself have your own identity and your own agency and your own ability to make choices that affect your life, but on the other hand there is a collective responsibility for your life as well and it turns out that collective supra-individual factors can have as much to do with all kinds of aspects of your life, including whether you live or die as your own genes or your own choices and it turns out that supra-individual collective factors can have as much to do with what happens to you in your life and even with whether you live or die as things within you, your own genes or your own choices.
Now supra-individual factors such as where you live, what kind of networks you are a part of, social interactions you are a part of, what kind of institutions are nearby, for instance governments or hospitals, all of these are critical in shaping your life and all of our lives and these supra-individual factors can include things like inequality, culture and religion as well.
Supra-individual factors like where you live or where you are located in these vast face-to-face networks that we human beings assemble or what kinds of formal institutions are near you like governments or hospitals for example can have as much to do with what happens to you in your life as your own decisions and your own actions.  Other sorts of things are important too, like inequality or culture or religion and those sorts of supra-individual factors have a similar importance.
This is the difference between what we want to understand as structure and agency between social constraints and opportunities on the one hand and individual choices and actions on the other hand and a second key idea beyond that first one- 
This the difference between structure and agency, between collective constraints and opportunities that constrain and permit you to do certain kinds of things in your life on the one hand and your own individual choices and actions that permit you to do other sorts of things on the other hand.  That is the first big idea that I’d like to communicate today.  
The second big idea that sociology explores and that I would like to communicate today is that collective phenomena are not mere aggregations of individual phenomena.  There is something different, something special about groups of people, about collectivities that does not reside within the individuals themselves, something that emerges, something that transcends, something that is above and not a part of solely individual kinds of things that you might think of.  
A second key idea in sociology is that collective phenomena are not mere aggregations of individual phenomena.  There is something special, something weird almost about groups of individuals, about collectivities, something weird that you cannot see if you just study individuals, but that you must study whole groups of people in order to really understand.
So how did I become...
Read the full transcript at https://bigthink.com/videos/social-capital-if-you-want-to-succeed-make-friends</t>
  </si>
  <si>
    <t>With the proliferation of social media, we are increasingly engaged in identity work, that is, the forming, repairing, maintaining and revising our sense of self-worth and personal significance. The key question that this talk will seek to answer is "how are social media shaping our identities, that is, who we are and who we can become?" I will draw on insights from my research into identity work in the social virtual world Second Life to answer this question.
Ulrike Schultze is Associate Professor in Information Technology and Operations Management at Southern Methodist University.  Her research explores the impact of information technology on work practices.  She has studied the work practice implications of knowledge management technology and of Internet-based self-service technology. Most recently, she has been focusing on the implications of social media technologies, specifically the virtual world Second Life, for identity work. Dr. Schultze frequently relies on multi-method research designs, which include ethnographic observations, interviews and surveys.
During her tenure at SMU, Dr. Schultze has taught a variety of classes in the BBA, MBA, MSA and MSBA programs. Dr. Schultze holds a Bachelors’ and Masters’ degree in Information Systems from the University of the Witwatersrand, South Africa.  She earned her PhD in Management, with a concentration in Information Systems, from Case Western Reserve University.
This talk was given at a TEDx event using the TED conference format but independently organized by a local community. Learn more at http://ted.com/tedx</t>
  </si>
  <si>
    <t>Dr. Dennis Hiebert presents: "What does 'The Social Construction of Reality' Mean?"</t>
  </si>
  <si>
    <t>How can an academic discipline like Sociology be life changing? This talk suggests one way by exploring how sociologists teach us to re-imagine our personal problems and ourselves. In the end, we learn that even in our most private and seemingly isolated moments, we may be more connected to others than we realize.
His unique ability to connect with students along with his innovative use of technology in the classroom makes Sam Richards a very popular Sociology professor in the United States. Every semester over 750 students at Penn State University take his class on race and ethnic relations, the largest course on this subject in the world. He creates an active learning space where he addresses with humor and courage the very questions that most of us choose to avoid. Sam is also a co-founder of Penn State's World in Conversation Center. Every year, thousands of students from around the world participate in the Center's mission to bring conflict into collaboration through peer-facilitated dialogue.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</si>
  <si>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Take an epic journey through human cultures with cross-cultural psychologist Michele Gelfand, PhD as she describes how tight and loose cultures wire our world.
This talk was part of TEDxPaloAltoSalon, Imagine Anew, held on October 28, 2018. For more information about TEDxPaloAlto and TEDxPaloAltoSalon please visit http://www.tedxpaloalto.com. Michele Gelfand, PhD, is Distinguished University Professor at the University of Maryland, College Park. She uses field, experimental, computational and neuroscientific methods to understand the evolution of culture and its multilevel consequences for human groups. 
Gelfand's work has been cited over 20,000 times and has been featured in The Washington Post, The NY Times, The Boston Globe, NPR, Voice of America, Fox News, NBC News, ABC News, The Economist and De Standard. 
She is the founding co-editor of the Advances in Culture and Psychology Annual Series and the Frontiers of Culture and Psychology series (Oxford University Press) and the co-author of The Handbook of Negotiation and Culture (2004, Stanford University Press), Values, Political Action, and Change in the Middle East and the Arab Spring (2017, Oxford University Press) and Rule Makers, Rule Breakers: How Tight and Loose Cultures Wire our World (2018, Scribner). 
For a full bio please see www.TEDxPaloAlto.com This talk was given at a TEDx event using the TED conference format but independently organized by a local community. Learn more at https://www.ted.com/tedx</t>
  </si>
  <si>
    <t>Jeffrey Brenzel: The Essential Value of a Classic Education
Watch the newest video from Big Think: https://bigth.ink/NewVideo
Join Big Think Edge for exclusive videos: https://bigth.ink/Edge
---------------------------------------------------------------------------------- 
From "What's the best kind of life for a human?" to "How should governments be arranged?", the great classics tackle some of the most enduring questions that have resisted the attempts of science and the ages to solve. Brenzel will try to convince you that having intimate conversations with these great works will not only build your intellectual muscle but will also help you to grapple with the big questions in your own life and improve your judgment.﻿
---------------------------------------------------------------------------------- 
Jeffrey Brenzel:
Jeffrey Brenzel is Dean of Undergraduate Admissions at Yale University and a Lecturer in Yale's Philosophy Department. He has worked as a nonprofit executive, a private sector entrepreneur, a scholar and a university administrator. In this capacity as the Dean of Undergraduate Admissions, Brenzel is responsible for worldwide outreach to talented students, the selection process itself, and the development of university admissions policy and practices. Brenzel earned his Ph.D. in Philosophy from the University of Notre Dame, while at the same time founding and developing InterLearn, Inc. an investor-backed venture that used new media and technology to produce career education and liberal arts programs for adult learners.
---------------------------------------------------------------------------------- 
TRANSCRIPT:
What is the best sort of life for a human being?  Socrates claimed in 400BC that a man lives a happier life if he’s just, even if he is thrown starving into prison for the rest of his life than if he is unjust and he is celebrated and honored all of his days and is never caught for his crimes.  Could that possibly be correct?  If not, why not and what difference should the question make to us now?  
What moves the human heart?  Shakespeare’s characters throw us into the depths of lust, envy, greed, pride, ambition.  What do those characters have to say about the way that we act or that we behave or that we believe?  And if so, what difference would it make to read about them in Shakespeare and why Shakespeare whose Elizabethan English is very difficult for us who speak modern English to understand?   Thomas Hobbes wrote in 1651 a book called Leviathan, one of the two or three most influential works in the history of thinking about government and politics in western society.  He was writing from the midst of a raging civil war and he argued that unless we gave all the power, unless we surrendered all ultimate control to a legitimate king that we would all rob and kill each other.  Was he right about that?  Is that the way things actually work and is the question relevant to us today when we no longer believe in kings?   
Hello.  My name is Jeff Brenzel and I'm the dean of undergraduate admissions at Yale University.  I'm also the master of something called Timothy Dwight College, which essentially means that I live with 400 of the very undergraduates that I picked myself and yes, it is unusual for an admissions dean to live 24/7 with the outcomes of his own decisions.  I also lecture from time to time in the philosophy department at Yale and my work in philosophy centers around ethics and also the history of the ideas that we’ve had about something we like to call human nature.  Speaking of human nature, one of my personal heroes, Aristotle, claimed that by nature everyone seeks to know, everyone desires to know.  For the purposes of this talk I'm going to assume that you are already an intellectually curious person and that you’re not only chasing after knowledge as hard as you can.  You’re also trying to build up the skill sets and acquire the kind of capacities and abilities that you’re going to need to become a better learner overall.
Also I'm going to assume that you’re not only trying to increase your stock of knowledge, but that you’re seeking to grow in wisdom as well and wisdom is something distinct from knowledge and I'm going to come back to that a little later.
If these things are in fact true about you then here is my advice in a nutshell.  Make a choice in college to read some old books, even a substantial number of old books.  My argument will be that reading the right old books in the right way is better than reading only new books, much less using only new ways of learning that have nothing to do with books at all.  So yes, I'm a throwback.  I have a somewhat unpopular view of what you should do with your college education.  What I'm going to try to persuade you is that my advice...
Read the full transcript at https://bigthink.com/videos/strange-beauty-how-reading-the-classics-will-change-you</t>
  </si>
  <si>
    <t>In this lecture, Steven Pinker, renowned linguist and Harvard Psychology Professor, discusses linguistics as a window to understanding the human brain.
New videos DAILY: https://bigth.ink
Join Big Think Edge for exclusive video lessons from top thinkers and doers: https://bigth.ink/Edge
----------------------------------------------------------------------------------
How is it that human beings have come to acquire language? Steven Pinker's introduction to the field includes thoughts on the evolution of spoken language and the debate over the existence of an innate universal grammar, as well as an exploration of why language is such a fundamental part of social relationships, human biology, and human evolution. Finally, Pinker touches on the wide variety of applications for linguistics, from improving how we teach reading and writing to how we interpret law, politics, and literature.
Read the full transcript on: https://bigthink.com/videos/how-we-speak-reveals-how-we-think-with-steven-pinker
----------------------------------------------------------------------------------
Steven Pinker is an experimental psychologist who conducts research in visual cognition, psycholinguistics, and social relations. He grew up in Montreal and earned his BA from McGill and his PhD from Harvard. Currently Johnstone Professor of Psychology at Harvard, he has also taught at Stanford and MIT. He has won numerous prizes for his research, his teaching, and his nine books, including The Language Instinct, How the Mind Works, The Blank Slate, The Better Angels of Our Nature, The Sense of Style, and Enlightenment Now: The Case for Reason, Science, Humanism, and Progress.
----------------------------------------------------------------------------------
ABOUT BIG THINK:
Smarter Faster™
Big Think is the leading source of expert-driven, actionable, educational content. With thousands of videos, featuring experts ranging from Bill Clinton to Bill Nye, we help you get smarter, faster. ​Our experts are either disrupting or leading their respective fields—subscribe to learn from top minds like these daily.
We aim to help you explore the big ideas and core skills that define knowledge in the 21st century, so you can apply them to the questions and challenges in your own life.
Other Frequent contributors include Michio Kaku &amp; Neil DeGrasse Tyson.
Michio Kaku Playlist: https://bigth.ink/Kaku
Bill Nye Playlist: https://bigth.ink/BillNye
Neil DeGrasse Tyson Playlist: https://bigth.ink/deGrasseTyson
Read more at https://bigthink.com for a multitude of articles just as informative and satisfying as our videos. New articles posted daily on a range of intellectual topics.
Join Big Think Edge, to gain access to an immense library of content. It features insight from many of the most celebrated and intelligent individuals in the world today. Topics on the platform are focused on: emotional intelligence, digital fluency, health and wellness, critical thinking, creativity, communication, career development, lifelong learning, management, problem solving &amp; self-motivation.
BIG THINK EDGE: https://bigth.ink/Edge
----------------------------------------------------------------------------------
FOLLOW BIG THINK:
_xD83D__xDCF0_BigThink.com: https://bigth.ink
_xD83E__xDDD4_Facebook: https://bigth.ink/facebook
_xD83D__xDC26_Twitter: https://bigth.ink/twitter
_xD83D__xDCF8_Instagram: https://bigth.ink/Instragram
_xD83D__xDCF9_YouTube: https://bigth.ink/youtube
✉ E-mail: info@bigthink.com
----------------------------------------------------------------------------------
TRANSCRIPT:
For more info on this video, including the full transcript, check out https://bigthink.com/big-think-edge/learn-better</t>
  </si>
  <si>
    <t>http://www.ted.com We're all embedded in vast social networks of friends, family, co-workers and more. Nicholas Christakis tracks how a wide variety of traits -- from happiness to obesity -- can spread from person to person, showing how your location in the network might impact your life in ways you don't even know.
TEDTalks is a daily video podcast of the best talks and performances from the TED Conference, where the world's leading thinkers and doers give the talk of their lives in 18 minutes. Featured speakers have included Al Gore on climate change, Philippe Starck on design, Jill Bolte Taylor on observing her own stroke, Nicholas Negroponte on One Laptop per Child, Jane Goodall on chimpanzees, Bill Gates on malaria and mosquitoes, Pattie Maes on the "Sixth Sense" wearable tech, and "Lost" producer JJ Abrams on the allure of mystery. TED stands for Technology, Entertainment, Design, and TEDTalks cover these topics as well as science, business, development and the arts. Closed captions and translated subtitles in a variety of languages are now available on TED.com, at http://www.ted.com/translate. Watch a highlight reel of the Top 10 TEDTalks at http://www.ted.com/index.php/talks/top10</t>
  </si>
  <si>
    <t>An Introduction to the Philosophy of Politics and Economics
Watch the newest video from Big Think: https://bigth.ink/NewVideo
Join Big Think Edge for exclusive videos: https://bigth.ink/Edge
---------------------------------------------------------------------------------- 
Engagement with the the fundamentals of political philosophy is an essential step toward being able to think critically about the power structures in place and make your voice heard as a citizen. Professor Tamar Gendler begins with the question of why human beings should cooperate, then looks at the different answers that arise from two very different perspectives: Hobbes' theory of self-interest versus the social contract theory of Rousseau and Locke. Next, she shows how, with Marx's communism, political philosophy evolved to the point at which it had the power to overturn established hierarchies and dominate the international politics of the twentieth century.
---------------------------------------------------------------------------------- 
TAMAR GENDLER:
Dr. Tamar Gendler is a leading philosophy scholar. Her primary areas of study are the Philosophy of Psychology, Epistemology and Metaphysics. Professor Gendler's work has earned her many fellowships from such foundations such as the Andrew W. Mellon Foundation and the National Science Foundation. Her 2008 essay entitled "Alief and Belief" was selected by the Philosopher's Annual as one of the best articles published in Philosophy in 2008. In 2010, she became the first woman to Chair the Department of Philosophy at Yale. Dr. Gendler has taught philosophy and cognitive science at Yale since 2006.
---------------------------------------------------------------------------------- 
TRANSCRIPT:
My name is Tamar Gendler.  I'm professor of philosophy and cognitive science and chair of the philosophy department at Yale University.  
So philosophy comes from the Greek term meaning love of wisdom; philo, love; sophos, wisdom and every culture from time immemorial has had a philosophical tradition.  There are philosophical traditions in western culture that have their roots in ancient Greece.  There are philosophical traditions in eastern culture, great Chinese and Indian philosophical traditions.  There are philosophical traditions in Africa.  There are philosophical traditions in native cultures throughout the world.  What philosophy does in every society of which it is a part is asks the question why, why are things that way they are and should they be that way. 
The western philosophical tradition to which my comments today will be restricted can be divided into two main segments.  On the one hand it has a descriptive component, which asks about how things are and how we know that and on the other hand it has a normative component, a component which asks about how things ought to be.  So into the first category fall questions like what is the fundamental nature of reality, does God exist, do we have free will.  Those branches of philosophy are known as metaphysics, fundamental questions about what there is, and epistemology, fundamental questions about how we know things.
On the other side of the divide are the questions that I've called normative  questions, questions about values and that segment of philosophy has three main parts.  One of them, aesthetics is concerned with the question what is beautiful and what makes it so. The second part of that division of philosophy, moral philosophy asks the question what is morally right or good and the third part of that division of philosophy, political philosophy asks the question how should societies be structured in order to allow human flourishing and what makes societal structures legitimate           
Political Philosophy
Perhaps the most accessible and exciting part of philosophy for people who have never encountered the discipline before is political philosophy, which asks questions that we as citizens of a democracy need to ask ourselves in order to be responsible participants in our joint governance, questions like what is the best way for society to be structured in order to allow people to flourish, questions like what is the appropriate division of rights and responsibilities in a society, questions like how should the legitimate concerns of liberty on the one hand and equality on the other be balanced and for those of you who are interested in studying a subject that has practical import it may be worth realizing that political philosophy brought you the world as you know it today.  Political philosophy brought the world Greek democracy.  It brought us the Magna Carta.  It brought us the French Revolution and the American Revolution.  It brought us communism.  It brought us the Civil Rights Movement.  It brought us feminism...
Read the full transcript https://bigthink.com/videos/how-societies-should-organize-balancing-freedom-and-community</t>
  </si>
  <si>
    <t>The first lesson of the course will introduce you to R, RStudio, and some fundamental concepts of the R language via the swirl package for learning R. Specifically, this video tutorial will walk you the installation of R and R Studio on your computer, basic features of the RStudio environment, and get you started on the two following introductory lessons:
- Lesson 1: Basic Building Blocks of the R Programming swirl course. 
- Module 1 of A (Very) Short Introduction to R swirl course 
Required readings from R for Data Science include:
- Chapter 1.4: Prerequisites 
- Chapter 1.5: Running R Code
- Chapter 4: Workflow Basics
- Chapter 6 just through 6.1: Running Code
Finally, the following resources are optional but might be helpful:
- Quick overview or RStudio features by RStudio 
- Introduction to RStudio and RStudio Environment by Tom Sherratt 
- Lesson 1 Intro to Basics in the Data Camp Introduction to R course</t>
  </si>
  <si>
    <t>In Lesson 4, we move beyond R packages as a data source for text mining and shift our attention to Twitter, a rich source of text data for a variety of educational contexts. For those of you who have set up a twitter developer account, I’ll walk you through the process of using your developer keys and tokens to pull data using Twitter’s API as described by Chris Bail. Note that some of the code he’s provided is outdated and I’ll show you the updated code for passing through your credentials to be able to search and pull tweets. To do so, you’ll need to install and load the rtweet package using the following code:
install.packages("rtweet")
library(rtweet)
The rtweet package provides a range of functions for pulling: tweets from a keyword search; a user(s) friends, followers, favorites, or timeline; and trending tweets based on a specificed topic. For our purposes, we’ll focus the following two functions to collect data from Twitter:
- create_token( ) which passes on our credentials to Twitter’s API so we can access data.
- search_tweets( ) for getting tweets based on a specified kewyord or hastag.
- ts_plot( ) to quickly visualize frequency of tweets over time.
For those of you who have not set up developer credentials, have no fear. I’ll be providing data from Twitter that can be used to work through the examples in this video or for your Part 2 analysis. Data is also provided through the required reading in Text Mining with R for this lesson, which include directions for downloading your own Twitter archive as well as a demonstration of several useful functions for getting and cleaning tweets from the readr, stringr, and base packages respectively:
- read_csv( ) function from the readr package for reading in .csv files.
as.Date( ) from base R for working with twitter timestamps.
- str_detect( ) from the stringr package for finding special characters in text that we want to remove.
- str_remove_all( ) for removing speical characters from our tweets like “&amp;amp, &amp;lt, or &amp;gt”.
On that note, the required readings for this lesson include:
- Sentiment Anlysis from Chris Bail’s Text as Data course.
- Case study: comparing twitter archives from Text Mining with R.
Note that for the case study, we’re primarily interested in the early examples of reading in and cleaning text, and some basic plotting with ggplot. You are not required to work through and understand all the code, but I do ask that you read through the entire chapter to get a sense of other ways you can look at twitter data.
Per usual, if you run into any issues, please post your question or issue to the forum and we’ll figure it out!</t>
  </si>
  <si>
    <t>Lesson 2 of this unit will introduce you to some fundamental functions for data transformation from the dplyr tidyverse package. Specifically, the lesson will focus on using the following functions for wrangling data:
- mutate(  ) adds new variables that are functions of existing variables
- select(  ) picks variables based on their names.
- filter(  ) picks cases based on their values.
- summarise(  ) reduces multiple values down to a single summary.
- arrange(  ) changes the ordering of the rows.
In addition, we'll also be introduced to group_by(  ) function for summarizing your data by one or more variables (e.g. getting word counts for each document in a corpus) as well as a new operator, the pipe-operator, for performing multiple functions on our data without having to write at lot of repetitious code.
The video tutorial above will walk you through parts of Chapter 5 from R for Data Science while providing some commentary. However, there are additional exercises in the following Required readings from R for Data Science for this lesson include:
- Chapter 5: Data Transformation
- Chapter 6: Workflow Scripts
Required swirl lessons from the R Programming Course include:
- Lesson 2: Workspace and Files
- Lesson 3: Sequences of Numbers 
- Lesson 4: Vectors
Finally, I recommend printing and keeping on hand the following resources:
- dplyr Cheat Sheet
- R for Data Science Cheat Sheet</t>
  </si>
  <si>
    <t>Overview of the content analysis features of NodeXL.</t>
  </si>
  <si>
    <t>In this video lecture I explain what an exporatory factor analysis does, and how it works, and why we do it.</t>
  </si>
  <si>
    <t>This video will explain about how you can use content analysis as a research method or an analysis method, what are the steps in doing content analysis and what are the different types of content analysis</t>
  </si>
  <si>
    <t>Part of the free, online tutorial in data journalism skills at: http://mtweb.mtsu.edu/kblake/datajournalism.html</t>
  </si>
  <si>
    <t>Content Analysis 101</t>
  </si>
  <si>
    <t>This video for the undergraduate social networks course of the University of Maine at Augusta considers the question, "Why Study Ego Networks?"  Why not simply study entire social networks with all of the nodes and ties contained therein?  There are multiple answers to this question, and we consider a few of them after reviewing the distinction between an ego network and a complete network.</t>
  </si>
  <si>
    <t>Estimating ERGMs</t>
  </si>
  <si>
    <t>Network terminology helps in understanding the given network. After going through this tutorial, you will learn to talk to the network and identify The nodes, Junction nodes, Branches, and Loops in the network. Understanding the network is the basic requirement, before you start solving it.</t>
  </si>
  <si>
    <t>2018 Social Networks and Health Workshop, Will McConnell,  PH.D Candidate, Sociology, Indiana University,  05/14/2018</t>
  </si>
  <si>
    <t>http://www.ted.com After mapping humans' intricate social networks, Nicholas Christakis and colleague James Fowler began investigating how this information could better our lives. Now, he reveals his hot-off-the-press findings: These networks can be used to detect epidemics earlier than ever, from the spread of innovative ideas to risky behaviors to viruses (like H1N1). 
TEDTalks is a daily video podcast of the best talks and performances from the TED Conference, where the world's leading thinkers and doers give the talk of their lives in 18 minutes. Featured speakers have included Al Gore on climate change, Philippe Starck on design, Jill Bolte Taylor on observing her own stroke, Nicholas Negroponte on One Laptop per Child, Jane Goodall on chimpanzees, Bill Gates on malaria and mosquitoes, Pattie Maes on the "Sixth Sense" wearable tech, and "Lost" producer JJ Abrams on the allure of mystery. TED stands for Technology, Entertainment, Design, and TEDTalks cover these topics as well as science, business, development and the arts. Closed captions and translated subtitles in a variety of languages are now available on TED.com, at http://www.ted.com/translate. Watch a highlight reel of the Top 10 TEDTalks at http://www.ted.com/index.php/talks/top10</t>
  </si>
  <si>
    <t>Social Network Analysis - From Graph Theory to Applications with Python - Dima Goldenberg - PyCon Israel 2019
Social network analysis is the study of social structures through the use of graph theory. In this talk I will present network theory and application of building and analyzing social networks for practical use-cases in Python with NetworkX.
_________________________________________________________________
Social network analysis is the process of investigating social structures through the use of networks and graph theory. It combines a variety of techniques for analyzing the structure of social networks as well as theories that aim at explaining the underlying dynamics and patterns observed in these structures. It is an inherently interdisciplinary field which originally emerged from the fields of social psychology, statistics and graph theory.
This talk will cover the theory of social network analysis, with a short introduction to graph theory and information spread. Then we will deep dive into Python code with NetworkX to get a better understanding of the network components, followed-up by constructing and implying social networks from real Pandas and textual datasets. Finally we will go over code examples of practical use-cases such as visualization with matplotlib, social-centrality analysis and influence maximization for information spread.
Code examples for the sessions can be found here: https://github.com/dimgold/pycon_social_networkx
_____________________________________________________
Dima Goldenberg
I was always excited about looking at patterns, especially in people interactions. This led me to focus on data science and social network research as a career and discover patterns in people behavior. I did my masters research about Influence Maximization in social networks at the Department of Engineering in Tel Aviv University. I love to teach and was teaching different data topics in the academia and outside. Today I am a Data Scientist &amp; Team Lead at Booking.com working on personalization of travel experiences.</t>
  </si>
  <si>
    <t>This workshop provides a broad overview of Social Network Analysis. In the first part of the workshop, a concise overview of theoretical concepts is provided, together with examples of data collection methods. The second section discusses network data analysis - network measurements (i.e. density, reciprocity, etc.) and node level measurements (i.e. degree centrality, betweenness centrality, etc.). The last part of the workshop introduces participants to UCINET and NetDraw, software packages used for data management, analysis and visualization.</t>
  </si>
  <si>
    <t>2018 Social Networks and Health Workshop, Brea Perry, Professor of Sociology, Indiana University Network Science Institute,  05/15/2018</t>
  </si>
  <si>
    <t>Social network homophily is not simply the preference to associate with similar others, and measuring the share of a person's friends who are like that person is not the same as measuring homophily.  A video for the undergraduate social networks course at the University of Maine at Augusta explains why -- with bears.</t>
  </si>
  <si>
    <t>It is easy to analyze the network in Excel with the help of PrimaXL, an add-in software. 
Amazon: https://www.amazon.com/dp/B077G8CTSR     (10$ Coupon included)
Facebook : https://www.facebook.com/fianresearch/
Free trial : http://www.fianresearch.com/eng_index.php
Purchase license : https://sites.fastspring.com/fianresearch/instant/primaxllicensekeyv2015a</t>
  </si>
  <si>
    <t>In this episode, we show how to do k-means clustering in Excel with the help of PrimaXL, an add-in software.
Amazon: https://www.amazon.com/dp/B077G8CTSR     (10$ Coupon included)
Facebook : https://www.facebook.com/fianresearch/
Free Trial : http://www.fianresearch.com/eng_index.php
Purchase license : https://sites.fastspring.com/fianresearch/instant/primaxllicensekeyv2015a</t>
  </si>
  <si>
    <t>Speaker: Leanna Kent, Sr. Data Scientist, Elder Research
Slides: https://www.slideshare.net/SessionsEvents/leanna-kent-using-network-analysis-to-detect-kickback-schemes-among-medical-providers
Fraud is a major concern for health insurance payers, with kickbacks being one such scheme. Kickbacks in the medical community typically occur in the form of referrals or prescribing the use of specific drugs/equipment. Because of these referrals, providers participating in a kickback scheme will often have an unusually strong connection to each other in the data. We can link medical providers to each other through patient lists, bank accounts, physical proximity, etc. Having these connections makes this problem a prime candidate for network analysis. However, due to the direct relationship between participants in a kickback scheme, second degree connections—and thus communities—are not as useful for detection. This talk will cover how we have created a custom formula to highlight the strongest connections in an egonet, and how it allows us to score and rank the resulting subgraphs for investigation prioritization.</t>
  </si>
  <si>
    <t>It is easy to apply principal component analysis (PCA) in Excel with the help of PrimaXL, an add-in software. 
In this episode, we discuss about visualization of high dimensional clusters.
Amazon: https://www.amazon.com/dp/B077G8CTSR     (10$ Coupon included)
Facebook : https://www.facebook.com/fianresearch/
Free trial: http://www.fianresearch.com/eng_index.php
Purchase license : https://sites.fastspring.com/fianresearch/instant/primaxllicensekeyv2015a</t>
  </si>
  <si>
    <t>Social networks are a means to understand social structures. This has become increasingly relevant with the shift towards mediated interaction. Now we can observe and often analyse links at a scale that far outpaces what was possible only decades ago. While this prompts new methodologies, the large-scale networks we can observe can still be informed by classis questions in social network analysis.
In this class, we take a brisk tour through the classic ideas of social network analysis including preferential attachment, small worlds, homophily, the friendship paradox and clustering. Bernie demonstrates how these ideas are not only applicable to modern digital networks but have been updated with interesting insights fromdata on Twitter, Facebook and the World Wide Web itself.
This is an introductory class, an advanced class session is planned for 2018. 
Readings:
Hidalgo, C.A. (2016). Disconnected, fragmented, or united? A trans-disciplinary review of network science. Applied Network Science, 1(6), 1-19 . http://doi.org/10.1007/s41109-016-0010-3
Hogan, B. (2017). Online Social Networks: Concepts for Data Collection and Analysis. In Fielding, N.G., Lee, R., &amp; Blank, G. (eds). The Sage Handbook of Online Research Methods. Thousand Oaks, Ca: Sage Publications. Pp. 241-258 Retrieved from https://papers.ssrn.com/sol3/papers.cfm?abstract_id=3047869 
Harrington, H.A., Beguerisse-diaz, M., Rombach, M.P., Keating, L. M., &amp; Porter, M.A. (2013). Commentary: Teach network science to teenagers. Network Science, 1(2), 226-247. http://doi.org/10.1017/nws.2013.11
#datascienceclasses</t>
  </si>
  <si>
    <t>This is the 3rd video of chapter 1 of Network Analysis by Eric Ma. Take Eric's course: https://www.datacamp.com/courses/network-analysis-in-python-part-1
From online social networks such as Facebook and Twitter to transportation networks such as bike sharing systems, networks are everywhere, and knowing how to analyze this type of data will open up a new world of possibilities for you as a Data Scientist. This course will equip you with the skills to analyze, visualize, and make sense of networks. You'll apply the concepts you learn to real-world network data using the powerful NetworkX library. With the knowledge gained in this course, you'll develop your network thinking skills and be able to start looking at your data with a fresh perspective!
Transcript:
You may have seen node-link diagrams involving more than a hundred thousand nodes.
They purport to show a visual representation of the network, but in reality just show a hairball. In this section, we are going to look at alternate ways of visualizing network data that are much more rational.
I’m going to introduce to you three different types of network visualizations. The first is visualizing a network using a Matrix Plot. The second is what we call an “Arc Plot”, and the third is called “Circos Plot”.
Let’s start first with a Matrix Plot.
In a Matrix Plot, nodes are the rows and columns of a matrix, and cells are filled in according to whether an edge exists between the pairs of nodes. On these slides, the left matrix is the matrix plot of the graph on the right.
In an undirected graph, the matrix is symmetrical around the diagonal, which I’ve highlighted in grey. I’ve also highlighted one edge in the toy graph, edge (A, B), which is equivalent to the edge (B, A).
Likewise for edge (A, C), it is equivalent to the edge (C, A), because there’s no directionality associated with it.
If the graph were a directed graph, then the matrix representation is not necessarily going to be symmetrical. In this example, we have a bidirectional edge between A and C, but only an edge from A to B and not B to A. Thus, we will have (A, B) filled in, but not (B, A).
If the nodes are ordered along the rows and columns such that neighbours are listed close to one another, then a matrix plot can be used to visualize clusters, or communities, of nodes.
Let’s now move on to Arc Plots.
An Arc Plot is a transformation of the node-link diagram layout, in which nodes are ordered along one axis of the plot, and edges are drawn using circular arcs from one node to another. If the nodes are ordered according to some some sortable rule, e.g. age in a social network of users, or otherwise grouped together, e.g. by geographic location in map for a transportation network, then it will be possible to visualize the relationship between connectivity and the sorted (or grouped) property.
Arc Plots are a good starting point for visualizing a network, as it forms the basis of the later plots that we’ll take a look at.
Let’s now move on to Circos Plots.
A CircosPlot is a transformation of the ArcPlot, such that the two ends of the ArcPlot are joined together into a circle.
Circos Plots were originally designed for use in genomics, and you can think of them as an aesthetic and compact alternative to Arc Plots.
You will be using a plotting utility that I developed called nxviz. Here’s how to use it.
Suppose we had a Graph G in which we added nodes and edges. To visualize it using nxviz, we first need to import nxviz as nv, and import matplotlib to make sure that we can show the plot later. Next, we instantiate a new nv.ArcPlot() object, and pass in a graph G. We can also order nodes by the values keyed on some “key”. Finally, we can call the draw() function, and as always, we also call plt.show().
The code example here shows you how to create an Arc Plot using nxviz, and you’ll get a chance to play around with the other plots in the exercises.
Alright! Let’s get hacking! https://www.datacamp.com/courses/network-analysis-in-python-part-1</t>
  </si>
  <si>
    <t>It is easy to preprocess data in Excel with the help of PrimaXL, an add-in software. 
Amazon: https://www.amazon.com/dp/B077G8CTSR     (10$ Coupon included)
Facebook : https://www.facebook.com/fianresearch/
Free trial: http://www.fianresearch.com/eng_index.php
Purchase license : https://sites.fastspring.com/fianresearch/instant/primaxllicensekeyv2015a</t>
  </si>
  <si>
    <t>It is easy to analyze the network in Excel with the help of PrimaXL, an add-in software. 
In this episode, we will see an example of the community detection and then compare with the k-means clustering.
Amazon: https://www.amazon.com/dp/B077G8CTSR     (10$ Coupon included)
Facebook : https://www.facebook.com/fianresearch/
Free trial : http://www.fianresearch.com/eng_index.php
Purchase license : https://sites.fastspring.com/fianresearch/instant/primaxllicensekeyv2015a</t>
  </si>
  <si>
    <t>A short introduction to Gephi through the visualization of my Facebook network from the Data J Lab at Tilburg University</t>
  </si>
  <si>
    <t>Hier geht's zum Blog:
http://www.christian-mehler.de (früher: spaetzlemitsoss.de)
In diesem kurzen Video-Tutorial wird erklärt, wie ihr euer privates Facebook Netzwerk mit Hilfe des Freeware-Programms "Gephi" analysieren und visualisieren könnt.
Erläuterung des im Video genannten Begriffs "Betweenness Centrality":
Dieser Wert gibt an, wie viele der kürzesten Pfade eines Netzwerks über den jeweiligen Knoten führen und bietet daher ein wichtiges Beurteilungskriterium für die Relevanz eines Knotens in einem Netzwerk.
Danke an Sarah Joy Murray:
http://de.slideshare.net/persuasion</t>
  </si>
  <si>
    <t>A video showing how to make Facebook Page like networks with  Netvizz and Gephi. Also shows how to combine several networks into one.</t>
  </si>
  <si>
    <t>Polinode and the Social Media Research Foundation recently announced an integration between NodeXL Pro and Polinode’s Networks product. Polinode Networks is a tool for visualising and analysing network data in a web-browser. NodeXL Pro is an Microsoft Office Excel add-in that performs advanced social network analysis with the ability to connect directly to many social networks including Facebook, Twitter and YouTube.
In this video, Marc Smith, Co-Founder of the Social Media Research Foundation, and Andrew Pitts, Founder &amp; CEO of Polinode, run a joint webinar where they provided some background and demonstrated the integration live.
Marc and Andrew cover:
1. A brief introduction to NodeXL and Polinode;
2. How to create a network in NodeXL and export it to Polinode. 
3. Analysing that same network in Polinode and sharing it with other users; 
4. Some Q&amp;A and discussion with the webinar attendees.
The live network from the demo is available at: http://bit.ly/polinodeNodeXLDemo.</t>
  </si>
  <si>
    <t>Learn to make social media network maps in just a few clicks in this short How-To guide to using NodeXL Pro Automation features. Get professional insights into networks like hashtags and other connected structures using the free "data recipes" we provide on: http://www.smrfoundation.org/nodexl/automation/</t>
  </si>
  <si>
    <t>In the subject Industrial Engineering, Linear Programming (Simplex Method) is explained in this video. Watch this video till the end to know the value of these exams and tips to crack the GATE and ESE exam. Also, Gaurav Babu shared his own experience to do the preparation of the GATE and ESE exam.
Gaurav Babu talks about the important questions for GATE 2021 to give a preparation strategy for GATE 2021 and ESE 2021. This video emphasizes on ESE 2021 preparation strategy, GATE 2021 preparation strategy, and PSUs 2021 preparation strategy.
Do Subscribe and be a part of the community for more such lessons here: 
➤ Join the Telegram (Let's Crack GATE&amp;ESE ME): https://t.me/unacademystudiosvector
➤ Click here to Subscribe (GATE &amp; ESE ME quest): https://bit.ly/2Bg9IKU
➤ Click here to Subscribe (GATE &amp; ESE ME in 10): https://bit.ly/2BpmQO9
Gaurav Babu and more top educators are teaching live on Unacademy.
Use Special Code “GPSLIVE” to get 10% off on your Unacademy Subscription. 
Subscribe today: https://unacademy.com/plus/goal/PESHE
Unacademy Studios Feedback Form - https://bit.ly/Gate_ESE
Watch the full playlist here: https://www.youtube.com/playlist?list=PL9H2IJVEgfm_FLyVq-IYPyA4cMTdqDzQx
Download the Unacademy Learning App here:
Android: https://goo.gl/02OhYI 
iOS: https://goo.gl/efbytP
Unacademy Subscription Benefits:
1. Learn from your favourite teacher
2. Dedicated DOUBT sessions
3. One Subscription, Unlimited Access
4. Real time interaction with Teachers
5. You can ask doubts in live class
6. Limited students
7. Download the videos &amp; watch offline
#letscrackgateandese_me  Expected_Questions_GATE #Expected_Questions_PSUs
#ESE #PSUs #GATE2021 #ESE2021 #PSUs2021 #Unacademy</t>
  </si>
  <si>
    <t>This year 50 Google Developer Groups in India have come together to organize a Code Concert for developers with diverse backgrounds on 16th, 17th and 18th of October 2020 - called DEVFEST INDIA 2020.
MOBILE:
Welcome to session 1 of the Mobile track. Please make sure you fulfill the following prerequisite before the session for smooth experience. 
Tools and Software:
- Android Studio 4.0.1 and above
- Java 8
- Android device to run the app
Also, you will be requiring the following gists to copy-paste certain things.
1) https://gist.github.com/sagar-viradiya/ea05cdeb8471ca028dd361e53512189e
2) https://gist.github.com/sagar-viradiya/914d9e57980d2d6979c43a8653308e7b
3) https://gist.github.com/sagar-viradiya/64b6a8331b3f4d436ae499b9700ac1f4
WEB:
Tools &amp; Softwares:
- Visual Code Editor (Preferred)
- Node v10.13 or v12 
- Angular CLI (npm install -g @angular/cli)
- Firebase CLI (npm install -g firebase-tools)
- GitHub Account
Repo which you need to fork to start the code:
https://github.com/DevFest-India/Fiery-Pokemon-DevFestIndia
CLOUD:
Tools and Software
- A web browser (preferably Google Chrome)
- Google Cloud project with billing enabled</t>
  </si>
  <si>
    <t>In this tutorial we walk through creating a survey from scratch.</t>
  </si>
  <si>
    <t>In this video I share the Flow Chart map of my Notion System design using free flow chart software called Whimsical (can also use Miro). I demonstrate how you can do the same for your Notion system, and provide a road map of videos to come in this series by showing the various elements of my Notion System.
Info on my online Notion course: https://www.yearzero.io/notion-course
➡ Template for the Flow Chart in this video is available in the Template Collection at the link below, you can duplicate it into your free Whimsical account and modify for your system.
Get my NOTION TEMPLATES and join the NEWSLETTER at:
https://www.mindandmachine.io/notion-templates
Timestamps ⌚
0:00 Intro
2:41 Why Flow Chart
3:54 Master Flow Chart of My Notion System
29:00 Outro
Link to Office Hours with Marie Poulin - Rebooting your life with Notion during setbacks or downtime:
https://youtu.be/TB-9GWmPlfQ
Related in this Video Series:
+ Task Database: https://youtu.be/ZlmGbujysS0
+ Daily "Action Zone" Dashboard: https://youtu.be/lK_Ysf0Ko9E
+ Overview of Notion Life Operating System: https://youtu.be/4-TYSah25UM
More from August Bradley:
- Twitter: https://twitter.com/augustbradley 
- Podcast: https://www.mindandmachine.io
- Coaching/Consulting: https://www.yearzero.io</t>
  </si>
  <si>
    <t>In this short video we aim to get you up and running with creating relationship-based surveys in Polinode quickly.</t>
  </si>
  <si>
    <t>Polinode is a tool for collecting information on relationships between people. For example, who works with whom? Who do people go to for advice? And any other question you like. With a powerful survey tool to collect the data and integrated visualization and analysis functionality to explore the network data, Polinode aims to help organizations and non-profits cut through complexity. Go to https://www.polinode.com to signup for free!</t>
  </si>
  <si>
    <t>In this short video we aim to help you get started with creating a network in Polinode quickly.</t>
  </si>
  <si>
    <t>In this tutorial we upload a network and walk through all of the interactive functionality that Polinode provides including metrics, layers, views and a lot more.</t>
  </si>
  <si>
    <t>This how-to video for the undergraduate Analyzing Social Media course at the University of Maine at Augusta walks you through three ways to uncover meaningful patterns in the content of Twitter posts through open source NodeXL software.  Method 1: the built-in "Top Ten" metrics function of NodeXL.  Method 2: generating semantic networks.  Method 3: generating hashtag networks.  Learn more about social media education at the University of Maine at Augusta through our Social Media Certificate page, http://www.uma.edu/uma-social-media-certificate.html on the web.</t>
  </si>
  <si>
    <t>In the late 1980s, Ed Laumann and his colleagues distinguished between realist and nominalist approaches to collecting data about social networks.  These two approaches differ in whose accounts are given authority in determining network boundary specification: that is, who qualifies as a  member of a network and who does not.  While one approach may be criticized as being too credulous about believing reports of network connections, the other approach tends towards elitism in prioritizing the accounts of academic theorists and discounting reports of lived experience.  This video is recorded by the University of Maine at Augusta Social Science program for social networks-related curricula.</t>
  </si>
  <si>
    <t>In this video recorded for the University of Maine at Augusta Social Science program, we talk about population pyramids.  What are population pyramids?  How can one read a population pyramid?  Where can examples of population pyramids be found?  These questions are addressed briefly here.
Population pyramids are a central visual representation of social structure in demography, the study of the number, distribution, and composition of people.  Demography offers perhaps the conceptually simplest vision of social structure, since it is fundamentally based in mere counts.  Empirically speaking, counting people turns out to be very difficult indeed.</t>
  </si>
  <si>
    <t>We load up a couple networks of Tor hidden services, clearnet sites, and IPs and analyze how they are connected. This is an example of how to do an exploratory network analysis using various statistics and filters in Gephi.
More info at http://automatingosint.com/blog</t>
  </si>
  <si>
    <t>Learn more advanced front-end and full-stack development at: https://www.fullstackacademy.com
Gephi is an open-source network analysis software package written in Java that allows us to visualize all kinds of graphs and networks. In this Gephi tutorial, we walk through how Network Analysis can be used to visually represent large data sets in a way that enables the viewer to get a lot of value from the data just by looking briefly at the graph.
Watch this video to learn:
- What Network Analysis involves
- How to use Gephi to visually represent and analyze data sets
- Different examples using Gephi</t>
  </si>
  <si>
    <t>Late on the afternoon of March 31, Maine Governor Janet Mills announced an executive order that requires Mainers, under threat of a criminal penalty of up to six months in jail and a $1,000 fine, to remain in their homes unless on business decreed "essential" under the definitions of that order?
Why is this executive order considered necessary at this time?  The goal of the order is to create a particular form social structure, one being called "social distancing."  The following video applies insights from social network analysis to understand how social distancing works.  How can varying social structure lead to changes in the spread of a virus during a pandemic?  By varying something as simple as the average degree of a network (the essence of social distancing), important outcomes relating to cut points and isolates in that network can be affected in a way that makes the difference between life and death.  Take a watch.</t>
  </si>
  <si>
    <t>A video for undergraduates in social media courses at the University of Maine at Augusta that walks through the NodeXL installation process.  To learn about the UMA social media certificate, visit http://www.uma.edu/uma-social-media-certificate.html on the web.</t>
  </si>
  <si>
    <t>This video, shot by the University of Maine at Augusta Social Science program, demonstrates how easy it is to perform the techniques for a basic sentiment analysis of a Reddit topic using the software program R and its RedditExtractor and SentimentAnalysis packages.  Associate Professor of Sociology James Cook shows how quickly one can capture current data and find evidence of sentiment.  The longer, harder part is up to you: getting to know the dictionaries that underlie sentiment analysis and getting to understand what they do and don't mean.</t>
  </si>
  <si>
    <t>This how-to exercise for COM/SOC 375 -- the undergraduate Social Networks at the University of Maine at Augusta -- proceeds step-by-step through the process of importing and visualizing Twitter and Facebook data using the Excel template NodeXL available free online at http://nodexl.codeplex.com . With software like this in constant development, the process is not without potholes; we consider some strategies for navigating around them.</t>
  </si>
  <si>
    <t>This walkthrough video about connecting the social network analysis software package NodeXL to the social media platform Twitter can afford to be brief because connecting the two is a very brief, relatively simple process. Follow along with me and you'll see how painless the process can be.</t>
  </si>
  <si>
    <t>The social network data sets you find online often aren't in the format you need for the analysis tool you are using. There generally aren't converters that will simply change one format to another. However, you can often do the conversion yourself with some creative cut &amp; paste and search &amp; replace. Here, I pick a file I've never seen before and walk you through how I analyze the format, convert it, and import it into Gephi.</t>
  </si>
  <si>
    <t>Using the library resources and free open source software, American University students can create rich detailed citation network analyses and better understand how their academic sources are related.
See gexf graph: http://dsliberty.github.io/gephi/index.html</t>
  </si>
  <si>
    <t>This is the first of 3 vlogs which demonstrates the process of creating  your social network in a Spreadsheet then uploading it into Gephi. It covers some of the obstacles you may meet and how to overcome them. The import here is a CSV file.</t>
  </si>
  <si>
    <t>How to move network and attribute data from Excel into UCINET. In this case, the network data was already in matrix form.
steve borgatti</t>
  </si>
  <si>
    <t>Shows how adjust appearance of network in NetDraw, and then save it so that next time you open it, it has all the same visual properties as when you left it.
steve borgatti</t>
  </si>
  <si>
    <t>[연재 #2] Ucinet 관계 확장 시각화 방법
유튜브에서 보기 : https://youtu.be/mqSVYmj3wjY
00:27 1. Ucinet 실행
00:32 2. 메모장에 관계 데이터 입력
02:35 3. 관계 데이터 저장 - 일반 TXT 파일로 저장
02:55 4. Ucinet에서 관계 초기 데이터 불러오기
03:06 4-1. DL editor로 관계 초기 데이터 불러오기
03:19 4-2. load a data file로 관계 초기 데이터 불러오기
03:54 4-3. Data format 을 Nodelist1 으로 설정 후 저장
04:44 4-3. Ucinet(+NetDarw)용 데이터 파일 (.##h .##d) 완성
05:08 5. NetDraw (시각화 도구) 실행
05:30 6. open UCINET network dataset 실행
06:26 7. 관계 데이터 시각화 완성
연재 안내
1월 24일 : #3 관계의 질 시각화 방법
유튜브에서 보기 : https://youtu.be/mqSVYmj3wjY
유튜브 구독하기 : https://goo.gl/u1fxsa</t>
  </si>
  <si>
    <t>Introduction to describing a node's local environment. Egonet composition.</t>
  </si>
  <si>
    <t>Using UCINET to calculate density by groups, homophily, cliques, n-cliques, and visualize data in NetDraw using attributes</t>
  </si>
  <si>
    <t>UCINET/NetDraw tutorial on visualizing a collaboration network with 504 nodes.</t>
  </si>
  <si>
    <t>Class 2 on testing network hypotheses with UCINET. From MGT 780 Spring 2016</t>
  </si>
  <si>
    <t>This tutorial goes from import through the whole analysis phase for a citation network. Data can be accessed at http://www.cs.umd.edu/~golbeck/INST633o/Viz.shtml</t>
  </si>
  <si>
    <t>Description
Gephi 是一款网络分析领域的数据可视化处理软件，开发者对它寄予的希望是：成为 “数据可视化领域的Photoshop” 。
为推动 Gephi 在中文领域的发展，分享实验室  以MOOC模式在  udemy.com  推出了Gephi中文视频教程。Gephi中文教程介绍了Gephi是什么样的软件，提供什么样的功能，各项主要功能的操作方式等等。 
Gephi中文教程采用  CC BY-NC 3.0  版权的协议发布。
关于此 Gephi 中文教程如果您有任何问题或建议，可以通过电子邮件（ digitip#gmail.com ）与讲者取得联系，也可以在一些社交网络比如推特微博等查找 @ooof 获取他的更多消息。</t>
  </si>
  <si>
    <t>A quick tutorial on how to use filters in Gephi.</t>
  </si>
  <si>
    <t>Quick video to show how you can use Gephi (a free graph visualisation tool) to quickly visualise communities in a network and use some of the features in Gephi like modularity, node ranking, layout (Force Atlas 2) and filtering to analyse the network to detect communities, influencers and information brokers</t>
  </si>
  <si>
    <t>An introduction to information visualization, specifically network visualization techniques.
Table of Contents:
00:10 - Information Visualization
01:06 - Challenger
02:56 - 
04:44 - 
05:37 - 
05:49 - 
06:08 - Main Idea
06:34 - Information Visualization
07:45 - Key Attributes
09:07 - Tasks in Info Vis
09:45 - Tasks in Info Vis
10:07 - How Vis Amplifies Cognition
12:50 - Network Visualization 
13:15 - What is interesting about this network?
21:49 - What makes a good visualization?
23:15 - Is this a good visualization?
23:56 - What about this one?
24:56 - And this one?
25:29 - And finally, this one?
26:06 - Node Size and Color
28:33 - Node Size and Color
29:40 - Edge Weight
30:04 - Visualization Issues
31:05 - Example: Senate Voting Records
31:48 - Filtering
32:38 - Example: Senate Voting Records
32:43 - Filtering
32:46 - Examples
32:51 - Visualization Tools
34:19 - In Class Exercise</t>
  </si>
  <si>
    <t>Apresento o que é e algumas funcionalidades do NODEXL. Video introdutório para quem nunca viu o programa.</t>
  </si>
  <si>
    <t>Aprenda a importar os Microdados no SPSS</t>
  </si>
  <si>
    <t>Nesta video aula faço uma introdução à análise de dados qualitativos usando o software QDA Minner. Mais de 80% da informação que circula nos "Big Data" são não estruturadas, ou seja, em formato texto. Dai a importância de programas que ajudem a classificar e analisar as informações corretamente, de forma semi-automatizada. A boa classificação é a chave para a análise correta. Mas estamos falando de centenas de milhares de documentos, o que torna inviável a classificação individual. Os programas tipo QDA (qualitative data análisys) auxiliam na tarefa</t>
  </si>
  <si>
    <t>Original Data set : http://www.sociopatterns.org/datasets/hospital-ward-dynamic-contact-network/
Download nodes.csv and edges.csv : https://youngjoon5.github.io/tips.html
Vanhems et al., 2013, Estimating Potential Infection Transmission Routes in Hospital Wards Using Wearable Proximity Sensors</t>
  </si>
  <si>
    <t>Gephi is a visualization and exploration software for graphs and networks. Think Photoshop, but for graph data. This session will provide an overview of the software, its features, and resources for further study. Gephi is open-source, free to download, and runs on Windows, Mac OS X, and Linux.
The handout for this workshop is available at: http://uknowledge.uky.edu/rdsc_workshops/2017/Spring/7/</t>
  </si>
  <si>
    <t>A quick tutorial on how to use gephi's modularity feature to detect communities and color code them in graphs.</t>
  </si>
  <si>
    <t>An introduction to social network analysis and network structure measures, like density and centrality.
Table of Contents:
00:00 - Network Structure
00:12 - Degree Distribution
02:42 - Degree Distribution
06:17 - Density
10:31 - Clustering Coefficient
11:24 - Which Node is Most Important?
12:10 - Which Node is Most Important?
13:27 - Closeness Centrality
15:01 - Closeness Centrality
16:17 - Closeness Centrality
16:36 - Degree Centrality
17:33 - Betweenness Centrality
17:53 - Betweenness Centrality
20:55 - Eigenvector Centrality
23:02 - Connectivity and Cohesion
24:24 - Small Worlds
26:28 - Random Graphs and Small Worlds</t>
  </si>
  <si>
    <t>You need to prepare data to be processed by Gephi.
.
Note that, data prepared in the video "Bibliometric (8): Preparing a Network File using BibExcel" is used for analysis in this video. See https://youtu.be/_LHbZzgxjH8
#Gephi #NetworkAnalysis #CitationNetwork #Clustering #WebofScience
.
Video datasets/codes: https://researchhub.org/data-codes/
.
Basic concepts in literature reviews:
https://youtu.be/wBux-te-uxE 
.
How to extract bibliography data?
Web of Science: https://youtu.be/wRGaMCY8hY4?t=1 
Scopus: https://youtu.be/RwvII8VGe-Y 
.
Published Bibliometric Analysis Studies by RHUB members:
(1) https://www.sciencedirect.com/science/article/pii/S0921344918302969 
(2) https://link.springer.com/article/10.1007/s10490-018-9597-5 
(3) https://www.tandfonline.com/doi/abs/10.1080/00208825.2018.1443737 
(4) https://www.tandfonline.com/doi/full/10.1080/1540496X.2018.1433658
.
Join the ResearchHUB Community:
FB Page: https://www.facebook.com/research.hub.org/
FB Group: https://www.facebook.com/groups/research.hub.org/
Instagram: https://www.instagram.com/research.hub/ 
Website: https://researchhub.org/  
.
Follow the RHUB Founder:
ResearchGate: https://www.researchgate.net/profile/Ziaul_Munim 
LinkedIn: https://www.linkedin.com/in/ziaulmunim/ 
Twitter: https://twitter.com/zhmunim 
Website: https://www.ziaulmunim.com</t>
  </si>
  <si>
    <t>Video de manejo básico de la herramienta de análisis y visualización de redes sociales Gephi (https://gephi.org/). Este video indica cómo cargar un archivo de datos de red y muestra las tres vistas principales de la herramienta: vista general, laboratorio de datos y previsualización. También muestra cómo el cálculo de datos desde el panel "estadísticas" habilita funciones en otras partes de la herramienta que antes de ello no estaban disponibles.
El dataset utilizado es el que publica Freeman en su página y que proviene de un estudio de Coleman sobre amistad entre chicos de una escuela secundaria (FRIENDSHIPS AMONG HIGH SCHOOL BOYS  http://moreno.ss.uci.edu/data.html#high)</t>
  </si>
  <si>
    <t>This is an update of the original Gephi Quick Start Tutorial using the Les Miserables network. This is for Gephi 0.9. Slides to match this tutorial are at https://www.slideshare.net/golbeck/updated-gephi-quick-start-tutorial-for-v-09
Background: The original Gephi Quick Start Tutorial can be found at https://gephi.org/users/quick-start/
Things have moved or changed since it was made, so this tutorial uses their examples and slides but adds updates so you can find these features in version 0.9
I tried to use their originals as much as possible to preserve consistency. All credit for those slides goes to the Gephi creators.</t>
  </si>
  <si>
    <t>This walkthrough video demonstrates one variety of user-friendly social media data mining -- how to uncover meaning in Twitter search networks using the software package NodeXL Pro.  Three applications: NodeXL's ready-made Top Ten function, working with word pairs in the text of Tweets to generate semantic networks, and characterizing hashtag overlaps for a more concentrated account of meaning in network form.  I work with the example of the hashtag #Paris. Created for the undergraduate social network analysis course at the University of Maine at Augusta.</t>
  </si>
  <si>
    <t>For Assignment #2 in Fall 2012 undergraduate Social Networks at the University of Maine at Augusta, how do we think of parent/child and spouse/partner relations as a set of edges and vertices in an edge list or a sociogram?  How do we realize these in NodeXL?</t>
  </si>
  <si>
    <t>Online surveys and other methods that generate unrepresentative samples may be convenient for the early researcher, but they generate results that don't tell us much.  Fortunately, there are other options out there.  In this video, we consider one of them: examining the entirety of content and interaction in an online Reddit community.  Using R, R Studio, and an R package called RedditExtractoR, it's possible to collect complete data for analysis without much trouble.  Here's how.</t>
  </si>
  <si>
    <t>https://infranodus.com
In this webinar that took place on the 3rd of April 2020 I am demonstrating some new features of InfraNodus: how to do sentiment analysis of Twitter and news (RSS feeds), how to turn on the live update feature, and how to compare different graphs together. I also answer the questions of the participants.
0:48 Sentiment analysis using Twitter app in InfraNodus
2:25 How to find the relevant Tweets and topics inside a Twitter discourse
3:53 ✳️NEW! Emergent topics feature — what people are starting to talk about
4:55 How to cluster the topics
6:06 How InfraNodus works (technical graph theory background)
9:38 Why Facebook import is not possible (and a hack you can do)
10:56 Network structure score — how diverse your discourse is
11:54 ❓Q&amp;A: How is influence calculated in text network analysis
16:08 ✳️NEW! Social network analysis of Twitter posts
18:10 ❓Q&amp;A: How to only process hashtags in Tweets (and to omit words)
21:30 NEW! Topic analysis and hidden topics analysis using InfraNodus
23:06 ❓Q&amp;A: Bimodal networks: separate graphs of tweets (text) and users (SNA)
25:11 ❓✳️ NEW! Q&amp;A Live updates of Twitter data — automatic renewing of imported data
29:45 Sharing your graphs: public URLs and IFRAME embed codes for your websites
34:02 ❓Q&amp;A: Which algorithm is used to extract topics?
36:04 ❓Q&amp;A: Which community detection algorithm is used for topic modeling?
38:00 ❓Q&amp;A: How many Twitter posts to use for analysis?
40:25 ❓Q&amp;A: How are emergent topics calculated?
40:53 ❓❇️Q&amp;A ADVANCED FEATURE: How to calculate a measure for every node — using Javascript console
42:10 ❓Q&amp;A: How to reorder the graph based on degree or other centrality measures.
43:17 ✳️NEW! How to analyze the news discourse or any RSS feed and to interpret it
45:00 ✳️NEW! How to compare the graphs: news discourse (RSS) versus Twitter analysis
46:51 ❇️ADVANCED: Insight feature — what's missing in this discourse comparing to another
59:35 ❇️ADVANCED: Under the hood — how to see the hidden data about the graph
1:03:10 ❓Q&amp;A: How to find InfraNodus tutorials and webinars on YouTube 
1:04:12 ❓Q&amp;A: How to analyze the posts from several Twitter accounts 
1:07:50 ❇️ADVANCED: How to find what discourse is missing using the graph comparison of Google search results vs the discourse on social networks (Twitter)
1:12:00❓❇️Q&amp;A:  How to join the next webinar?</t>
  </si>
  <si>
    <t>This brief video assumes that you have already installed the social network analysis plugin NodeXL (if you haven't, see http://www.youtube.com/watch?v=1yCjhTuLA1o online) and are interested in entering edge lists and making some elementary visualization choices.  The video is intended for an introductory undergraduate audience, but should also be useful for the generalist who wants to get started in visualizing social networks but who doesn't have a deep methodological grounding.</t>
  </si>
  <si>
    <t>In you social media ROI strategy identifying your influencers is critical. In this video I show you how to use NodeXL to find out the Twitter users that lead the conversation about SkillFeed, a training platform.
https://www.skillfeed.com/courses/1811-crash-course-on-social-media-roi</t>
  </si>
  <si>
    <t>In the live demo you will learn how to visualizing social network data using NodeXL. NodeXL is an open source addon to Excel great to download social network data from Twitter, Facebook or flicker. In this example I am using twitter #Hashtag to collect social network data. 
NodeXL: http://nodexl.codeplex.com/
My Blog: http://cloudcelebrity.wordpress.com/</t>
  </si>
  <si>
    <t>In this how-to video for the undergraduate social networks course at the University of Maine at Augusta, we work through installing, entering edge lists, and visualizing tie strength with NodeXL, an Excel template available from the Social Media Research Foundation at http://nodexl.codeplex.com on the web.</t>
  </si>
  <si>
    <t>A Tutorial on various methods to import data into NodeXL.
Made as project work for the course " IT in Business Management" 
at VGSOM, IIT Kharagpu .
By Mayank and Anuradha - Team Dark Horses</t>
  </si>
  <si>
    <t>This is part three of a three-part introduction to NodeXL and its use for network analysis and visualization. Part three covers the use of analyses to support more sophisticated visualization.</t>
  </si>
  <si>
    <t>TXT (투모로우바이투게더) '5시 53분의 하늘에서 발견한 너와 나' Official Teaser - 연준 (YEONJUN)
Director : Guzza (Lumpens)
Assistant Director : Hyunhee Lim, Kookki Kim
Director of Photography : Eumko
Focus Puller: Sangwoo Yun, Jaewon Jung 
2nd :  Youngwoo Lee
DIT :  Eunil Lee
3rd : Yuntae Ko
Gaffer : Junghyeok Jeong 
Lighting Crew. : Junmin Yang ,Seungho Baek , Hyeonseok  Kim , Duhyeon Han , Junseok Oh , Minseong Choi , Dowon Ahn, Gukjin Jeong 
Jimmy Jib Operator: Youngjung Kim
Jimmy Jib Assistant : Hyunin Kim , Sung Hoon Kim
Technocrane Operator: Taehyeon Choi 
Art Director: Jinsil Park, Bona Kim (MU:E)
Assistant Art team: Yeri Kang (MU:E)
Art-team Manager: ilho Heo (MU:E)
Associate Producer : Emma Sungeun Kim (ge production)
Location Manager : Jihoon Han
Assitant Producer : Eunah- Seo 
VFX STUDIO: PLASTIC BEACH
VFX Supervisor: Ohzeon
VFX Assistant Supervisor: Jojeem
VFX Project Manager: Chanyoung Song, Jieun Jeong
VFX Producer: Kyutae Jang
3D Artist: Kwangwon Lee, Doyeon Kim, Jeonghwa Lee, Jiwon Jeon
2D Artist: Gihoon Jang, Hyunjun Lee
Visual Creative : Nu Kim, Lee Hyun Ju, Kang Sung Do, Cha Yeon Hwa, Rakta
Artist Management: Kim Shin Gyu, Yang Jun Hyeong, Kim Ji Soo, Shin Seung Chan
BigHit Entertainment. Rights are reserved selectively in the video.
Unauthorized reproduction is a violation of applicable laws. 
Manufactured by BigHit Entertainment, Seoul, Korea
Connect with TOMORROW X TOGETHER:
https://twitter.com/TXT_bighit
https://www.facebook.com/TXT.bighit
https://www.youtube.com/txt_bighit
https://www.instagram.com/txt_bighit
https://www.weibo.com/TXTbighit
http://i.youku.com/txtbighit
#5시_53분의_하늘에서_발견한_너와_나 #BlueHour #minisode1 #TXT #투모로우바이투게더</t>
  </si>
  <si>
    <t>Finally - here’s a sneak peek at the PlayStation 5’s user experience! Watch our new video walkthrough to see new features designed to make your gaming experiences more fun, engaging, personalized and social on the PS5 console.
Note: This walkthrough is set in a pre-production environment, so there may be some minor changes once the PS5 console launches in November.</t>
  </si>
  <si>
    <t>En este video tutorial aprenderás, Como crear grupos en zoom o crear salas para grupos pequeños. Si eres profesor o anfitrión puedes usar zoom para dar clases virtuales y  dividir grupos en zoom, así podrás trabajar en grupo haciendo Videoconferencia  con tus participantes o estudiantes. #ClasesVirtuales #DividirGruposZoom #Videoconferencia
Video que te servirán, Como usar zoom para dar clases virtuales: https://www.youtube.com/watch?v=ddCLwU7hzAo
MI CANAL SUSCRIBIRSE GRATIS: 
► https://www.youtube.com/c/TutorialesMultiples?sub_confirmation=1
Mi Blog de Tutoriales:
► http://tutorialesblogs2021.blogspot.com/
Sígueme en Facebook:
► https://www.facebook.com/TutorialesMultiplesAlejandro</t>
  </si>
  <si>
    <t>This is part two of a three-part introduction to NodeXL and its use for network analysis and visualization. Part two covers data imports and analysis.</t>
  </si>
  <si>
    <t>Alunos do Programa de Pós Graduação em Engenharia de Produção e Sistema apresentam um tutorial sobre o software NVivo.</t>
  </si>
  <si>
    <t>This video shows you hope to create a "Group in a box" output in NodeXL. I also demonstrate how to identify influencers and how to create sub-graphs.</t>
  </si>
  <si>
    <t>This video explains the basic formatting requirements for Gephi. At the end of the series you will know how to change the colours of the nodes and edges or create views in relation to the different criteria of the Social Network Analysis.
It is part four of four.</t>
  </si>
  <si>
    <t>This is the third of 3 vlogs which demonstrates the process of creating  your social network in a Spreadsheet then uploading it into Gephi. It covers some of the obstacles you may meet and how to overcome them. Here we look at self loops and an overview of the graph.</t>
  </si>
  <si>
    <t>This video explains the basic formatting requirements for Gephi. At the end of the series you will know how to change the colours of the nodes and edges or create views in relation to the different criteria of the Social Network Analysis.
It is part one of four.</t>
  </si>
  <si>
    <t>This is a short video to demonstrate how you calculate the degree statistics in Gephi.</t>
  </si>
  <si>
    <t>Learn to make social media network maps in just a few clicks in this short How-To guide to using NodeXL Pro Automation features. Get professional insights into networks like hashtags and other connected structures using the free "data recipes" we provide.</t>
  </si>
  <si>
    <t>This video, produced for the Undergraduate Social Network Analysis course at the University of Maine at Augusta, shows how simple and quick installing NodeXL software can be.  Within minutes, you can be entering network information and playing with network visualization.
Update: it's been more than three years since this video was shot, and in the meantime the link to download and install NodeXL has changed to https://www.smrfoundation.org/nodexl/installation/ .</t>
  </si>
  <si>
    <t>This video, created for the undergraduate social networks course at the University of Maine at Augusta ( http://uma.edu ), uses the example of the Maine Politics hashtag #mepolitics to demonstrate methods for searching, extracting and visualizing twitter relations as social networks using free and open-source NodeXL software ( http://nodexl.codeplex.com ).</t>
  </si>
  <si>
    <t>This brief video for the University of Maine at Augusta Analyzing Social Media course walks through a session of entering edge lists and using some elementary visualization techniques with the software package NodeXL, available for free at http://nodexl.codeplex.com .  University of Maine at Augusta is on the web at http://uma.edu .</t>
  </si>
  <si>
    <t>This is part one of a three-part introduction to NodeXL and its use for network analysis and visualization. Part one covers the visualization of a sample workbook.</t>
  </si>
  <si>
    <t>An introduction to the Network Overview Discovery and Exploration add-in for Excel 2007/2010.  NodeXL allows users to create network diagrams as easily as they can generate pie charts in a spreadsheet.  Social media networks from Twitter, email, YouTube, flickr, WWW, wikis, and Facebook are all available through NodeXL. Network metrics and visualizations are easy to generate with no programming skills required.  This video illustrates the use of NodeXL by mapping the connections among people who tweet the term "NodeXL".</t>
  </si>
  <si>
    <t>This is a simple overview of how to perform thematic / content analysis using the new (2019) NVivo 12 software.</t>
  </si>
  <si>
    <t>This is the second of four videos focusing on Eigenvector Centrality and Pagerank. It is based on Gephi and its use in analysing social networks. This video identifies influencers on Twitter using pagerank analysis.</t>
  </si>
  <si>
    <t>NULL</t>
  </si>
  <si>
    <t>Team presentation on the software tool NodeXL. For grade completion in class STCM 5473 Social Media Measurement at Arkansas State University.</t>
  </si>
  <si>
    <t>#ASA15 is in progress, so let's have a look at the social media network that is emerging from the thousands of people, tweets, replies, and mentions coming from Chicago.</t>
  </si>
  <si>
    <t>A tutorial on setting up and running Gephi's Twitter Streaming Importer</t>
  </si>
  <si>
    <t>This video is a very basic introduction to the use of R in conjunction with the package igraph to take a social network, describe it in the form of an edge list, and generate an image of a network graph. This is intended to be a beginner's video for those entering into the use of R and igraph for the first time, not an encyclopedic reference.  Produced for the social science program at the University of Maine at Augusta.</t>
  </si>
  <si>
    <t>"Speakers: Sarah Guido, Celia La
Twitter's network is fascinating because of its connectivity: there are hashtags, followers, retweets, and replies. Using the network analysis tool NetworkX, we'll look at how to make sense of these channels. We'll cover the basics of network theory, including types of networks and how measure influence, and we'll apply those measures to our investigation of Twitter's network.
Slides can be found at: https://speakerdeck.com/pycon2015 and https://github.com/PyCon/2015-slides"</t>
  </si>
  <si>
    <t>- The Development of Social Network Analysis
- Social (media) Network Analysis
- Tutorial NodeXL (Basic Twitter &amp; Manual)</t>
  </si>
  <si>
    <t>Some tips for editing from @mihkal</t>
  </si>
  <si>
    <t>This vlog looks at the fundamentals of Gephi, giving viewers an introduction to social network analysis (SNA) and Gephi.</t>
  </si>
  <si>
    <t>eResearch Textanalyse Geisteswissenschaft Tipps fürs Studium Digital Humanities (Field of Research Forschung DH Text Mining Howto Screencast Tools einfach erklärt lernen Literaturwissenschaft Tutorial Studium Hacks wissenschaftliches Arbeiten studenten tipps Netzwerkanalyse Tutorial auf Deutsch Netzwerkanalyse Netzwerkvisualisierung digitale Lehre digital unterrichten Lehrvideo</t>
  </si>
  <si>
    <t>dalmooc moocs data analytics learning analytics social network analysis</t>
  </si>
  <si>
    <t>Screencast-O-Matic.com nodexl ine venezuela redes grafos</t>
  </si>
  <si>
    <t>R-project limpieza de datos</t>
  </si>
  <si>
    <t>3510 6510</t>
  </si>
  <si>
    <t>Arc GIS Geography Network Analyst Tutorial Route</t>
  </si>
  <si>
    <t>Closest Facilities Network Analysis ArcGIS Network</t>
  </si>
  <si>
    <t>NCCU GIS Network Analyst Networking GIS Processing</t>
  </si>
  <si>
    <t>Esri ArcGIS GIS Esri Events Performing Analysis ArcGIS Network Analyst transportation related problems model road networks site selection analysis ArcGIS Pro ArcGIS Online analytic capabilities Patrick Stevens Max Zeng Esri UC Esri UC 2017 Esri UC Tech Sessions Esri UC 2017 Tech Sessions</t>
  </si>
  <si>
    <t>North Carolina Central DEEGS GIS Network Analyst New Route Traveling Salesman Traveling Salesman Problem Traveling Salesmen TSP</t>
  </si>
  <si>
    <t>Location-Allocation Network Analysis Network Analyst ArcGIS Network ArcMap Network</t>
  </si>
  <si>
    <t>anuj anuj tiwari dr kamal jain iit roorkee roorkee gis remote sensing arcgis esri network network analysis shortest best distance shortest distance route routing dijkstra algorithm proximity</t>
  </si>
  <si>
    <t>Esri ArcGIS GIS Esri Events Geographic Information System Technical Workshop UC Network Analyst Performing Analysis Datasets</t>
  </si>
  <si>
    <t>Service Network ArcGIS Network Network Analyst Extension Service Area Arcmap ArcGIS GIS Customers</t>
  </si>
  <si>
    <t>Graph Drawing Gephi (Software) Social Network Analysis Tutorial (Media Genre) Science (Journal) Analysis Of Algorithms (Field Of Study) Data Visualization (Industry) Data science Mathematics (Field Of Study) Media Studies (Field Of Study) Algorithm (Literature Subject) Social Network (Industry)</t>
  </si>
  <si>
    <t>gephi network visualization social network analysis</t>
  </si>
  <si>
    <t>Gephi Visualisation Network graph datascience machinelearning lecture tutorial data science machine learning data mining</t>
  </si>
  <si>
    <t>data analysis Instagram co-hashtag digital methods gephi research Twitter network analysis</t>
  </si>
  <si>
    <t>criminalidade redes midias sociais network nodeXL</t>
  </si>
  <si>
    <t>análise de séries temporais ARIMA SPSS estatísticas criminais</t>
  </si>
  <si>
    <t>gephi graph analysis Graph Theory (Field Of Study) graph databases graph metrics betweeness centrality grafo análise de grafos bancos de dados de grafos métricas de grafo</t>
  </si>
  <si>
    <t>visualização facebook data visualiation redes</t>
  </si>
  <si>
    <t>ARIMA séries temporais analise criminal</t>
  </si>
  <si>
    <t>gerenciamento de redes sociais gestão de redes sociais gerenciador de redes sociais plataforma de gerenciamento de redes sociais agendamento de posts agendar posts no instagram como fazer gestão de redes sociais mlabs ferramenta mlabs darlan77</t>
  </si>
  <si>
    <t>gephi análise de redes redes sociais análise de redes sociais ciência de dados redes</t>
  </si>
  <si>
    <t>análise de rede análise de dados quantitativos grafos gephi</t>
  </si>
  <si>
    <t>영남대 대구한의대 박한우 네트워크분석 빅데이터 텍스트분석 노드엑셀 nodexl 교수법 교수</t>
  </si>
  <si>
    <t>netminer network analysis social media social network 키워드 네트워크 분석 연구동향분석 연구트렌드 선행연구분석 레퍼런스분석 공저네트워크 공동연구네트워크 공출현 네트워크 co-occurrence network 텍스트 네트워크 네트워크 텍스트 단어 네트워크 토픽모델링 LDA 논문수집 논문정보수집 서지수집 서지분석 문헌정보분석 저자등록키워드분석 RISS분석</t>
  </si>
  <si>
    <t>빅데이터분석 데이터분석 네이버 다음 구글</t>
  </si>
  <si>
    <t>선행연구 이론적배경 연구설계 연구방법 논문쓰기 논문작성 학위논문 학회논문 청소년소논문 논문컨설팅 논문통계 통계분석</t>
  </si>
  <si>
    <t>정몽구재단</t>
  </si>
  <si>
    <t>KFAS 한국고등교육재단 이재열 서울대학교 드림렉쳐 Dream Lecture 더 넓은 세상으로! 멘토링 Mentoring 네트워크사회와 사회혁신 네트워크 사회 사회혁신 청소년 대상 지식 강연 초연결시대</t>
  </si>
  <si>
    <t>논문 석사논문 논문주제 논문주제정하기 논문키워드 리뷰논문 연구동향 논문자료조사 논문조사 논문쓰기 논문작성법 논문작성방법 박사논문 학위논문 대학원논문 논문잘쓰는법</t>
  </si>
  <si>
    <t>SNA 사회관계망 네트워크수준 업무네트워크 UCInet ERD</t>
  </si>
  <si>
    <t>Microsoft Excel (Software) social network analysis social networks University Of Maine At Augusta (College/University) mmult Matrix Multiplication (Literature Subject) Fortune 500 affiliation matices</t>
  </si>
  <si>
    <t>ucinet attributes Steve Borgatti</t>
  </si>
  <si>
    <t>social network analysis undergraduate University Of Maine At Augusta (College/University) university affiliation matrix 2-mode matrix matrices networks</t>
  </si>
  <si>
    <t>uma university social networks qap regression com/soc 375 data matrices variables ucinet</t>
  </si>
  <si>
    <t>2-mode bipartite social networks social network analysis r project script affiliation matrix transformation csv import how-to university of maine at augusta</t>
  </si>
  <si>
    <t>Big Think BigThink BigThink.com Education Educational Lifelong Learning EDU Sociology Medicine Floating University Harvard Medical Network Social Suicide sociology sociology documentary social science nicholas christakis social networks social media documentary social network analysis sociology lecture social network social influence social networking nicholas christakis yale nicholas christakis blueprint nicholas christakis big think</t>
  </si>
  <si>
    <t>TEDxTalks English United States Life Social Media</t>
  </si>
  <si>
    <t>Provf Talks Providence University College</t>
  </si>
  <si>
    <t>We Are Humanity ted talks tedx tedx talk Brazil tedx talks ted Porto Alegre TEDxLacador TEDxLaçador ted x Brasil Sam Richards (Person) ted talk Sociology (Literary School Or Movement) English 2014 Somos Humanidade TEDx Rio Grande do Sul</t>
  </si>
  <si>
    <t>TEDxTalks English Social Science Culture Education Emotions Empathy Family Global issues Policy Psychology Relationships Research Travel</t>
  </si>
  <si>
    <t>Big Think BigThink BigThink.com Education Educational Lifelong Learning EDU Floating University Classics Literarure Plato Yale Harvard Bard Republic Canon Reading Greek Roman Philosophy Great Books Books Knowledge classical education quadrivium the classics classic literature jeffrey brenzel reading classics floating university trivium education jeffrey brenzel big think jeffrey brenzel yale jeffrey brenzel the essential value of a classical education</t>
  </si>
  <si>
    <t>Stephen Pinker Educational Floating University Psychology Language Chomsky Linguistices Big Think School Lifelong Learning Cognitive Science BigThink Lessons BigThink.com Linguistics (Field Of Study) Education EDU Brain Teacher AI Student Lesson steven pinker lecture steven pinker big think steven pinker language steven pinker audiobook steven pinker interview Linguistics as a Window to Understanding the Brain steven pinker linguistics</t>
  </si>
  <si>
    <t>Nicholas Christakis TEDTalks TED talks social networks Connected happiness obesity contagious epidemiology friends family</t>
  </si>
  <si>
    <t>Big Think BigThink BigThink.com Education Educational Lifelong Learning EDU Floating University Tamar Gendler Yale Philosophy Cognitive Science Thomas Hobbes Hobbes John Rawls Robert Nozick Veil of Ignorance Voting Election Fairness Justice Wealth Happiness Politics Ideology Democrat Republican Taxes Entitlement Democracy Socialism Economics Class Poverty Poor Rich philosophy political philosophy economics philosophy politics and economics politics tamar gendler</t>
  </si>
  <si>
    <t>SNA Network Content Text Sentiment Analysis Social Media</t>
  </si>
  <si>
    <t>HCA webinar GE 25 May 2012</t>
  </si>
  <si>
    <t>EFA Factor Analysis AMOS Statistics Measurement</t>
  </si>
  <si>
    <t>content analysis content analysis research method content analysis qualitative research conceptual analysis relational analysis quantitative content analysis qualitative content analysis use of content analysis development of content analysis definition of content analysis procedure of doing content analysis</t>
  </si>
  <si>
    <t>ego networks social networks egocentric networks</t>
  </si>
  <si>
    <t>social and economic networks social networks economic networks ERGM</t>
  </si>
  <si>
    <t>Network Analysis Network Terminology Nodes Junctions Branches Loops Punagin</t>
  </si>
  <si>
    <t>ssri social duke health workshop</t>
  </si>
  <si>
    <t>Nicholas Christakis TEDTalks TED talks social networks epidemics disease H1N1</t>
  </si>
  <si>
    <t>social network analysis SNA network analysis data quantitative surveys network data analysis density reciprocity nodes degree centrality betweenness centrality UCINET NetDraw SNA software</t>
  </si>
  <si>
    <t>ssri duke network workshop analysis</t>
  </si>
  <si>
    <t>homophily ego networks social networks</t>
  </si>
  <si>
    <t>learn network analysis learn network analysis for free learn machine learning learn machine learning for free network analysis tutorial network analysis free tutorial what is modularity?. machine learning free tutorial machine learning tutorial clustering analysis tutorial supervised learning unsupervised learning data analysis excel yt:cc=on analysis de redes 네트워크 분석 모듈성</t>
  </si>
  <si>
    <t>learn k-means learn k-means clustering for free learn machine learning learn machine learning for free machine learning free tutorial machine learning tutorial unsupervised learning statistical learning data science tutorial clustering analysis learn clustering analysis for free free tutorial clustering analysis free lesson clustering analysis data analysis excel yt:cc=on analysis de agrupamiento 군집분석 k-means clustering</t>
  </si>
  <si>
    <t>Elder Research Egonet LeAnna Kent Insurance Fraud MLconf</t>
  </si>
  <si>
    <t>learn principal component analysis learn principal component analysis for free learn machine learning learn machine learning for free machine learning free tutorial machine learning tutorial principal component analysis basics principal component analysis tutorial principal component analysis free tutorial PCA tutorial PCA free tutorial supervised learning unsupervised learning data science tutorial data analysis excel yt:cc=on componentes principales 주성분 분석</t>
  </si>
  <si>
    <t>data science Social networks social network analysis turing the alan turing institute bernie hogan oxfod internet institute social science</t>
  </si>
  <si>
    <t>arc plot Circos plot Matrix Plot network visualization python network analysis datacamp datacamp network analysis network analysis visualization data science datacamp python data science python data science tutorial nxviz</t>
  </si>
  <si>
    <t>learn data preprocessing learn data preprocessing for free learn data pre-processing learn data pre-processing for free learn machine learning learn machine learning for free machine learning free tutorial machine learning tutorial logistic regression tutorial linear regression tutorial classification tutorial supervised learning unsupervised learning data analysis excel data pre-processing data preprocessing yt:cc=on pre-procesamiento de datos 데이터 전처리</t>
  </si>
  <si>
    <t>gephi visualization data journalism Data Visualization (Industry) network Social Network (Method Of Infectious Software Transmission)</t>
  </si>
  <si>
    <t>Gephi Social Media Marketing Social Network Analyse Software Tutorial Facebook Netzwerkanalyse christian-mehler.de christian mehler</t>
  </si>
  <si>
    <t>digital methods facebook data analysis netvizz gephi social media digital sociology</t>
  </si>
  <si>
    <t>NodeXL SNA social media networks</t>
  </si>
  <si>
    <t>gate 2021 ese 2021 unacademy live classes gate preparation gate and ese preparation gate and ese 2021 gate 2021 preparation strategy ese 2021 preparation strategy mechanical engineering gate 2021 exam industrial engineering nptel industrial engineering for gate linear programming best books for gate civil engineering gate exam mechanical engineering gaurav babu gaurav babu unacademy linear programming problem graphical method simplex method ese exam gate</t>
  </si>
  <si>
    <t>GDG WTM GOOGLE DEVELOPERS DEVFEST DEVFESTINDIA DEVFEST 2020 DEVFEST 20 ONLINE EVENT GDG EVENT GOOGLE EVENTS</t>
  </si>
  <si>
    <t>Polinode Network Analysis Data Surveys</t>
  </si>
  <si>
    <t>flow chart whimsical notion notion app notion productivity how to notion how to notion productivity app notion pro database notion database notion table notion pages task tasks task database project project database productivity personal productivity daily tracking notion linked efficiency business efficiency small business systems systems august bradley Evernote Marie Poulin miro</t>
  </si>
  <si>
    <t>network analysis Startup Company (Website Category) organizational Network Analysis human resources change management Software As A Service (Industry) Data Visualization (Industry)</t>
  </si>
  <si>
    <t>Polinode Network Analysis Data Visualization</t>
  </si>
  <si>
    <t>Hashtag (Invention) social media nodexl How-to (Media Genre) walkthrough content analysis sociology University Of Maine At Augusta (Organization) social networks edge lists semantic network</t>
  </si>
  <si>
    <t>social networks network analysis university of maine at augusta maine college epistemology knowledge sociology realism nominalism data collection assumptions boundary specification</t>
  </si>
  <si>
    <t>demography social structure college undergraduate soc 101 introduction to sociology population pyramid</t>
  </si>
  <si>
    <t>gephi tor dark web network analysis</t>
  </si>
  <si>
    <t>network analysis network analysis tutorial gephi gephi tutorial gephi examples how to use gephi</t>
  </si>
  <si>
    <t>social networks social network analysis coronavirus pandemic degree isolates cut points articulation points sociology social distancing social structural university of maine at augusta</t>
  </si>
  <si>
    <t>nodexl installation walkthrough</t>
  </si>
  <si>
    <t>facebook twitter nodexl com/soc 375 university maine social networks how to import troubleshooting social media</t>
  </si>
  <si>
    <t>NodeXL twitter social media data mining how-to</t>
  </si>
  <si>
    <t>gephi social network analysis adjacency list adjacency matrix pajek conversion</t>
  </si>
  <si>
    <t>bibliometrics gephi Data Visualization (Industry) academic research American University (College/University) Scopus (Publisher) Analytics (Industry) Citation (Literature Subject) Citation Network Data (Website Category) Web Design (Interest) JavaScript (Programming Language)</t>
  </si>
  <si>
    <t>gephi social network analysis sna</t>
  </si>
  <si>
    <t>Gephi Uploading Data Social Network Analysis Intorduction</t>
  </si>
  <si>
    <t>steve borgatti ucinet data import analytic technologies social network analysis sna</t>
  </si>
  <si>
    <t>ucinet netdraw sna visualization borgatti vna steve borgatti</t>
  </si>
  <si>
    <t>사회사업 사회복지 복지</t>
  </si>
  <si>
    <t>MGT 780 UCINET social network analysis steve borgatti</t>
  </si>
  <si>
    <t>sna Ucinet homphily</t>
  </si>
  <si>
    <t>Visualization (Website Category) ucinet netdraw Steve Borgatti social network analysis</t>
  </si>
  <si>
    <t>ucinet mgt 780 steve borgatti social network analysis</t>
  </si>
  <si>
    <t>ucinet borgatti sna</t>
  </si>
  <si>
    <t>gephi visualization network analysis citation networks</t>
  </si>
  <si>
    <t>gephi excel csv</t>
  </si>
  <si>
    <t>gephi social network analysis</t>
  </si>
  <si>
    <t>Gephi (Software) Gephi social network analysis SNA Gephi demo network analysis demo netwok analysis software</t>
  </si>
  <si>
    <t>network visualization gephi nodexl</t>
  </si>
  <si>
    <t>nodexl apresentação tutorial guia</t>
  </si>
  <si>
    <t>pnad censo ibge</t>
  </si>
  <si>
    <t>análise de dados qualitativos qda minner big data</t>
  </si>
  <si>
    <t>Dynamic Temporal Time series Gephi Tutorial Infection Transmission Network Hospital Contagion Time</t>
  </si>
  <si>
    <t>Gephi Data visualization</t>
  </si>
  <si>
    <t>social network analysis graph visualization gephi</t>
  </si>
  <si>
    <t>social network analysis centrality</t>
  </si>
  <si>
    <t>Gephi Bibliometric Analysis Citation Analysis Co-citation BibExcel Web of Science Bibliography Coupling Citation Network Clustering Network Analysis The Research HUB Ziaul Haque Munim www.the-research-hub.org Research HUB bibliometrics tutorial</t>
  </si>
  <si>
    <t>sna ars gephi tutorial análisis de redes sociales</t>
  </si>
  <si>
    <t>gephi lesmis quick start tutorial visualization sna network analysis</t>
  </si>
  <si>
    <t>NodeXL Twitter social media semantic networks hashtags trends data mining analysis how-to walkthrough social networks network analysis</t>
  </si>
  <si>
    <t>com/soc 375 social networks edges vertices edge list node xl sociogram how to</t>
  </si>
  <si>
    <t>R studio RedditExtractoR online methods social science</t>
  </si>
  <si>
    <t>text analysis twitter analysis text networks dataviz data science tutorial webinar infranodus nodus labs noduslabs sentiment analysis</t>
  </si>
  <si>
    <t>nodexl visualization sociology social networks edge lists</t>
  </si>
  <si>
    <t>NodeXL Influencer Marketing</t>
  </si>
  <si>
    <t>Data Visualization Twitter NodeXL</t>
  </si>
  <si>
    <t>nodexl university social networks edge list visualization tie strength installing homework maine augusta social science</t>
  </si>
  <si>
    <t>vgsom VGSOM itb ITB 2012 iit kgp kgp mayank anuradha vgsom 2012</t>
  </si>
  <si>
    <t>NodeXL tutorial network analysis visualization</t>
  </si>
  <si>
    <t>투모로우바이투게더 TOMORROW X TOGETHER TXT 수빈 연준 범규 태현 휴닝카이 YEONJUN SOOBIN BEOMGYU TAEHYUN HUENINGKAI 빅히트엔터테인먼트 빅히트 Boy band minisode1 BlueHour 5시 53분의 하늘에서 발견한 너와 나 5시 53분 553</t>
  </si>
  <si>
    <t>ps5 playstation 5 UI</t>
  </si>
  <si>
    <t>como dividir grupos en zoom breakout rooms zoom como crear salas en zoom grupos en zoom crear grupos en zoom Crear Salas Grupos Pequeños en ZOOM dividir grupos en zoom usar zoom video conferencia grupos zoom clases virtuales Videoconferencia</t>
  </si>
  <si>
    <t>NVivo análise qualitativa GMAP</t>
  </si>
  <si>
    <t>Graph in a box NodeXL. sub-graphs.</t>
  </si>
  <si>
    <t>Formatting Gephi Gephi</t>
  </si>
  <si>
    <t>Gephi Social Network Analysis SNA Uploading data Self loops</t>
  </si>
  <si>
    <t>Gephi Formatting Gephi Social Network Analysis.</t>
  </si>
  <si>
    <t>Degree In-Degree Out-Degree Gephi Social Network Analysis</t>
  </si>
  <si>
    <t>NodeXL SNA Social Media Social Network Network Visualization Graph Map Chart Automate NodeXL Pro</t>
  </si>
  <si>
    <t>nodexl Network Analysis social networks software how to walkthrough install</t>
  </si>
  <si>
    <t>nodexl walkthrough twitter social media visualization autofill groups social networks maine politics</t>
  </si>
  <si>
    <t>how to nodexl networks edge lists visualization</t>
  </si>
  <si>
    <t>NodeXL Video SNA Social Network Analysis Social Network Visualization Chart Graph Connection Collection Map</t>
  </si>
  <si>
    <t>NVivo 12 Thematic Analysis Content Analysis</t>
  </si>
  <si>
    <t>Pagerank Eigenvector Centrality Gephi influencers</t>
  </si>
  <si>
    <t>microsoft research</t>
  </si>
  <si>
    <t>NodeXL ASA Social Media Sociology Social Network Visualization Graph Conference Sociologist</t>
  </si>
  <si>
    <t>gephi twitter streaming stream importer plugin information visualization network viz info</t>
  </si>
  <si>
    <t>introduction introductory social networks R language igraph university of maine at augusta edge list how to</t>
  </si>
  <si>
    <t>NodeXL Social Network Millennials Research Center Kopi Udara MRC Indobig</t>
  </si>
  <si>
    <t>#fierbmi #nodexl #gephi</t>
  </si>
  <si>
    <t>Gephi Social Network Analysis SNA Introduction</t>
  </si>
  <si>
    <t>forTEXT &amp; CATMA</t>
  </si>
  <si>
    <t>Data Analytics and Learning MOOC</t>
  </si>
  <si>
    <t>Be Val</t>
  </si>
  <si>
    <t>G Alan Davis</t>
  </si>
  <si>
    <t>Francisco J. Romero-Campero</t>
  </si>
  <si>
    <t>GIS UniversityofWorcester</t>
  </si>
  <si>
    <t>DV Analysis</t>
  </si>
  <si>
    <t>GIS Analysis NRM435 University of Alaska Fairbanks</t>
  </si>
  <si>
    <t>DEEGSNCCU</t>
  </si>
  <si>
    <t>Esri Events</t>
  </si>
  <si>
    <t>Anuj Tiwari</t>
  </si>
  <si>
    <t>Mahmoud Abdelrahman</t>
  </si>
  <si>
    <t>Martin Grandjean</t>
  </si>
  <si>
    <t>jengolbeck</t>
  </si>
  <si>
    <t>Volodymyr Miz</t>
  </si>
  <si>
    <t>Bernhard Rieder</t>
  </si>
  <si>
    <t>Tulio Kahn</t>
  </si>
  <si>
    <t>André Santanchè</t>
  </si>
  <si>
    <t>Carambola Videos</t>
  </si>
  <si>
    <t>Darlan Evandro</t>
  </si>
  <si>
    <t>Pesquisa &amp; Jogos</t>
  </si>
  <si>
    <t>박한우교수-영남대</t>
  </si>
  <si>
    <t>KC대학교 빅데이터경영학과 이상철 교수</t>
  </si>
  <si>
    <t>CyramNetminer</t>
  </si>
  <si>
    <t>소분남</t>
  </si>
  <si>
    <t>논준모연구소</t>
  </si>
  <si>
    <t>현대차 정몽구 재단</t>
  </si>
  <si>
    <t>한국고등교육재단(Korea Foundation for Advanced Studies)</t>
  </si>
  <si>
    <t>드림셀파</t>
  </si>
  <si>
    <t>김용진</t>
  </si>
  <si>
    <t>유영만You튜브</t>
  </si>
  <si>
    <t>James Cook</t>
  </si>
  <si>
    <t>Steve Borgatti</t>
  </si>
  <si>
    <t>Big Think</t>
  </si>
  <si>
    <t>TEDx Talks</t>
  </si>
  <si>
    <t>Providence</t>
  </si>
  <si>
    <t>TED</t>
  </si>
  <si>
    <t>Shaun Kellogg</t>
  </si>
  <si>
    <t>Social Media Research Foundation</t>
  </si>
  <si>
    <t>Cytiva</t>
  </si>
  <si>
    <t>James Gaskin</t>
  </si>
  <si>
    <t>Research Tube</t>
  </si>
  <si>
    <t>DrJoeMoore</t>
  </si>
  <si>
    <t>Ken Blake</t>
  </si>
  <si>
    <t>COMM Study with Dr. U</t>
  </si>
  <si>
    <t>Social and Economic Networks</t>
  </si>
  <si>
    <t>Network Analysis Tutorials, By Prof. R P Punagin</t>
  </si>
  <si>
    <t>Duke SSRI</t>
  </si>
  <si>
    <t>PyCon Israel</t>
  </si>
  <si>
    <t>Canadian Hub for Applied and Social Research (CHASR)</t>
  </si>
  <si>
    <t>FIAN Research</t>
  </si>
  <si>
    <t>MLconf</t>
  </si>
  <si>
    <t>The Alan Turing Institute</t>
  </si>
  <si>
    <t>DataCamp</t>
  </si>
  <si>
    <t>Data J Lab</t>
  </si>
  <si>
    <t>spaetzletube</t>
  </si>
  <si>
    <t>Polinode</t>
  </si>
  <si>
    <t>NodeXL</t>
  </si>
  <si>
    <t>Let's Crack GATE &amp; ESE - ME</t>
  </si>
  <si>
    <t>DevFest India</t>
  </si>
  <si>
    <t>Manish Tiwari</t>
  </si>
  <si>
    <t>August Bradley</t>
  </si>
  <si>
    <t>Fullstack Academy</t>
  </si>
  <si>
    <t>Yang Song</t>
  </si>
  <si>
    <t>ds6428a</t>
  </si>
  <si>
    <t>Dr Alan Shaw</t>
  </si>
  <si>
    <t>Gephi</t>
  </si>
  <si>
    <t>John McCulloch</t>
  </si>
  <si>
    <t>양원석의 복지생각</t>
  </si>
  <si>
    <t>MVPH-EAD, Faculty of Veterinary and Agricultural Sciences, The University of Melbourne</t>
  </si>
  <si>
    <t>Jess Kropczynski</t>
  </si>
  <si>
    <t>Free courses</t>
  </si>
  <si>
    <t>Melvin L</t>
  </si>
  <si>
    <t>metodologiabrasil</t>
  </si>
  <si>
    <t>Young Joon Oh</t>
  </si>
  <si>
    <t>University of Kentucky Libraries</t>
  </si>
  <si>
    <t>Research HUB</t>
  </si>
  <si>
    <t>Salvador Sánchez</t>
  </si>
  <si>
    <t>Nodus Labs</t>
  </si>
  <si>
    <t>Francisco Marco-Serrano</t>
  </si>
  <si>
    <t>Avkash Chauhan</t>
  </si>
  <si>
    <t>prodfranciscan</t>
  </si>
  <si>
    <t>brianbritt87</t>
  </si>
  <si>
    <t>Big Hit Labels</t>
  </si>
  <si>
    <t>PlayStation</t>
  </si>
  <si>
    <t>Tutoriales Multiples</t>
  </si>
  <si>
    <t>Dulce Flores</t>
  </si>
  <si>
    <t>GMAP UNISINOS - Grupo de Pesquisa em Modelagem para Aprendizagem</t>
  </si>
  <si>
    <t>Marc Smith</t>
  </si>
  <si>
    <t>Microsoft Research</t>
  </si>
  <si>
    <t>Jane Vanderburgh</t>
  </si>
  <si>
    <t>PyCon 2015</t>
  </si>
  <si>
    <t>Yanu Prasetyo</t>
  </si>
  <si>
    <t>Mika Laiti</t>
  </si>
  <si>
    <t>2019-05-06T09:00:06Z</t>
  </si>
  <si>
    <t>2014-10-29T18:10:29Z</t>
  </si>
  <si>
    <t>2013-10-07T21:41:01Z</t>
  </si>
  <si>
    <t>2015-05-04T15:08:10Z</t>
  </si>
  <si>
    <t>2020-04-20T17:59:04Z</t>
  </si>
  <si>
    <t>2014-09-28T01:27:34Z</t>
  </si>
  <si>
    <t>2018-12-11T21:50:10Z</t>
  </si>
  <si>
    <t>2016-07-25T12:38:48Z</t>
  </si>
  <si>
    <t>2018-12-27T20:43:32Z</t>
  </si>
  <si>
    <t>2018-02-06T03:45:31Z</t>
  </si>
  <si>
    <t>2013-02-22T21:06:13Z</t>
  </si>
  <si>
    <t>2017-08-25T23:30:05Z</t>
  </si>
  <si>
    <t>2016-08-05T16:05:29Z</t>
  </si>
  <si>
    <t>2018-02-06T03:54:33Z</t>
  </si>
  <si>
    <t>2018-07-16T16:12:54Z</t>
  </si>
  <si>
    <t>2019-07-31T21:39:50Z</t>
  </si>
  <si>
    <t>2018-02-06T03:49:17Z</t>
  </si>
  <si>
    <t>2011-05-03T04:17:55Z</t>
  </si>
  <si>
    <t>2015-10-13T14:58:41Z</t>
  </si>
  <si>
    <t>2013-07-27T19:56:48Z</t>
  </si>
  <si>
    <t>2019-11-25T14:28:10Z</t>
  </si>
  <si>
    <t>2015-12-03T15:58:34Z</t>
  </si>
  <si>
    <t>2016-01-13T14:19:17Z</t>
  </si>
  <si>
    <t>2020-07-07T19:08:16Z</t>
  </si>
  <si>
    <t>2014-11-19T16:03:01Z</t>
  </si>
  <si>
    <t>2016-05-15T14:06:00Z</t>
  </si>
  <si>
    <t>2020-07-07T18:59:24Z</t>
  </si>
  <si>
    <t>2019-12-11T18:15:01Z</t>
  </si>
  <si>
    <t>2019-05-15T14:00:07Z</t>
  </si>
  <si>
    <t>2017-11-14T17:12:01Z</t>
  </si>
  <si>
    <t>2017-09-22T17:11:18Z</t>
  </si>
  <si>
    <t>2019-11-19T12:44:57Z</t>
  </si>
  <si>
    <t>2019-04-04T01:16:47Z</t>
  </si>
  <si>
    <t>2018-01-30T04:56:00Z</t>
  </si>
  <si>
    <t>2018-12-12T01:18:43Z</t>
  </si>
  <si>
    <t>2020-01-15T05:23:45Z</t>
  </si>
  <si>
    <t>2017-01-18T01:11:46Z</t>
  </si>
  <si>
    <t>2020-03-18T06:09:55Z</t>
  </si>
  <si>
    <t>2019-06-03T02:30:07Z</t>
  </si>
  <si>
    <t>2020-04-09T07:39:57Z</t>
  </si>
  <si>
    <t>2015-10-12T20:19:20Z</t>
  </si>
  <si>
    <t>2015-10-15T19:00:47Z</t>
  </si>
  <si>
    <t>2015-10-12T12:58:06Z</t>
  </si>
  <si>
    <t>2012-11-24T04:21:35Z</t>
  </si>
  <si>
    <t>2016-10-23T23:15:22Z</t>
  </si>
  <si>
    <t>2012-10-20T11:45:45Z</t>
  </si>
  <si>
    <t>2015-04-23T18:53:13Z</t>
  </si>
  <si>
    <t>2014-12-19T22:52:11Z</t>
  </si>
  <si>
    <t>2014-04-23T04:45:51Z</t>
  </si>
  <si>
    <t>2018-11-30T18:00:04Z</t>
  </si>
  <si>
    <t>2012-12-11T17:45:49Z</t>
  </si>
  <si>
    <t>2012-10-06T13:27:05Z</t>
  </si>
  <si>
    <t>2010-05-10T15:48:25Z</t>
  </si>
  <si>
    <t>2012-10-13T14:27:44Z</t>
  </si>
  <si>
    <t>2015-03-19T20:47:13Z</t>
  </si>
  <si>
    <t>2019-01-21T04:35:12Z</t>
  </si>
  <si>
    <t>2019-02-24T23:09:04Z</t>
  </si>
  <si>
    <t>2015-03-19T20:47:47Z</t>
  </si>
  <si>
    <t>2018-02-17T21:24:12Z</t>
  </si>
  <si>
    <t>2015-03-19T20:46:32Z</t>
  </si>
  <si>
    <t>2019-01-21T14:01:07Z</t>
  </si>
  <si>
    <t>2016-02-23T13:03:10Z</t>
  </si>
  <si>
    <t>2020-07-13T04:44:15Z</t>
  </si>
  <si>
    <t>2012-07-13T15:17:10Z</t>
  </si>
  <si>
    <t>2014-11-05T23:29:55Z</t>
  </si>
  <si>
    <t>2020-03-30T09:55:55Z</t>
  </si>
  <si>
    <t>2017-09-15T01:39:30Z</t>
  </si>
  <si>
    <t>2013-04-23T00:34:32Z</t>
  </si>
  <si>
    <t>2016-03-07T22:02:08Z</t>
  </si>
  <si>
    <t>2014-02-09T00:38:47Z</t>
  </si>
  <si>
    <t>2016-07-19T04:26:28Z</t>
  </si>
  <si>
    <t>2016-01-29T03:57:23Z</t>
  </si>
  <si>
    <t>2018-07-17T19:24:54Z</t>
  </si>
  <si>
    <t>2010-09-16T14:38:06Z</t>
  </si>
  <si>
    <t>2019-06-24T09:26:04Z</t>
  </si>
  <si>
    <t>2018-06-08T17:22:23Z</t>
  </si>
  <si>
    <t>2018-07-18T17:47:10Z</t>
  </si>
  <si>
    <t>2014-02-09T14:45:07Z</t>
  </si>
  <si>
    <t>2017-01-25T02:55:38Z</t>
  </si>
  <si>
    <t>2016-12-19T02:18:46Z</t>
  </si>
  <si>
    <t>2019-04-06T02:42:41Z</t>
  </si>
  <si>
    <t>2017-04-20T22:01:24Z</t>
  </si>
  <si>
    <t>2018-03-13T19:05:13Z</t>
  </si>
  <si>
    <t>2017-03-24T14:09:15Z</t>
  </si>
  <si>
    <t>2017-01-19T02:12:59Z</t>
  </si>
  <si>
    <t>2017-01-31T17:59:43Z</t>
  </si>
  <si>
    <t>2013-09-30T22:29:58Z</t>
  </si>
  <si>
    <t>2012-09-24T22:55:54Z</t>
  </si>
  <si>
    <t>2016-10-10T15:38:52Z</t>
  </si>
  <si>
    <t>2017-06-29T23:35:10Z</t>
  </si>
  <si>
    <t>2017-07-06T13:50:05Z</t>
  </si>
  <si>
    <t>2020-10-15T16:38:07Z</t>
  </si>
  <si>
    <t>2020-10-15T08:30:26Z</t>
  </si>
  <si>
    <t>2020-10-16T08:11:41Z</t>
  </si>
  <si>
    <t>2017-10-09T08:39:14Z</t>
  </si>
  <si>
    <t>2020-04-12T16:21:30Z</t>
  </si>
  <si>
    <t>2015-02-17T09:06:18Z</t>
  </si>
  <si>
    <t>2017-10-09T08:39:15Z</t>
  </si>
  <si>
    <t>2013-10-31T18:52:13Z</t>
  </si>
  <si>
    <t>2020-09-21T19:29:52Z</t>
  </si>
  <si>
    <t>2020-04-21T19:34:28Z</t>
  </si>
  <si>
    <t>2016-09-15T20:13:42Z</t>
  </si>
  <si>
    <t>2017-08-17T17:28:41Z</t>
  </si>
  <si>
    <t>2020-04-01T05:06:41Z</t>
  </si>
  <si>
    <t>2013-09-15T11:09:32Z</t>
  </si>
  <si>
    <t>2020-02-19T16:07:17Z</t>
  </si>
  <si>
    <t>2012-09-30T11:27:42Z</t>
  </si>
  <si>
    <t>2015-11-10T04:55:32Z</t>
  </si>
  <si>
    <t>2017-02-26T03:47:38Z</t>
  </si>
  <si>
    <t>2016-05-04T13:53:56Z</t>
  </si>
  <si>
    <t>2015-06-21T14:42:54Z</t>
  </si>
  <si>
    <t>2016-03-19T15:52:03Z</t>
  </si>
  <si>
    <t>2018-08-31T17:00:24Z</t>
  </si>
  <si>
    <t>2017-10-09T08:27:55Z</t>
  </si>
  <si>
    <t>2019-04-05T18:23:24Z</t>
  </si>
  <si>
    <t>2019-05-19T14:39:33Z</t>
  </si>
  <si>
    <t>2017-09-11T02:51:29Z</t>
  </si>
  <si>
    <t>2020-01-21T21:45:00Z</t>
  </si>
  <si>
    <t>2015-11-09T22:32:59Z</t>
  </si>
  <si>
    <t>2018-03-07T15:50:40Z</t>
  </si>
  <si>
    <t>2015-09-21T23:34:39Z</t>
  </si>
  <si>
    <t>2015-11-14T17:10:05Z</t>
  </si>
  <si>
    <t>2018-03-07T15:47:40Z</t>
  </si>
  <si>
    <t>2016-04-05T23:36:37Z</t>
  </si>
  <si>
    <t>2016-04-30T21:31:56Z</t>
  </si>
  <si>
    <t>2019-11-08T19:38:48Z</t>
  </si>
  <si>
    <t>2013-07-14T23:00:59Z</t>
  </si>
  <si>
    <t>2015-07-09T18:08:55Z</t>
  </si>
  <si>
    <t>2013-07-02T19:46:55Z</t>
  </si>
  <si>
    <t>2012-10-14T17:11:39Z</t>
  </si>
  <si>
    <t>2012-11-01T20:50:45Z</t>
  </si>
  <si>
    <t>2016-01-13T15:02:29Z</t>
  </si>
  <si>
    <t>2017-03-29T15:17:52Z</t>
  </si>
  <si>
    <t>2017-10-15T00:15:59Z</t>
  </si>
  <si>
    <t>2017-05-12T21:39:29Z</t>
  </si>
  <si>
    <t>2013-07-22T14:11:13Z</t>
  </si>
  <si>
    <t>2013-07-04T21:18:46Z</t>
  </si>
  <si>
    <t>2018-02-03T19:05:59Z</t>
  </si>
  <si>
    <t>2018-01-23T14:08:12Z</t>
  </si>
  <si>
    <t>2018-06-09T17:05:43Z</t>
  </si>
  <si>
    <t>2015-11-17T04:22:34Z</t>
  </si>
  <si>
    <t>2012-09-08T21:08:31Z</t>
  </si>
  <si>
    <t>2020-02-09T00:21:17Z</t>
  </si>
  <si>
    <t>2018-02-17T21:24:11Z</t>
  </si>
  <si>
    <t>2020-04-07T10:20:43Z</t>
  </si>
  <si>
    <t>2014-02-04T02:37:32Z</t>
  </si>
  <si>
    <t>2015-02-04T19:45:03Z</t>
  </si>
  <si>
    <t>2013-02-20T01:45:15Z</t>
  </si>
  <si>
    <t>2013-03-24T20:45:10Z</t>
  </si>
  <si>
    <t>2012-04-05T13:59:01Z</t>
  </si>
  <si>
    <t>2012-04-06T21:40:11Z</t>
  </si>
  <si>
    <t>2020-10-15T15:00:00Z</t>
  </si>
  <si>
    <t>2020-10-15T13:00:02Z</t>
  </si>
  <si>
    <t>2020-05-14T23:35:02Z</t>
  </si>
  <si>
    <t>2020-06-01T05:01:18Z</t>
  </si>
  <si>
    <t>2012-04-06T21:04:57Z</t>
  </si>
  <si>
    <t>2017-07-20T02:37:59Z</t>
  </si>
  <si>
    <t>2019-04-09T16:37:18Z</t>
  </si>
  <si>
    <t>2018-11-30T19:22:56Z</t>
  </si>
  <si>
    <t>2018-08-31T17:33:30Z</t>
  </si>
  <si>
    <t>2018-11-30T17:31:15Z</t>
  </si>
  <si>
    <t>2019-01-19T19:19:00Z</t>
  </si>
  <si>
    <t>2017-06-12T22:24:38Z</t>
  </si>
  <si>
    <t>2015-09-14T02:14:21Z</t>
  </si>
  <si>
    <t>2013-04-08T10:07:29Z</t>
  </si>
  <si>
    <t>2013-09-23T21:40:52Z</t>
  </si>
  <si>
    <t>2012-04-06T20:36:35Z</t>
  </si>
  <si>
    <t>2010-09-15T22:38:19Z</t>
  </si>
  <si>
    <t>2019-04-09T18:46:50Z</t>
  </si>
  <si>
    <t>2019-07-12T19:18:55Z</t>
  </si>
  <si>
    <t>2016-08-17T21:45:22Z</t>
  </si>
  <si>
    <t>2020-06-28T15:00:08Z</t>
  </si>
  <si>
    <t>2015-08-25T17:49:45Z</t>
  </si>
  <si>
    <t>2015-11-09T22:32:58Z</t>
  </si>
  <si>
    <t>2018-08-25T20:45:21Z</t>
  </si>
  <si>
    <t>2016-09-25T11:24:28Z</t>
  </si>
  <si>
    <t>2015-04-10T23:03:02Z</t>
  </si>
  <si>
    <t>2018-05-06T19:32:24Z</t>
  </si>
  <si>
    <t>2020-04-02T14:54:09Z</t>
  </si>
  <si>
    <t>2018-08-31T16:43:16Z</t>
  </si>
  <si>
    <t>Play Video in Browser</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</si>
  <si>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</si>
  <si>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t>
  </si>
  <si>
    <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t>
  </si>
  <si>
    <t>/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
  </si>
  <si>
    <t>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t>
  </si>
  <si>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&lt;value&gt;CalculateSentiment░True▓TextColumnIsOnEdgeWorksheet░False▓TextColumnName░Tags▓CountByGroup░True▓SkipSingleTerms░True▓WordsToSkip░0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seriously seven seventy several sg sh shall shan't shant she she'd she'll she's shed shell shes should should've sho</t>
  </si>
  <si>
    <t>uldn shouldn't shouldnt show showed showing shown showns shows si side sides significant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t>
  </si>
  <si>
    <t>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t>
  </si>
  <si>
    <t>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
  </si>
  <si>
    <t>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t>
  </si>
  <si>
    <t>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t>
  </si>
  <si>
    <t>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t>
  </si>
  <si>
    <t>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t>
  </si>
  <si>
    <t>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t>
  </si>
  <si>
    <t>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t>
  </si>
  <si>
    <t xml:space="preserve">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t>
  </si>
  <si>
    <t>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t>
  </si>
  <si>
    <t>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&lt;value&gt;Out-Degree&lt;/value&gt;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0 Lime Fuchsia False False True&lt;/value&gt;
      &lt;/setting&gt;
      &lt;setting name="EdgeAlphaDetails" serializeAs="String"&gt;
        &lt;value&gt;False False 0 0 25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50 100 True False&lt;/va</t>
  </si>
  <si>
    <t xml:space="preserve">lue&gt;
      &lt;/setting&gt;
      &lt;setting name="EdgeWidthDetails" serializeAs="String"&gt;
        &lt;value&gt;False False 0 0 5 10 False False&lt;/value&gt;
      &lt;/setting&gt;
      &lt;setting name="GroupCollapsedDetails" serializeAs="String"&gt;
        &lt;value&gt;GreaterThan 0 Yes No&lt;/value&gt;
      &lt;/setting&gt;
      &lt;setting name="VertexRadiusDetails" serializeAs="String"&gt;
        &lt;value&gt;False False 0 0 100 1000 False False&lt;/value&gt;
      &lt;/setting&gt;
      &lt;setting name="VertexXDetails" serializeAs="String"&gt;
        &lt;value&gt;False False 0 0 0 9999 False False&lt;/value&gt;
      &lt;/setting&gt;
      &lt;setting name="EdgeColorDetails" serializeAs="String"&gt;
        &lt;value&gt;False False 0 0 Aqua White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&lt;value&gt;Grid&lt;/value&gt;
      &lt;/setting&gt;
      &lt;setting name="LayoutStyle" serializeAs="String"&gt;
        &lt;value&gt;UseGroups&lt;/value&gt;
      &lt;/setting&gt;
      &lt;setting name="GroupRectanglePenWidth" serializeAs="String"&gt;
        &lt;value&gt;1&lt;/value&gt;
      &lt;/setting&gt;
      &lt;setting name="FruchtermanReingoldC" serializeAs="String"&gt;
        &lt;value&gt;2&lt;/value&gt;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&lt;value&gt;0, 0, 64&lt;/value&gt;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&lt;value&gt;10&lt;/value&gt;
      &lt;/setting&gt;
      &lt;setting name="AutoSelect" serializeAs="String"&gt;
        &lt;value&gt;True&lt;/value&gt;
      &lt;/setting&gt;
      &lt;setting name="LabelUserSettings" serializeAs="String"&gt;
        &lt;value&gt;Microsoft Sans Serif, 36pt White BottomCenter 30 2147483647 Black True 419 White 80 TopCenter Microsoft Sans Serif, 48pt Microsoft Sans Serif, 8.25pt&lt;/value&gt;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</si>
  <si>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</si>
  <si>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</si>
  <si>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</si>
  <si>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</si>
  <si>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</si>
  <si>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</si>
  <si>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</si>
  <si>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</si>
  <si>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</si>
  <si>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</si>
  <si>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</si>
  <si>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</si>
  <si>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</si>
  <si>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</si>
  <si>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</si>
  <si>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</si>
  <si>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</si>
  <si>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</si>
  <si>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</si>
  <si>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</si>
  <si>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</si>
  <si>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</si>
  <si>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</si>
  <si>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</si>
  <si>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</si>
  <si>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</si>
  <si>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</si>
  <si>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</si>
  <si>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</si>
  <si>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analysis</t>
  </si>
  <si>
    <t>network</t>
  </si>
  <si>
    <t>social</t>
  </si>
  <si>
    <t>data</t>
  </si>
  <si>
    <t>tutorial</t>
  </si>
  <si>
    <t>gephi</t>
  </si>
  <si>
    <t>learning</t>
  </si>
  <si>
    <t>networks</t>
  </si>
  <si>
    <t>visualization</t>
  </si>
  <si>
    <t>nodexl</t>
  </si>
  <si>
    <t>learn</t>
  </si>
  <si>
    <t>machine</t>
  </si>
  <si>
    <t>university</t>
  </si>
  <si>
    <t>science</t>
  </si>
  <si>
    <t>sna</t>
  </si>
  <si>
    <t>media</t>
  </si>
  <si>
    <t>redes</t>
  </si>
  <si>
    <t>sociology</t>
  </si>
  <si>
    <t>content</t>
  </si>
  <si>
    <t>arcgis</t>
  </si>
  <si>
    <t>graph</t>
  </si>
  <si>
    <t>ucinet</t>
  </si>
  <si>
    <t>maine</t>
  </si>
  <si>
    <t>gate</t>
  </si>
  <si>
    <t>notion</t>
  </si>
  <si>
    <t>esri</t>
  </si>
  <si>
    <t>software</t>
  </si>
  <si>
    <t>sociais</t>
  </si>
  <si>
    <t>clustering</t>
  </si>
  <si>
    <t>zoom</t>
  </si>
  <si>
    <t>gis</t>
  </si>
  <si>
    <t>analyst</t>
  </si>
  <si>
    <t>twitter</t>
  </si>
  <si>
    <t>análise</t>
  </si>
  <si>
    <t>네트워크</t>
  </si>
  <si>
    <t>augusta</t>
  </si>
  <si>
    <t>borgatti</t>
  </si>
  <si>
    <t>bigthink</t>
  </si>
  <si>
    <t>education</t>
  </si>
  <si>
    <t>industry</t>
  </si>
  <si>
    <t>excel</t>
  </si>
  <si>
    <t>pinker</t>
  </si>
  <si>
    <t>field</t>
  </si>
  <si>
    <t>college</t>
  </si>
  <si>
    <t>matrix</t>
  </si>
  <si>
    <t>steve</t>
  </si>
  <si>
    <t>nicholas</t>
  </si>
  <si>
    <t>christakis</t>
  </si>
  <si>
    <t>ted</t>
  </si>
  <si>
    <t>steven</t>
  </si>
  <si>
    <t>2021</t>
  </si>
  <si>
    <t>edge</t>
  </si>
  <si>
    <t>citation</t>
  </si>
  <si>
    <t>grupos</t>
  </si>
  <si>
    <t>en</t>
  </si>
  <si>
    <t>digital</t>
  </si>
  <si>
    <t>uc</t>
  </si>
  <si>
    <t>study</t>
  </si>
  <si>
    <t>centrality</t>
  </si>
  <si>
    <t>floating</t>
  </si>
  <si>
    <t>talks</t>
  </si>
  <si>
    <t>philosophy</t>
  </si>
  <si>
    <t>degree</t>
  </si>
  <si>
    <t>unsupervised</t>
  </si>
  <si>
    <t>principal</t>
  </si>
  <si>
    <t>component</t>
  </si>
  <si>
    <t>ese</t>
  </si>
  <si>
    <t>engineering</t>
  </si>
  <si>
    <t>walkthrough</t>
  </si>
  <si>
    <t>introduction</t>
  </si>
  <si>
    <t>mining</t>
  </si>
  <si>
    <t>grafos</t>
  </si>
  <si>
    <t>project</t>
  </si>
  <si>
    <t>processing</t>
  </si>
  <si>
    <t>literature</t>
  </si>
  <si>
    <t>lecture</t>
  </si>
  <si>
    <t>dados</t>
  </si>
  <si>
    <t>facebook</t>
  </si>
  <si>
    <t>분석</t>
  </si>
  <si>
    <t>soc</t>
  </si>
  <si>
    <t>educational</t>
  </si>
  <si>
    <t>lifelong</t>
  </si>
  <si>
    <t>yale</t>
  </si>
  <si>
    <t>tedx</t>
  </si>
  <si>
    <t>jeffrey</t>
  </si>
  <si>
    <t>brenzel</t>
  </si>
  <si>
    <t>language</t>
  </si>
  <si>
    <t>politics</t>
  </si>
  <si>
    <t>method</t>
  </si>
  <si>
    <t>supervised</t>
  </si>
  <si>
    <t>pre</t>
  </si>
  <si>
    <t>preparation</t>
  </si>
  <si>
    <t>polinode</t>
  </si>
  <si>
    <t>productivity</t>
  </si>
  <si>
    <t>database</t>
  </si>
  <si>
    <t>list</t>
  </si>
  <si>
    <t>netzwerkanalyse</t>
  </si>
  <si>
    <t>analytics</t>
  </si>
  <si>
    <t>route</t>
  </si>
  <si>
    <t>events</t>
  </si>
  <si>
    <t>pro</t>
  </si>
  <si>
    <t>online</t>
  </si>
  <si>
    <t>traveling</t>
  </si>
  <si>
    <t>workshop</t>
  </si>
  <si>
    <t>service</t>
  </si>
  <si>
    <t>subject</t>
  </si>
  <si>
    <t>methods</t>
  </si>
  <si>
    <t>como</t>
  </si>
  <si>
    <t>affiliation</t>
  </si>
  <si>
    <t>regression</t>
  </si>
  <si>
    <t>375</t>
  </si>
  <si>
    <t>import</t>
  </si>
  <si>
    <t>english</t>
  </si>
  <si>
    <t>classics</t>
  </si>
  <si>
    <t>books</t>
  </si>
  <si>
    <t>linguistics</t>
  </si>
  <si>
    <t>economics</t>
  </si>
  <si>
    <t>2012</t>
  </si>
  <si>
    <t>surveys</t>
  </si>
  <si>
    <t>netdraw</t>
  </si>
  <si>
    <t>plot</t>
  </si>
  <si>
    <t>python</t>
  </si>
  <si>
    <t>datacamp</t>
  </si>
  <si>
    <t>preprocessing</t>
  </si>
  <si>
    <t>linear</t>
  </si>
  <si>
    <t>exam</t>
  </si>
  <si>
    <t>programming</t>
  </si>
  <si>
    <t>devfest</t>
  </si>
  <si>
    <t>chart</t>
  </si>
  <si>
    <t>category</t>
  </si>
  <si>
    <t>lists</t>
  </si>
  <si>
    <t>hub</t>
  </si>
  <si>
    <t>vgsom</t>
  </si>
  <si>
    <t>crear</t>
  </si>
  <si>
    <t>tipps</t>
  </si>
  <si>
    <t>studium</t>
  </si>
  <si>
    <t>screencast</t>
  </si>
  <si>
    <t>datos</t>
  </si>
  <si>
    <t>arc</t>
  </si>
  <si>
    <t>networking</t>
  </si>
  <si>
    <t>performing</t>
  </si>
  <si>
    <t>analytic</t>
  </si>
  <si>
    <t>2017</t>
  </si>
  <si>
    <t>tech</t>
  </si>
  <si>
    <t>sessions</t>
  </si>
  <si>
    <t>salesman</t>
  </si>
  <si>
    <t>arcmap</t>
  </si>
  <si>
    <t>anuj</t>
  </si>
  <si>
    <t>iit</t>
  </si>
  <si>
    <t>roorkee</t>
  </si>
  <si>
    <t>shortest</t>
  </si>
  <si>
    <t>distance</t>
  </si>
  <si>
    <t>algorithm</t>
  </si>
  <si>
    <t>genre</t>
  </si>
  <si>
    <t>instagram</t>
  </si>
  <si>
    <t>hashtag</t>
  </si>
  <si>
    <t>criminalidade</t>
  </si>
  <si>
    <t>midias</t>
  </si>
  <si>
    <t>séries</t>
  </si>
  <si>
    <t>temporais</t>
  </si>
  <si>
    <t>arima</t>
  </si>
  <si>
    <t>grafo</t>
  </si>
  <si>
    <t>gerenciamento</t>
  </si>
  <si>
    <t>gestão</t>
  </si>
  <si>
    <t>mlabs</t>
  </si>
  <si>
    <t>텍스트</t>
  </si>
  <si>
    <t>논문쓰기</t>
  </si>
  <si>
    <t>학위논문</t>
  </si>
  <si>
    <t>사회혁신</t>
  </si>
  <si>
    <t>undergraduate</t>
  </si>
  <si>
    <t>mode</t>
  </si>
  <si>
    <t>matrices</t>
  </si>
  <si>
    <t>csv</t>
  </si>
  <si>
    <t>harvard</t>
  </si>
  <si>
    <t>documentary</t>
  </si>
  <si>
    <t>tedxtalks</t>
  </si>
  <si>
    <t>talk</t>
  </si>
  <si>
    <t>school</t>
  </si>
  <si>
    <t>family</t>
  </si>
  <si>
    <t>psychology</t>
  </si>
  <si>
    <t>reading</t>
  </si>
  <si>
    <t>knowledge</t>
  </si>
  <si>
    <t>classical</t>
  </si>
  <si>
    <t>cognitive</t>
  </si>
  <si>
    <t>brain</t>
  </si>
  <si>
    <t>lesson</t>
  </si>
  <si>
    <t>tedtalks</t>
  </si>
  <si>
    <t>happiness</t>
  </si>
  <si>
    <t>tamar</t>
  </si>
  <si>
    <t>gendler</t>
  </si>
  <si>
    <t>hobbes</t>
  </si>
  <si>
    <t>sentiment</t>
  </si>
  <si>
    <t>webinar</t>
  </si>
  <si>
    <t>qualitative</t>
  </si>
  <si>
    <t>quantitative</t>
  </si>
  <si>
    <t>ego</t>
  </si>
  <si>
    <t>economic</t>
  </si>
  <si>
    <t>nodes</t>
  </si>
  <si>
    <t>loops</t>
  </si>
  <si>
    <t>ssri</t>
  </si>
  <si>
    <t>duke</t>
  </si>
  <si>
    <t>modularity</t>
  </si>
  <si>
    <t>모듈성</t>
  </si>
  <si>
    <t>pca</t>
  </si>
  <si>
    <t>turing</t>
  </si>
  <si>
    <t>institute</t>
  </si>
  <si>
    <t>transmission</t>
  </si>
  <si>
    <t>marketing</t>
  </si>
  <si>
    <t>christian</t>
  </si>
  <si>
    <t>mehler</t>
  </si>
  <si>
    <t>unacademy</t>
  </si>
  <si>
    <t>strategy</t>
  </si>
  <si>
    <t>mechanical</t>
  </si>
  <si>
    <t>industrial</t>
  </si>
  <si>
    <t>gaurav</t>
  </si>
  <si>
    <t>babu</t>
  </si>
  <si>
    <t>gdg</t>
  </si>
  <si>
    <t>google</t>
  </si>
  <si>
    <t>event</t>
  </si>
  <si>
    <t>app</t>
  </si>
  <si>
    <t>task</t>
  </si>
  <si>
    <t>efficiency</t>
  </si>
  <si>
    <t>business</t>
  </si>
  <si>
    <t>systems</t>
  </si>
  <si>
    <t>semantic</t>
  </si>
  <si>
    <t>collection</t>
  </si>
  <si>
    <t>adjacency</t>
  </si>
  <si>
    <t>bibliometrics</t>
  </si>
  <si>
    <t>uploading</t>
  </si>
  <si>
    <t>mgt</t>
  </si>
  <si>
    <t>780</t>
  </si>
  <si>
    <t>demo</t>
  </si>
  <si>
    <t>time</t>
  </si>
  <si>
    <t>itb</t>
  </si>
  <si>
    <t>kgp</t>
  </si>
  <si>
    <t>5시</t>
  </si>
  <si>
    <t>dividir</t>
  </si>
  <si>
    <t>salas</t>
  </si>
  <si>
    <t>nvivo</t>
  </si>
  <si>
    <t>formatting</t>
  </si>
  <si>
    <t>map</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</si>
  <si>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</si>
  <si>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</si>
  <si>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</si>
  <si>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</si>
  <si>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</si>
  <si>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</si>
  <si>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</si>
  <si>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</si>
  <si>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</si>
  <si>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</si>
  <si>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</si>
  <si>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</si>
  <si>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</si>
  <si>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</si>
  <si>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</si>
  <si>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</si>
  <si>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</si>
  <si>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</si>
  <si>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</si>
  <si>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</si>
  <si>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</si>
  <si>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</si>
  <si>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</si>
  <si>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</si>
  <si>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</si>
  <si>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</si>
  <si>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</si>
  <si>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</si>
  <si>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</si>
  <si>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</si>
  <si>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</si>
  <si>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</si>
  <si>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</si>
  <si>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</si>
  <si>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</si>
  <si>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</si>
  <si>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</si>
  <si>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</si>
  <si>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</si>
  <si>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</si>
  <si>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</si>
  <si>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</si>
  <si>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</si>
  <si>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</si>
  <si>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</si>
  <si>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</si>
  <si>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</si>
  <si>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</si>
  <si>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</si>
  <si>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</si>
  <si>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</si>
  <si>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</si>
  <si>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</si>
  <si>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</si>
  <si>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</si>
  <si>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</si>
  <si>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</si>
  <si>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</si>
  <si>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</si>
  <si>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</si>
  <si>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</si>
  <si>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</si>
  <si>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Words in Tags in Entire Graph</t>
  </si>
  <si>
    <t>Entire Graph Count</t>
  </si>
  <si>
    <t>Top Words in Tags in G1</t>
  </si>
  <si>
    <t>Top Words in Tags in G2</t>
  </si>
  <si>
    <t>G1 Count</t>
  </si>
  <si>
    <t>Top Words in Tags in G3</t>
  </si>
  <si>
    <t>G2 Count</t>
  </si>
  <si>
    <t>Top Words in Tags in G4</t>
  </si>
  <si>
    <t>G3 Count</t>
  </si>
  <si>
    <t>Top Words in Tags in G5</t>
  </si>
  <si>
    <t>G4 Count</t>
  </si>
  <si>
    <t>Top Words in Tags in G6</t>
  </si>
  <si>
    <t>G5 Count</t>
  </si>
  <si>
    <t>Top Words in Tags in G7</t>
  </si>
  <si>
    <t>G6 Count</t>
  </si>
  <si>
    <t>Top Words in Tags in G8</t>
  </si>
  <si>
    <t>G7 Count</t>
  </si>
  <si>
    <t>G8 Count</t>
  </si>
  <si>
    <t>Top Words in Tags</t>
  </si>
  <si>
    <t>social nodexl network analysis networks redes visualization sociais zoom maine</t>
  </si>
  <si>
    <t>analysis network tutorial gephi learning data learn machine social visualization</t>
  </si>
  <si>
    <t>social networks network bigthink education pinker university nicholas christakis analysis</t>
  </si>
  <si>
    <t>analysis content 네트워크 network social sna media qualitative 논문쓰기 학위논문</t>
  </si>
  <si>
    <t>social ucinet borgatti network analysis university steve sna networks matrix</t>
  </si>
  <si>
    <t>network arcgis esri analyst gis analysis uc route traveling service</t>
  </si>
  <si>
    <t>notion gate network analysis 2021 data ese engineering polinode productivity</t>
  </si>
  <si>
    <t>gephi analysis degree social network formatting</t>
  </si>
  <si>
    <t>Top Word Pairs in Tags in Entire Graph</t>
  </si>
  <si>
    <t>network,analysis</t>
  </si>
  <si>
    <t>social,network</t>
  </si>
  <si>
    <t>machine,learning</t>
  </si>
  <si>
    <t>social,networks</t>
  </si>
  <si>
    <t>social,media</t>
  </si>
  <si>
    <t>analysis,tutorial</t>
  </si>
  <si>
    <t>content,analysis</t>
  </si>
  <si>
    <t>gephi,social</t>
  </si>
  <si>
    <t>learn,machine</t>
  </si>
  <si>
    <t>learning,tutorial</t>
  </si>
  <si>
    <t>Top Word Pairs in Tags in G1</t>
  </si>
  <si>
    <t>redes,sociais</t>
  </si>
  <si>
    <t>en,zoom</t>
  </si>
  <si>
    <t>university,maine</t>
  </si>
  <si>
    <t>maine,augusta</t>
  </si>
  <si>
    <t>grupos,en</t>
  </si>
  <si>
    <t>twitter,social</t>
  </si>
  <si>
    <t>Top Word Pairs in Tags in G2</t>
  </si>
  <si>
    <t>data,science</t>
  </si>
  <si>
    <t>analysis,learn</t>
  </si>
  <si>
    <t>data,analysis</t>
  </si>
  <si>
    <t>Top Word Pairs in Tags in G3</t>
  </si>
  <si>
    <t>nicholas,christakis</t>
  </si>
  <si>
    <t>steven,pinker</t>
  </si>
  <si>
    <t>floating,university</t>
  </si>
  <si>
    <t>lifelong,learning</t>
  </si>
  <si>
    <t>networks,social</t>
  </si>
  <si>
    <t>jeffrey,brenzel</t>
  </si>
  <si>
    <t>bigthink,bigthink</t>
  </si>
  <si>
    <t>bigthink,education</t>
  </si>
  <si>
    <t>Top Word Pairs in Tags in G4</t>
  </si>
  <si>
    <t>analysis,social</t>
  </si>
  <si>
    <t>analysis,content</t>
  </si>
  <si>
    <t>analysis,qualitative</t>
  </si>
  <si>
    <t>Top Word Pairs in Tags in G5</t>
  </si>
  <si>
    <t>steve,borgatti</t>
  </si>
  <si>
    <t>augusta,college</t>
  </si>
  <si>
    <t>college,university</t>
  </si>
  <si>
    <t>mgt,780</t>
  </si>
  <si>
    <t>borgatti,social</t>
  </si>
  <si>
    <t>Top Word Pairs in Tags in G6</t>
  </si>
  <si>
    <t>network,analyst</t>
  </si>
  <si>
    <t>arcgis,network</t>
  </si>
  <si>
    <t>esri,uc</t>
  </si>
  <si>
    <t>arcgis,gis</t>
  </si>
  <si>
    <t>analysis,arcgis</t>
  </si>
  <si>
    <t>network,network</t>
  </si>
  <si>
    <t>esri,arcgis</t>
  </si>
  <si>
    <t>gis,esri</t>
  </si>
  <si>
    <t>esri,events</t>
  </si>
  <si>
    <t>Top Word Pairs in Tags in G7</t>
  </si>
  <si>
    <t>polinode,network</t>
  </si>
  <si>
    <t>analysis,data</t>
  </si>
  <si>
    <t>data,visualization</t>
  </si>
  <si>
    <t>gate,2021</t>
  </si>
  <si>
    <t>ese,2021</t>
  </si>
  <si>
    <t>engineering,gate</t>
  </si>
  <si>
    <t>data,surveys</t>
  </si>
  <si>
    <t>notion,notion</t>
  </si>
  <si>
    <t>app,notion</t>
  </si>
  <si>
    <t>Top Word Pairs in Tags in G8</t>
  </si>
  <si>
    <t>degree,degree</t>
  </si>
  <si>
    <t>formatting,gephi</t>
  </si>
  <si>
    <t>Top Word Pairs in Tags</t>
  </si>
  <si>
    <t>social,networks  network,analysis  social,media  redes,sociais  social,network  en,zoom  university,maine  maine,augusta  grupos,en  twitter,social</t>
  </si>
  <si>
    <t>network,analysis  machine,learning  social,network  analysis,tutorial  learn,machine  learning,tutorial  data,science  analysis,learn  data,analysis  gephi,social</t>
  </si>
  <si>
    <t>nicholas,christakis  social,networks  steven,pinker  floating,university  lifelong,learning  networks,social  network,analysis  jeffrey,brenzel  bigthink,bigthink  bigthink,education</t>
  </si>
  <si>
    <t>content,analysis  analysis,social  social,media  analysis,content  analysis,qualitative</t>
  </si>
  <si>
    <t>social,network  network,analysis  steve,borgatti  social,networks  university,maine  maine,augusta  augusta,college  college,university  mgt,780  borgatti,social</t>
  </si>
  <si>
    <t>network,analyst  arcgis,network  esri,uc  arcgis,gis  network,analysis  analysis,arcgis  network,network  esri,arcgis  gis,esri  esri,events</t>
  </si>
  <si>
    <t>network,analysis  polinode,network  analysis,data  data,visualization  gate,2021  ese,2021  engineering,gate  data,surveys  notion,notion  app,notion</t>
  </si>
  <si>
    <t>gephi,social  social,network  network,analysis  degree,degree  formatting,gephi</t>
  </si>
  <si>
    <t>Top Words in Tags by Count</t>
  </si>
  <si>
    <t/>
  </si>
  <si>
    <t>Top Words in Tags by Salience</t>
  </si>
  <si>
    <t>Top Word Pairs in Tags by Count</t>
  </si>
  <si>
    <t>Top Word Pairs in Tags by Salience</t>
  </si>
  <si>
    <t>Cyan</t>
  </si>
  <si>
    <t>79, 176, 79</t>
  </si>
  <si>
    <t>Lime</t>
  </si>
  <si>
    <t>85, 170, 85</t>
  </si>
  <si>
    <t>98, 157, 98</t>
  </si>
  <si>
    <t>105, 150, 105</t>
  </si>
  <si>
    <t>112, 143, 112</t>
  </si>
  <si>
    <t>137, 118, 137</t>
  </si>
  <si>
    <t>163, 92, 163</t>
  </si>
  <si>
    <t>118, 137, 118</t>
  </si>
  <si>
    <t>150, 105, 150</t>
  </si>
  <si>
    <t>209, 46, 209</t>
  </si>
  <si>
    <t>170, 85, 170</t>
  </si>
  <si>
    <t>183, 72, 183</t>
  </si>
  <si>
    <t>216, 39, 216</t>
  </si>
  <si>
    <t>202, 53, 202</t>
  </si>
  <si>
    <t>Fuchsia</t>
  </si>
  <si>
    <t>242, 13, 242</t>
  </si>
  <si>
    <t>G1: social nodexl network analysis networks redes visualization sociais zoom maine</t>
  </si>
  <si>
    <t>G2: analysis network tutorial gephi learning data learn machine social visualization</t>
  </si>
  <si>
    <t>G3: social networks network bigthink education pinker university nicholas christakis analysis</t>
  </si>
  <si>
    <t>G4: analysis content 네트워크 network social sna media qualitative 논문쓰기 학위논문</t>
  </si>
  <si>
    <t>G5: social ucinet borgatti network analysis university steve sna networks matrix</t>
  </si>
  <si>
    <t>G6: network arcgis esri analyst gis analysis uc route traveling service</t>
  </si>
  <si>
    <t>G7: notion gate network analysis 2021 data ese engineering polinode productivity</t>
  </si>
  <si>
    <t>G8: gephi analysis degree social network formatting</t>
  </si>
  <si>
    <t>Edge Weight▓1▓1▓0▓True▓Aqua▓White▓▓Edge Weight▓1▓1▓0▓5▓10▓False▓Edge Weight▓1▓1▓0▓25▓15▓False▓Out-Degree▓0▓32▓0▓True▓Lime▓Fuchsia▓▓In-Degree▓0▓21▓0▓100▓1000▓False▓In-Degree▓0▓8▓0▓50▓100▓False▓▓0▓0▓0▓0▓0▓False▓▓0▓0▓0▓0▓0▓False</t>
  </si>
  <si>
    <t>GraphSource░YouTubeVideo▓GraphTerm░NodeXL▓ImportDescription░The graph represents the network of YouTube videos whose title, keywords, description, categories, or author's username contain "NodeXL".  The network was obtained from YouTube on Friday, 16 October 2020 at 12:40 UTC.
The network was limited to 9 videos.
There is an edge for each pair of videos that have the same category.▓ImportSuggestedTitle░YouTube Video NodeXL▓ImportSuggestedFileNameNoExtension░2020-10-16 12-40-24 NodeXL YouTube Video NodeXL▓GroupingDescription░The graph's vertices were grouped by cluster using the Clauset-Newman-Moore cluster algorithm.▓LayoutAlgorithm░The graph was laid out using the Grid layout algorithm.▓GraphDirectedness░The graph is directed.</t>
  </si>
  <si>
    <t>YouTubeVideo</t>
  </si>
  <si>
    <t>The graph represents the network of YouTube videos whose title, keywords, description, categories, or author's username contain "NodeXL".  The network was obtained from YouTube on Friday, 16 October 2020 at 12:40 UTC.
The network was limited to 9 videos.
There is an edge for each pair of videos that have the same category.</t>
  </si>
  <si>
    <t>The graph was laid out using the Grid layout algorithm.</t>
  </si>
  <si>
    <t>The graph's vertices were grouped by cluster using the Clauset-Newman-Moore cluster algorithm.</t>
  </si>
  <si>
    <t>https://nodexlgraphgallery.org/Pages/Graph.aspx?graphID=238096</t>
  </si>
  <si>
    <t xml:space="preserve">     &lt;value&gt;OuterGlow&lt;/value&gt;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</si>
</sst>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494450"/>
        <c:axId val="55123459"/>
      </c:barChart>
      <c:catAx>
        <c:axId val="284944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23459"/>
        <c:crosses val="autoZero"/>
        <c:auto val="1"/>
        <c:lblOffset val="100"/>
        <c:noMultiLvlLbl val="0"/>
      </c:catAx>
      <c:valAx>
        <c:axId val="5512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4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349084"/>
        <c:axId val="35815165"/>
      </c:barChart>
      <c:catAx>
        <c:axId val="263490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815165"/>
        <c:crosses val="autoZero"/>
        <c:auto val="1"/>
        <c:lblOffset val="100"/>
        <c:noMultiLvlLbl val="0"/>
      </c:catAx>
      <c:valAx>
        <c:axId val="35815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49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901030"/>
        <c:axId val="15347223"/>
      </c:barChart>
      <c:catAx>
        <c:axId val="539010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347223"/>
        <c:crosses val="autoZero"/>
        <c:auto val="1"/>
        <c:lblOffset val="100"/>
        <c:noMultiLvlLbl val="0"/>
      </c:catAx>
      <c:valAx>
        <c:axId val="15347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01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07280"/>
        <c:axId val="35165521"/>
      </c:barChart>
      <c:catAx>
        <c:axId val="39072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165521"/>
        <c:crosses val="autoZero"/>
        <c:auto val="1"/>
        <c:lblOffset val="100"/>
        <c:noMultiLvlLbl val="0"/>
      </c:catAx>
      <c:valAx>
        <c:axId val="35165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7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054234"/>
        <c:axId val="29834923"/>
      </c:barChart>
      <c:catAx>
        <c:axId val="480542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834923"/>
        <c:crosses val="autoZero"/>
        <c:auto val="1"/>
        <c:lblOffset val="100"/>
        <c:noMultiLvlLbl val="0"/>
      </c:catAx>
      <c:valAx>
        <c:axId val="2983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4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8852"/>
        <c:axId val="709669"/>
      </c:barChart>
      <c:catAx>
        <c:axId val="788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09669"/>
        <c:crosses val="autoZero"/>
        <c:auto val="1"/>
        <c:lblOffset val="100"/>
        <c:noMultiLvlLbl val="0"/>
      </c:catAx>
      <c:valAx>
        <c:axId val="709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87022"/>
        <c:axId val="57483199"/>
      </c:barChart>
      <c:catAx>
        <c:axId val="63870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483199"/>
        <c:crosses val="autoZero"/>
        <c:auto val="1"/>
        <c:lblOffset val="100"/>
        <c:noMultiLvlLbl val="0"/>
      </c:catAx>
      <c:valAx>
        <c:axId val="57483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7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586744"/>
        <c:axId val="25627513"/>
      </c:barChart>
      <c:catAx>
        <c:axId val="475867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627513"/>
        <c:crosses val="autoZero"/>
        <c:auto val="1"/>
        <c:lblOffset val="100"/>
        <c:noMultiLvlLbl val="0"/>
      </c:catAx>
      <c:valAx>
        <c:axId val="25627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6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321026"/>
        <c:axId val="62562643"/>
      </c:barChart>
      <c:catAx>
        <c:axId val="29321026"/>
        <c:scaling>
          <c:orientation val="minMax"/>
        </c:scaling>
        <c:axPos val="b"/>
        <c:delete val="1"/>
        <c:majorTickMark val="out"/>
        <c:minorTickMark val="none"/>
        <c:tickLblPos val="none"/>
        <c:crossAx val="62562643"/>
        <c:crosses val="autoZero"/>
        <c:auto val="1"/>
        <c:lblOffset val="100"/>
        <c:noMultiLvlLbl val="0"/>
      </c:catAx>
      <c:valAx>
        <c:axId val="62562643"/>
        <c:scaling>
          <c:orientation val="minMax"/>
        </c:scaling>
        <c:axPos val="l"/>
        <c:delete val="1"/>
        <c:majorTickMark val="out"/>
        <c:minorTickMark val="none"/>
        <c:tickLblPos val="none"/>
        <c:crossAx val="293210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A790" totalsRowShown="0" headerRowDxfId="219" dataDxfId="183">
  <autoFilter ref="A2:AA790"/>
  <tableColumns count="27">
    <tableColumn id="1" name="Vertex 1" dataDxfId="168"/>
    <tableColumn id="2" name="Vertex 2" dataDxfId="166"/>
    <tableColumn id="3" name="Color" dataDxfId="167"/>
    <tableColumn id="4" name="Width" dataDxfId="192"/>
    <tableColumn id="11" name="Style" dataDxfId="191"/>
    <tableColumn id="5" name="Opacity" dataDxfId="190"/>
    <tableColumn id="6" name="Visibility" dataDxfId="189"/>
    <tableColumn id="10" name="Label" dataDxfId="188"/>
    <tableColumn id="12" name="Label Text Color" dataDxfId="187"/>
    <tableColumn id="13" name="Label Font Size" dataDxfId="186"/>
    <tableColumn id="14" name="Reciprocated?" dataDxfId="123"/>
    <tableColumn id="7" name="ID" dataDxfId="185"/>
    <tableColumn id="9" name="Dynamic Filter" dataDxfId="184"/>
    <tableColumn id="8" name="Add Your Own Columns Here" dataDxfId="165"/>
    <tableColumn id="15" name="Relationship" dataDxfId="164"/>
    <tableColumn id="16" name="Edge Weight"/>
    <tableColumn id="17" name="Vertex 1 Group" dataDxfId="138">
      <calculatedColumnFormula>REPLACE(INDEX(GroupVertices[Group], MATCH(Edges[[#This Row],[Vertex 1]],GroupVertices[Vertex],0)),1,1,"")</calculatedColumnFormula>
    </tableColumn>
    <tableColumn id="18" name="Vertex 2 Group" dataDxfId="99">
      <calculatedColumnFormula>REPLACE(INDEX(GroupVertices[Group], MATCH(Edges[[#This Row],[Vertex 2]],GroupVertices[Vertex],0)),1,1,"")</calculatedColumnFormula>
    </tableColumn>
    <tableColumn id="19" name="Sentiment List #1: List1 Word Count" dataDxfId="98"/>
    <tableColumn id="20" name="Sentiment List #1: List1 Word Percentage (%)" dataDxfId="97"/>
    <tableColumn id="21" name="Sentiment List #2: List2 Word Count" dataDxfId="96"/>
    <tableColumn id="22" name="Sentiment List #2: List2 Word Percentage (%)" dataDxfId="95"/>
    <tableColumn id="23" name="Sentiment List #3: List3 Word Count" dataDxfId="94"/>
    <tableColumn id="24" name="Sentiment List #3: List3 Word Percentage (%)" dataDxfId="93"/>
    <tableColumn id="25" name="Non-categorized Word Count" dataDxfId="92"/>
    <tableColumn id="26" name="Non-categorized Word Percentage (%)" dataDxfId="91"/>
    <tableColumn id="27" name="Edge Content Word Count" dataDxfId="9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6" totalsRowShown="0" headerRowDxfId="122" dataDxfId="121">
  <autoFilter ref="A1:G526"/>
  <tableColumns count="7">
    <tableColumn id="1" name="Word" dataDxfId="120"/>
    <tableColumn id="2" name="Count" dataDxfId="119"/>
    <tableColumn id="3" name="Salience" dataDxfId="118"/>
    <tableColumn id="4" name="Group" dataDxfId="117"/>
    <tableColumn id="5" name="Word on Sentiment List #1: List1" dataDxfId="116"/>
    <tableColumn id="6" name="Word on Sentiment List #2: List2" dataDxfId="115"/>
    <tableColumn id="7" name="Word on Sentiment List #3: List3" dataDxfId="11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8" totalsRowShown="0" headerRowDxfId="113" dataDxfId="112">
  <autoFilter ref="A1:L388"/>
  <tableColumns count="12">
    <tableColumn id="1" name="Word 1" dataDxfId="111"/>
    <tableColumn id="2" name="Word 2" dataDxfId="110"/>
    <tableColumn id="3" name="Count" dataDxfId="109"/>
    <tableColumn id="4" name="Salience" dataDxfId="108"/>
    <tableColumn id="5" name="Mutual Information" dataDxfId="107"/>
    <tableColumn id="6" name="Group" dataDxfId="106"/>
    <tableColumn id="7" name="Word1 on Sentiment List #1: List1" dataDxfId="105"/>
    <tableColumn id="8" name="Word1 on Sentiment List #2: List2" dataDxfId="104"/>
    <tableColumn id="9" name="Word1 on Sentiment List #3: List3" dataDxfId="103"/>
    <tableColumn id="10" name="Word2 on Sentiment List #1: List1" dataDxfId="102"/>
    <tableColumn id="11" name="Word2 on Sentiment List #2: List2" dataDxfId="101"/>
    <tableColumn id="12" name="Word2 on Sentiment List #3: List3" dataDxfId="10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1" totalsRowShown="0" headerRowDxfId="71" dataDxfId="70">
  <autoFilter ref="A2:C31"/>
  <tableColumns count="3">
    <tableColumn id="1" name="Group 1" dataDxfId="69"/>
    <tableColumn id="2" name="Group 2" dataDxfId="68"/>
    <tableColumn id="3" name="Edges" dataDxfId="67"/>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64" dataDxfId="63">
  <autoFilter ref="A1:B7"/>
  <tableColumns count="2">
    <tableColumn id="1" name="Key" dataDxfId="49"/>
    <tableColumn id="2" name="Value" dataDxfId="48"/>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53" dataDxfId="52">
  <autoFilter ref="A1:B11"/>
  <tableColumns count="2">
    <tableColumn id="1" name="Top 10 Vertices, Ranked by Betweenness Centrality" dataDxfId="51"/>
    <tableColumn id="2" name="Betweenness Centrality" dataDxfId="50"/>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R11" totalsRowShown="0" headerRowDxfId="47" dataDxfId="46">
  <autoFilter ref="A1:R11"/>
  <tableColumns count="18">
    <tableColumn id="1" name="Top Words in Tags in Entire Graph" dataDxfId="45"/>
    <tableColumn id="2" name="Entire Graph Count" dataDxfId="44"/>
    <tableColumn id="3" name="Top Words in Tags in G1" dataDxfId="43"/>
    <tableColumn id="4" name="G1 Count" dataDxfId="42"/>
    <tableColumn id="5" name="Top Words in Tags in G2" dataDxfId="41"/>
    <tableColumn id="6" name="G2 Count" dataDxfId="40"/>
    <tableColumn id="7" name="Top Words in Tags in G3" dataDxfId="39"/>
    <tableColumn id="8" name="G3 Count" dataDxfId="38"/>
    <tableColumn id="9" name="Top Words in Tags in G4" dataDxfId="37"/>
    <tableColumn id="10" name="G4 Count" dataDxfId="36"/>
    <tableColumn id="11" name="Top Words in Tags in G5" dataDxfId="35"/>
    <tableColumn id="12" name="G5 Count" dataDxfId="34"/>
    <tableColumn id="13" name="Top Words in Tags in G6" dataDxfId="33"/>
    <tableColumn id="14" name="G6 Count" dataDxfId="32"/>
    <tableColumn id="15" name="Top Words in Tags in G7" dataDxfId="31"/>
    <tableColumn id="16" name="G7 Count" dataDxfId="30"/>
    <tableColumn id="17" name="Top Words in Tags in G8" dataDxfId="29"/>
    <tableColumn id="18" name="G8 Count" dataDxfId="28"/>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R24" totalsRowShown="0" headerRowDxfId="26" dataDxfId="25">
  <autoFilter ref="A14:R24"/>
  <tableColumns count="18">
    <tableColumn id="1" name="Top Word Pairs in Tags in Entire Graph" dataDxfId="24"/>
    <tableColumn id="2" name="Entire Graph Count" dataDxfId="23"/>
    <tableColumn id="3" name="Top Word Pairs in Tags in G1" dataDxfId="22"/>
    <tableColumn id="4" name="G1 Count" dataDxfId="21"/>
    <tableColumn id="5" name="Top Word Pairs in Tags in G2" dataDxfId="20"/>
    <tableColumn id="6" name="G2 Count" dataDxfId="19"/>
    <tableColumn id="7" name="Top Word Pairs in Tags in G3" dataDxfId="18"/>
    <tableColumn id="8" name="G3 Count" dataDxfId="17"/>
    <tableColumn id="9" name="Top Word Pairs in Tags in G4" dataDxfId="16"/>
    <tableColumn id="10" name="G4 Count" dataDxfId="15"/>
    <tableColumn id="11" name="Top Word Pairs in Tags in G5" dataDxfId="14"/>
    <tableColumn id="12" name="G5 Count" dataDxfId="13"/>
    <tableColumn id="13" name="Top Word Pairs in Tags in G6" dataDxfId="12"/>
    <tableColumn id="14" name="G6 Count" dataDxfId="11"/>
    <tableColumn id="15" name="Top Word Pairs in Tags in G7" dataDxfId="10"/>
    <tableColumn id="16" name="G7 Count" dataDxfId="9"/>
    <tableColumn id="17" name="Top Word Pairs in Tags in G8" dataDxfId="8"/>
    <tableColumn id="18" name="G8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184" totalsRowShown="0" headerRowDxfId="218" dataDxfId="169">
  <autoFilter ref="A2:BB184"/>
  <tableColumns count="54">
    <tableColumn id="1" name="Vertex" dataDxfId="182"/>
    <tableColumn id="2" name="Color" dataDxfId="181"/>
    <tableColumn id="5" name="Shape" dataDxfId="180"/>
    <tableColumn id="6" name="Size" dataDxfId="179"/>
    <tableColumn id="4" name="Opacity" dataDxfId="151"/>
    <tableColumn id="7" name="Image File" dataDxfId="149"/>
    <tableColumn id="3" name="Visibility" dataDxfId="150"/>
    <tableColumn id="10" name="Label" dataDxfId="178"/>
    <tableColumn id="16" name="Label Fill Color" dataDxfId="177"/>
    <tableColumn id="9" name="Label Position" dataDxfId="163"/>
    <tableColumn id="8" name="Tooltip" dataDxfId="161"/>
    <tableColumn id="18" name="Layout Order" dataDxfId="162"/>
    <tableColumn id="13" name="X" dataDxfId="176"/>
    <tableColumn id="14" name="Y" dataDxfId="175"/>
    <tableColumn id="12" name="Locked?" dataDxfId="174"/>
    <tableColumn id="19" name="Polar R" dataDxfId="173"/>
    <tableColumn id="20" name="Polar Angle" dataDxfId="172"/>
    <tableColumn id="21" name="Degree" dataDxfId="60"/>
    <tableColumn id="22" name="In-Degree" dataDxfId="59"/>
    <tableColumn id="23" name="Out-Degree" dataDxfId="57"/>
    <tableColumn id="24" name="Betweenness Centrality" dataDxfId="58"/>
    <tableColumn id="25" name="Closeness Centrality" dataDxfId="62"/>
    <tableColumn id="26" name="Eigenvector Centrality" dataDxfId="61"/>
    <tableColumn id="15" name="PageRank" dataDxfId="56"/>
    <tableColumn id="27" name="Clustering Coefficient" dataDxfId="54"/>
    <tableColumn id="29" name="Reciprocated Vertex Pair Ratio" dataDxfId="55"/>
    <tableColumn id="11" name="ID" dataDxfId="171"/>
    <tableColumn id="28" name="Dynamic Filter" dataDxfId="170"/>
    <tableColumn id="17" name="Add Your Own Columns Here" dataDxfId="160"/>
    <tableColumn id="30" name="Title" dataDxfId="159"/>
    <tableColumn id="31" name="Description" dataDxfId="158"/>
    <tableColumn id="32" name="Tags" dataDxfId="157"/>
    <tableColumn id="33" name="Author" dataDxfId="156"/>
    <tableColumn id="34" name="Created Date (UTC)" dataDxfId="155"/>
    <tableColumn id="35" name="Views" dataDxfId="154"/>
    <tableColumn id="36" name="Comments" dataDxfId="153"/>
    <tableColumn id="37" name="Likes Count" dataDxfId="152"/>
    <tableColumn id="38" name="Dislikes Count" dataDxfId="148"/>
    <tableColumn id="39" name="Custom Menu Item Text" dataDxfId="147"/>
    <tableColumn id="40" name="Custom Menu Item Action" dataDxfId="139"/>
    <tableColumn id="41" name="Vertex Group" dataDxfId="89">
      <calculatedColumnFormula>REPLACE(INDEX(GroupVertices[Group], MATCH(Vertices[[#This Row],[Vertex]],GroupVertices[Vertex],0)),1,1,"")</calculatedColumnFormula>
    </tableColumn>
    <tableColumn id="42" name="Sentiment List #1: List1 Word Count" dataDxfId="88"/>
    <tableColumn id="43" name="Sentiment List #1: List1 Word Percentage (%)" dataDxfId="87"/>
    <tableColumn id="44" name="Sentiment List #2: List2 Word Count" dataDxfId="86"/>
    <tableColumn id="45" name="Sentiment List #2: List2 Word Percentage (%)" dataDxfId="85"/>
    <tableColumn id="46" name="Sentiment List #3: List3 Word Count" dataDxfId="84"/>
    <tableColumn id="47" name="Sentiment List #3: List3 Word Percentage (%)" dataDxfId="83"/>
    <tableColumn id="48" name="Non-categorized Word Count" dataDxfId="82"/>
    <tableColumn id="49" name="Non-categorized Word Percentage (%)" dataDxfId="81"/>
    <tableColumn id="50" name="Vertex Content Word Count" dataDxfId="4"/>
    <tableColumn id="51" name="Top Words in Tags by Count" dataDxfId="3"/>
    <tableColumn id="52" name="Top Words in Tags by Salience" dataDxfId="2"/>
    <tableColumn id="53" name="Top Word Pairs in Tags by Count" dataDxfId="1"/>
    <tableColumn id="54"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0" totalsRowShown="0" headerRowDxfId="217">
  <autoFilter ref="A2:AI10"/>
  <tableColumns count="35">
    <tableColumn id="1" name="Group" dataDxfId="146"/>
    <tableColumn id="2" name="Vertex Color" dataDxfId="145"/>
    <tableColumn id="3" name="Vertex Shape" dataDxfId="143"/>
    <tableColumn id="22" name="Visibility" dataDxfId="144"/>
    <tableColumn id="4" name="Collapsed?"/>
    <tableColumn id="18" name="Label" dataDxfId="216"/>
    <tableColumn id="20" name="Collapsed X"/>
    <tableColumn id="21" name="Collapsed Y"/>
    <tableColumn id="6" name="ID" dataDxfId="215"/>
    <tableColumn id="19" name="Collapsed Properties" dataDxfId="137"/>
    <tableColumn id="5" name="Vertices" dataDxfId="136"/>
    <tableColumn id="7" name="Unique Edges" dataDxfId="135"/>
    <tableColumn id="8" name="Edges With Duplicates" dataDxfId="134"/>
    <tableColumn id="9" name="Total Edges" dataDxfId="133"/>
    <tableColumn id="10" name="Self-Loops" dataDxfId="132"/>
    <tableColumn id="24" name="Reciprocated Vertex Pair Ratio" dataDxfId="131"/>
    <tableColumn id="25" name="Reciprocated Edge Ratio" dataDxfId="130"/>
    <tableColumn id="11" name="Connected Components" dataDxfId="129"/>
    <tableColumn id="12" name="Single-Vertex Connected Components" dataDxfId="128"/>
    <tableColumn id="13" name="Maximum Vertices in a Connected Component" dataDxfId="127"/>
    <tableColumn id="14" name="Maximum Edges in a Connected Component" dataDxfId="126"/>
    <tableColumn id="15" name="Maximum Geodesic Distance (Diameter)" dataDxfId="125"/>
    <tableColumn id="16" name="Average Geodesic Distance" dataDxfId="124"/>
    <tableColumn id="17" name="Graph Density" dataDxfId="80"/>
    <tableColumn id="23" name="Sentiment List #1: List1 Word Count" dataDxfId="79"/>
    <tableColumn id="26" name="Sentiment List #1: List1 Word Percentage (%)" dataDxfId="78"/>
    <tableColumn id="27" name="Sentiment List #2: List2 Word Count" dataDxfId="77"/>
    <tableColumn id="28" name="Sentiment List #2: List2 Word Percentage (%)" dataDxfId="76"/>
    <tableColumn id="29" name="Sentiment List #3: List3 Word Count" dataDxfId="75"/>
    <tableColumn id="30" name="Sentiment List #3: List3 Word Percentage (%)" dataDxfId="74"/>
    <tableColumn id="31" name="Non-categorized Word Count" dataDxfId="73"/>
    <tableColumn id="32" name="Non-categorized Word Percentage (%)" dataDxfId="72"/>
    <tableColumn id="33" name="Group Content Word Count" dataDxfId="27"/>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3" totalsRowShown="0" headerRowDxfId="214" dataDxfId="213">
  <autoFilter ref="A1:C183"/>
  <tableColumns count="3">
    <tableColumn id="1" name="Group" dataDxfId="142"/>
    <tableColumn id="2" name="Vertex" dataDxfId="141"/>
    <tableColumn id="3" name="Vertex ID" dataDxfId="1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66"/>
    <tableColumn id="2" name="Value" dataDxfId="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12"/>
    <tableColumn id="2" name="Degree Frequency" dataDxfId="211">
      <calculatedColumnFormula>COUNTIF(Vertices[Degree], "&gt;= " &amp; D2) - COUNTIF(Vertices[Degree], "&gt;=" &amp; D3)</calculatedColumnFormula>
    </tableColumn>
    <tableColumn id="3" name="In-Degree Bin" dataDxfId="210"/>
    <tableColumn id="4" name="In-Degree Frequency" dataDxfId="209">
      <calculatedColumnFormula>COUNTIF(Vertices[In-Degree], "&gt;= " &amp; F2) - COUNTIF(Vertices[In-Degree], "&gt;=" &amp; F3)</calculatedColumnFormula>
    </tableColumn>
    <tableColumn id="5" name="Out-Degree Bin" dataDxfId="208"/>
    <tableColumn id="6" name="Out-Degree Frequency" dataDxfId="207">
      <calculatedColumnFormula>COUNTIF(Vertices[Out-Degree], "&gt;= " &amp; H2) - COUNTIF(Vertices[Out-Degree], "&gt;=" &amp; H3)</calculatedColumnFormula>
    </tableColumn>
    <tableColumn id="7" name="Betweenness Centrality Bin" dataDxfId="206"/>
    <tableColumn id="8" name="Betweenness Centrality Frequency" dataDxfId="205">
      <calculatedColumnFormula>COUNTIF(Vertices[Betweenness Centrality], "&gt;= " &amp; J2) - COUNTIF(Vertices[Betweenness Centrality], "&gt;=" &amp; J3)</calculatedColumnFormula>
    </tableColumn>
    <tableColumn id="9" name="Closeness Centrality Bin" dataDxfId="204"/>
    <tableColumn id="10" name="Closeness Centrality Frequency" dataDxfId="203">
      <calculatedColumnFormula>COUNTIF(Vertices[Closeness Centrality], "&gt;= " &amp; L2) - COUNTIF(Vertices[Closeness Centrality], "&gt;=" &amp; L3)</calculatedColumnFormula>
    </tableColumn>
    <tableColumn id="11" name="Eigenvector Centrality Bin" dataDxfId="202"/>
    <tableColumn id="12" name="Eigenvector Centrality Frequency" dataDxfId="201">
      <calculatedColumnFormula>COUNTIF(Vertices[Eigenvector Centrality], "&gt;= " &amp; N2) - COUNTIF(Vertices[Eigenvector Centrality], "&gt;=" &amp; N3)</calculatedColumnFormula>
    </tableColumn>
    <tableColumn id="18" name="PageRank Bin" dataDxfId="200"/>
    <tableColumn id="17" name="PageRank Frequency" dataDxfId="199">
      <calculatedColumnFormula>COUNTIF(Vertices[Eigenvector Centrality], "&gt;= " &amp; P2) - COUNTIF(Vertices[Eigenvector Centrality], "&gt;=" &amp; P3)</calculatedColumnFormula>
    </tableColumn>
    <tableColumn id="13" name="Clustering Coefficient Bin" dataDxfId="198"/>
    <tableColumn id="14" name="Clustering Coefficient Frequency" dataDxfId="197">
      <calculatedColumnFormula>COUNTIF(Vertices[Clustering Coefficient], "&gt;= " &amp; R2) - COUNTIF(Vertices[Clustering Coefficient], "&gt;=" &amp; R3)</calculatedColumnFormula>
    </tableColumn>
    <tableColumn id="15" name="Dynamic Filter Bin" dataDxfId="196"/>
    <tableColumn id="16" name="Dynamic Filter Frequency" dataDxfId="1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customWidth="1"/>
    <col min="17" max="18" width="11.140625" style="0" bestFit="1" customWidth="1"/>
    <col min="19" max="19" width="19.7109375" style="0" bestFit="1" customWidth="1"/>
    <col min="20" max="20" width="24.28125" style="0" bestFit="1" customWidth="1"/>
    <col min="21" max="21" width="19.7109375" style="0" bestFit="1" customWidth="1"/>
    <col min="22" max="22" width="24.28125" style="0" bestFit="1" customWidth="1"/>
    <col min="23" max="23" width="19.7109375" style="0" bestFit="1" customWidth="1"/>
    <col min="24" max="24" width="24.28125" style="0" bestFit="1" customWidth="1"/>
    <col min="25" max="25" width="18.57421875" style="0" bestFit="1" customWidth="1"/>
    <col min="26" max="26" width="22.28125" style="0" bestFit="1" customWidth="1"/>
    <col min="27" max="27" width="15.7109375" style="0" bestFit="1" customWidth="1"/>
  </cols>
  <sheetData>
    <row r="1" spans="3:14" ht="15">
      <c r="C1" s="17" t="s">
        <v>39</v>
      </c>
      <c r="D1" s="18"/>
      <c r="E1" s="18"/>
      <c r="F1" s="18"/>
      <c r="G1" s="17"/>
      <c r="H1" s="15" t="s">
        <v>43</v>
      </c>
      <c r="I1" s="52"/>
      <c r="J1" s="52"/>
      <c r="K1" s="34" t="s">
        <v>42</v>
      </c>
      <c r="L1" s="19" t="s">
        <v>40</v>
      </c>
      <c r="M1" s="19"/>
      <c r="N1" s="16" t="s">
        <v>41</v>
      </c>
    </row>
    <row r="2" spans="1:2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t="s">
        <v>1175</v>
      </c>
      <c r="Q2" s="13" t="s">
        <v>1193</v>
      </c>
      <c r="R2" s="13" t="s">
        <v>1194</v>
      </c>
      <c r="S2" s="54" t="s">
        <v>1463</v>
      </c>
      <c r="T2" s="54" t="s">
        <v>1464</v>
      </c>
      <c r="U2" s="54" t="s">
        <v>1465</v>
      </c>
      <c r="V2" s="54" t="s">
        <v>1466</v>
      </c>
      <c r="W2" s="54" t="s">
        <v>1467</v>
      </c>
      <c r="X2" s="54" t="s">
        <v>1468</v>
      </c>
      <c r="Y2" s="54" t="s">
        <v>1469</v>
      </c>
      <c r="Z2" s="54" t="s">
        <v>1470</v>
      </c>
      <c r="AA2" s="54" t="s">
        <v>1471</v>
      </c>
    </row>
    <row r="3" spans="1:27" ht="15" customHeight="1">
      <c r="A3" s="65" t="s">
        <v>195</v>
      </c>
      <c r="B3" s="65" t="s">
        <v>376</v>
      </c>
      <c r="C3" s="66" t="s">
        <v>1612</v>
      </c>
      <c r="D3" s="67">
        <v>5</v>
      </c>
      <c r="E3" s="68"/>
      <c r="F3" s="69">
        <v>25</v>
      </c>
      <c r="G3" s="66"/>
      <c r="H3" s="70"/>
      <c r="I3" s="71"/>
      <c r="J3" s="71"/>
      <c r="K3" s="35" t="s">
        <v>65</v>
      </c>
      <c r="L3" s="72">
        <v>3</v>
      </c>
      <c r="M3" s="72"/>
      <c r="N3" s="73"/>
      <c r="O3" s="80" t="s">
        <v>377</v>
      </c>
      <c r="P3">
        <v>1</v>
      </c>
      <c r="Q3" s="80" t="str">
        <f>REPLACE(INDEX(GroupVertices[Group],MATCH(Edges[[#This Row],[Vertex 1]],GroupVertices[Vertex],0)),1,1,"")</f>
        <v>2</v>
      </c>
      <c r="R3" s="80" t="str">
        <f>REPLACE(INDEX(GroupVertices[Group],MATCH(Edges[[#This Row],[Vertex 2]],GroupVertices[Vertex],0)),1,1,"")</f>
        <v>2</v>
      </c>
      <c r="S3" s="35"/>
      <c r="T3" s="35"/>
      <c r="U3" s="35"/>
      <c r="V3" s="35"/>
      <c r="W3" s="35"/>
      <c r="X3" s="35"/>
      <c r="Y3" s="35"/>
      <c r="Z3" s="35"/>
      <c r="AA3" s="35"/>
    </row>
    <row r="4" spans="1:27" ht="15" customHeight="1">
      <c r="A4" s="65" t="s">
        <v>195</v>
      </c>
      <c r="B4" s="65" t="s">
        <v>235</v>
      </c>
      <c r="C4" s="66" t="s">
        <v>1612</v>
      </c>
      <c r="D4" s="67">
        <v>5</v>
      </c>
      <c r="E4" s="68"/>
      <c r="F4" s="69">
        <v>25</v>
      </c>
      <c r="G4" s="66"/>
      <c r="H4" s="70"/>
      <c r="I4" s="71"/>
      <c r="J4" s="71"/>
      <c r="K4" s="35" t="s">
        <v>65</v>
      </c>
      <c r="L4" s="79">
        <v>4</v>
      </c>
      <c r="M4" s="79"/>
      <c r="N4" s="73"/>
      <c r="O4" s="81" t="s">
        <v>377</v>
      </c>
      <c r="P4">
        <v>1</v>
      </c>
      <c r="Q4" s="80" t="str">
        <f>REPLACE(INDEX(GroupVertices[Group],MATCH(Edges[[#This Row],[Vertex 1]],GroupVertices[Vertex],0)),1,1,"")</f>
        <v>2</v>
      </c>
      <c r="R4" s="80" t="str">
        <f>REPLACE(INDEX(GroupVertices[Group],MATCH(Edges[[#This Row],[Vertex 2]],GroupVertices[Vertex],0)),1,1,"")</f>
        <v>2</v>
      </c>
      <c r="S4" s="35"/>
      <c r="T4" s="35"/>
      <c r="U4" s="35"/>
      <c r="V4" s="35"/>
      <c r="W4" s="35"/>
      <c r="X4" s="35"/>
      <c r="Y4" s="35"/>
      <c r="Z4" s="35"/>
      <c r="AA4" s="35"/>
    </row>
    <row r="5" spans="1:27" ht="15">
      <c r="A5" s="65" t="s">
        <v>196</v>
      </c>
      <c r="B5" s="65" t="s">
        <v>236</v>
      </c>
      <c r="C5" s="66" t="s">
        <v>1612</v>
      </c>
      <c r="D5" s="67">
        <v>5</v>
      </c>
      <c r="E5" s="68"/>
      <c r="F5" s="69">
        <v>25</v>
      </c>
      <c r="G5" s="66"/>
      <c r="H5" s="70"/>
      <c r="I5" s="71"/>
      <c r="J5" s="71"/>
      <c r="K5" s="35" t="s">
        <v>65</v>
      </c>
      <c r="L5" s="79">
        <v>5</v>
      </c>
      <c r="M5" s="79"/>
      <c r="N5" s="73"/>
      <c r="O5" s="81" t="s">
        <v>377</v>
      </c>
      <c r="P5">
        <v>1</v>
      </c>
      <c r="Q5" s="80" t="str">
        <f>REPLACE(INDEX(GroupVertices[Group],MATCH(Edges[[#This Row],[Vertex 1]],GroupVertices[Vertex],0)),1,1,"")</f>
        <v>1</v>
      </c>
      <c r="R5" s="80" t="str">
        <f>REPLACE(INDEX(GroupVertices[Group],MATCH(Edges[[#This Row],[Vertex 2]],GroupVertices[Vertex],0)),1,1,"")</f>
        <v>1</v>
      </c>
      <c r="S5" s="35"/>
      <c r="T5" s="35"/>
      <c r="U5" s="35"/>
      <c r="V5" s="35"/>
      <c r="W5" s="35"/>
      <c r="X5" s="35"/>
      <c r="Y5" s="35"/>
      <c r="Z5" s="35"/>
      <c r="AA5" s="35"/>
    </row>
    <row r="6" spans="1:27" ht="15">
      <c r="A6" s="65" t="s">
        <v>196</v>
      </c>
      <c r="B6" s="65" t="s">
        <v>237</v>
      </c>
      <c r="C6" s="66" t="s">
        <v>1612</v>
      </c>
      <c r="D6" s="67">
        <v>5</v>
      </c>
      <c r="E6" s="68"/>
      <c r="F6" s="69">
        <v>25</v>
      </c>
      <c r="G6" s="66"/>
      <c r="H6" s="70"/>
      <c r="I6" s="71"/>
      <c r="J6" s="71"/>
      <c r="K6" s="35" t="s">
        <v>65</v>
      </c>
      <c r="L6" s="79">
        <v>6</v>
      </c>
      <c r="M6" s="79"/>
      <c r="N6" s="73"/>
      <c r="O6" s="81" t="s">
        <v>377</v>
      </c>
      <c r="P6">
        <v>1</v>
      </c>
      <c r="Q6" s="80" t="str">
        <f>REPLACE(INDEX(GroupVertices[Group],MATCH(Edges[[#This Row],[Vertex 1]],GroupVertices[Vertex],0)),1,1,"")</f>
        <v>1</v>
      </c>
      <c r="R6" s="80" t="str">
        <f>REPLACE(INDEX(GroupVertices[Group],MATCH(Edges[[#This Row],[Vertex 2]],GroupVertices[Vertex],0)),1,1,"")</f>
        <v>1</v>
      </c>
      <c r="S6" s="35"/>
      <c r="T6" s="35"/>
      <c r="U6" s="35"/>
      <c r="V6" s="35"/>
      <c r="W6" s="35"/>
      <c r="X6" s="35"/>
      <c r="Y6" s="35"/>
      <c r="Z6" s="35"/>
      <c r="AA6" s="35"/>
    </row>
    <row r="7" spans="1:27" ht="15">
      <c r="A7" s="65" t="s">
        <v>196</v>
      </c>
      <c r="B7" s="65" t="s">
        <v>238</v>
      </c>
      <c r="C7" s="66" t="s">
        <v>1612</v>
      </c>
      <c r="D7" s="67">
        <v>5</v>
      </c>
      <c r="E7" s="68"/>
      <c r="F7" s="69">
        <v>25</v>
      </c>
      <c r="G7" s="66"/>
      <c r="H7" s="70"/>
      <c r="I7" s="71"/>
      <c r="J7" s="71"/>
      <c r="K7" s="35" t="s">
        <v>65</v>
      </c>
      <c r="L7" s="79">
        <v>7</v>
      </c>
      <c r="M7" s="79"/>
      <c r="N7" s="73"/>
      <c r="O7" s="81" t="s">
        <v>377</v>
      </c>
      <c r="P7">
        <v>1</v>
      </c>
      <c r="Q7" s="80" t="str">
        <f>REPLACE(INDEX(GroupVertices[Group],MATCH(Edges[[#This Row],[Vertex 1]],GroupVertices[Vertex],0)),1,1,"")</f>
        <v>1</v>
      </c>
      <c r="R7" s="80" t="str">
        <f>REPLACE(INDEX(GroupVertices[Group],MATCH(Edges[[#This Row],[Vertex 2]],GroupVertices[Vertex],0)),1,1,"")</f>
        <v>1</v>
      </c>
      <c r="S7" s="35"/>
      <c r="T7" s="35"/>
      <c r="U7" s="35"/>
      <c r="V7" s="35"/>
      <c r="W7" s="35"/>
      <c r="X7" s="35"/>
      <c r="Y7" s="35"/>
      <c r="Z7" s="35"/>
      <c r="AA7" s="35"/>
    </row>
    <row r="8" spans="1:27" ht="15">
      <c r="A8" s="65" t="s">
        <v>196</v>
      </c>
      <c r="B8" s="65" t="s">
        <v>239</v>
      </c>
      <c r="C8" s="66" t="s">
        <v>1612</v>
      </c>
      <c r="D8" s="67">
        <v>5</v>
      </c>
      <c r="E8" s="68"/>
      <c r="F8" s="69">
        <v>25</v>
      </c>
      <c r="G8" s="66"/>
      <c r="H8" s="70"/>
      <c r="I8" s="71"/>
      <c r="J8" s="71"/>
      <c r="K8" s="35" t="s">
        <v>65</v>
      </c>
      <c r="L8" s="79">
        <v>8</v>
      </c>
      <c r="M8" s="79"/>
      <c r="N8" s="73"/>
      <c r="O8" s="81" t="s">
        <v>377</v>
      </c>
      <c r="P8">
        <v>1</v>
      </c>
      <c r="Q8" s="80" t="str">
        <f>REPLACE(INDEX(GroupVertices[Group],MATCH(Edges[[#This Row],[Vertex 1]],GroupVertices[Vertex],0)),1,1,"")</f>
        <v>1</v>
      </c>
      <c r="R8" s="80" t="str">
        <f>REPLACE(INDEX(GroupVertices[Group],MATCH(Edges[[#This Row],[Vertex 2]],GroupVertices[Vertex],0)),1,1,"")</f>
        <v>1</v>
      </c>
      <c r="S8" s="35"/>
      <c r="T8" s="35"/>
      <c r="U8" s="35"/>
      <c r="V8" s="35"/>
      <c r="W8" s="35"/>
      <c r="X8" s="35"/>
      <c r="Y8" s="35"/>
      <c r="Z8" s="35"/>
      <c r="AA8" s="35"/>
    </row>
    <row r="9" spans="1:27" ht="15">
      <c r="A9" s="65" t="s">
        <v>197</v>
      </c>
      <c r="B9" s="65" t="s">
        <v>240</v>
      </c>
      <c r="C9" s="66" t="s">
        <v>1612</v>
      </c>
      <c r="D9" s="67">
        <v>5</v>
      </c>
      <c r="E9" s="68"/>
      <c r="F9" s="69">
        <v>25</v>
      </c>
      <c r="G9" s="66"/>
      <c r="H9" s="70"/>
      <c r="I9" s="71"/>
      <c r="J9" s="71"/>
      <c r="K9" s="35" t="s">
        <v>65</v>
      </c>
      <c r="L9" s="79">
        <v>9</v>
      </c>
      <c r="M9" s="79"/>
      <c r="N9" s="73"/>
      <c r="O9" s="81" t="s">
        <v>377</v>
      </c>
      <c r="P9">
        <v>1</v>
      </c>
      <c r="Q9" s="80" t="str">
        <f>REPLACE(INDEX(GroupVertices[Group],MATCH(Edges[[#This Row],[Vertex 1]],GroupVertices[Vertex],0)),1,1,"")</f>
        <v>6</v>
      </c>
      <c r="R9" s="80" t="str">
        <f>REPLACE(INDEX(GroupVertices[Group],MATCH(Edges[[#This Row],[Vertex 2]],GroupVertices[Vertex],0)),1,1,"")</f>
        <v>6</v>
      </c>
      <c r="S9" s="35"/>
      <c r="T9" s="35"/>
      <c r="U9" s="35"/>
      <c r="V9" s="35"/>
      <c r="W9" s="35"/>
      <c r="X9" s="35"/>
      <c r="Y9" s="35"/>
      <c r="Z9" s="35"/>
      <c r="AA9" s="35"/>
    </row>
    <row r="10" spans="1:27" ht="15">
      <c r="A10" s="65" t="s">
        <v>197</v>
      </c>
      <c r="B10" s="65" t="s">
        <v>241</v>
      </c>
      <c r="C10" s="66" t="s">
        <v>1612</v>
      </c>
      <c r="D10" s="67">
        <v>5</v>
      </c>
      <c r="E10" s="68"/>
      <c r="F10" s="69">
        <v>25</v>
      </c>
      <c r="G10" s="66"/>
      <c r="H10" s="70"/>
      <c r="I10" s="71"/>
      <c r="J10" s="71"/>
      <c r="K10" s="35" t="s">
        <v>65</v>
      </c>
      <c r="L10" s="79">
        <v>10</v>
      </c>
      <c r="M10" s="79"/>
      <c r="N10" s="73"/>
      <c r="O10" s="81" t="s">
        <v>377</v>
      </c>
      <c r="P10">
        <v>1</v>
      </c>
      <c r="Q10" s="80" t="str">
        <f>REPLACE(INDEX(GroupVertices[Group],MATCH(Edges[[#This Row],[Vertex 1]],GroupVertices[Vertex],0)),1,1,"")</f>
        <v>6</v>
      </c>
      <c r="R10" s="80" t="str">
        <f>REPLACE(INDEX(GroupVertices[Group],MATCH(Edges[[#This Row],[Vertex 2]],GroupVertices[Vertex],0)),1,1,"")</f>
        <v>6</v>
      </c>
      <c r="S10" s="35"/>
      <c r="T10" s="35"/>
      <c r="U10" s="35"/>
      <c r="V10" s="35"/>
      <c r="W10" s="35"/>
      <c r="X10" s="35"/>
      <c r="Y10" s="35"/>
      <c r="Z10" s="35"/>
      <c r="AA10" s="35"/>
    </row>
    <row r="11" spans="1:27" ht="15">
      <c r="A11" s="65" t="s">
        <v>197</v>
      </c>
      <c r="B11" s="65" t="s">
        <v>242</v>
      </c>
      <c r="C11" s="66" t="s">
        <v>1612</v>
      </c>
      <c r="D11" s="67">
        <v>5</v>
      </c>
      <c r="E11" s="68"/>
      <c r="F11" s="69">
        <v>25</v>
      </c>
      <c r="G11" s="66"/>
      <c r="H11" s="70"/>
      <c r="I11" s="71"/>
      <c r="J11" s="71"/>
      <c r="K11" s="35" t="s">
        <v>65</v>
      </c>
      <c r="L11" s="79">
        <v>11</v>
      </c>
      <c r="M11" s="79"/>
      <c r="N11" s="73"/>
      <c r="O11" s="81" t="s">
        <v>377</v>
      </c>
      <c r="P11">
        <v>1</v>
      </c>
      <c r="Q11" s="80" t="str">
        <f>REPLACE(INDEX(GroupVertices[Group],MATCH(Edges[[#This Row],[Vertex 1]],GroupVertices[Vertex],0)),1,1,"")</f>
        <v>6</v>
      </c>
      <c r="R11" s="80" t="str">
        <f>REPLACE(INDEX(GroupVertices[Group],MATCH(Edges[[#This Row],[Vertex 2]],GroupVertices[Vertex],0)),1,1,"")</f>
        <v>6</v>
      </c>
      <c r="S11" s="35"/>
      <c r="T11" s="35"/>
      <c r="U11" s="35"/>
      <c r="V11" s="35"/>
      <c r="W11" s="35"/>
      <c r="X11" s="35"/>
      <c r="Y11" s="35"/>
      <c r="Z11" s="35"/>
      <c r="AA11" s="35"/>
    </row>
    <row r="12" spans="1:27" ht="15">
      <c r="A12" s="65" t="s">
        <v>197</v>
      </c>
      <c r="B12" s="65" t="s">
        <v>243</v>
      </c>
      <c r="C12" s="66" t="s">
        <v>1612</v>
      </c>
      <c r="D12" s="67">
        <v>5</v>
      </c>
      <c r="E12" s="68"/>
      <c r="F12" s="69">
        <v>25</v>
      </c>
      <c r="G12" s="66"/>
      <c r="H12" s="70"/>
      <c r="I12" s="71"/>
      <c r="J12" s="71"/>
      <c r="K12" s="35" t="s">
        <v>65</v>
      </c>
      <c r="L12" s="79">
        <v>12</v>
      </c>
      <c r="M12" s="79"/>
      <c r="N12" s="73"/>
      <c r="O12" s="81" t="s">
        <v>377</v>
      </c>
      <c r="P12">
        <v>1</v>
      </c>
      <c r="Q12" s="80" t="str">
        <f>REPLACE(INDEX(GroupVertices[Group],MATCH(Edges[[#This Row],[Vertex 1]],GroupVertices[Vertex],0)),1,1,"")</f>
        <v>6</v>
      </c>
      <c r="R12" s="80" t="str">
        <f>REPLACE(INDEX(GroupVertices[Group],MATCH(Edges[[#This Row],[Vertex 2]],GroupVertices[Vertex],0)),1,1,"")</f>
        <v>6</v>
      </c>
      <c r="S12" s="35"/>
      <c r="T12" s="35"/>
      <c r="U12" s="35"/>
      <c r="V12" s="35"/>
      <c r="W12" s="35"/>
      <c r="X12" s="35"/>
      <c r="Y12" s="35"/>
      <c r="Z12" s="35"/>
      <c r="AA12" s="35"/>
    </row>
    <row r="13" spans="1:27" ht="15">
      <c r="A13" s="65" t="s">
        <v>197</v>
      </c>
      <c r="B13" s="65" t="s">
        <v>244</v>
      </c>
      <c r="C13" s="66" t="s">
        <v>1612</v>
      </c>
      <c r="D13" s="67">
        <v>5</v>
      </c>
      <c r="E13" s="68"/>
      <c r="F13" s="69">
        <v>25</v>
      </c>
      <c r="G13" s="66"/>
      <c r="H13" s="70"/>
      <c r="I13" s="71"/>
      <c r="J13" s="71"/>
      <c r="K13" s="35" t="s">
        <v>65</v>
      </c>
      <c r="L13" s="79">
        <v>13</v>
      </c>
      <c r="M13" s="79"/>
      <c r="N13" s="73"/>
      <c r="O13" s="81" t="s">
        <v>377</v>
      </c>
      <c r="P13">
        <v>1</v>
      </c>
      <c r="Q13" s="80" t="str">
        <f>REPLACE(INDEX(GroupVertices[Group],MATCH(Edges[[#This Row],[Vertex 1]],GroupVertices[Vertex],0)),1,1,"")</f>
        <v>6</v>
      </c>
      <c r="R13" s="80" t="str">
        <f>REPLACE(INDEX(GroupVertices[Group],MATCH(Edges[[#This Row],[Vertex 2]],GroupVertices[Vertex],0)),1,1,"")</f>
        <v>6</v>
      </c>
      <c r="S13" s="35"/>
      <c r="T13" s="35"/>
      <c r="U13" s="35"/>
      <c r="V13" s="35"/>
      <c r="W13" s="35"/>
      <c r="X13" s="35"/>
      <c r="Y13" s="35"/>
      <c r="Z13" s="35"/>
      <c r="AA13" s="35"/>
    </row>
    <row r="14" spans="1:27" ht="15">
      <c r="A14" s="65" t="s">
        <v>197</v>
      </c>
      <c r="B14" s="65" t="s">
        <v>245</v>
      </c>
      <c r="C14" s="66" t="s">
        <v>1612</v>
      </c>
      <c r="D14" s="67">
        <v>5</v>
      </c>
      <c r="E14" s="68"/>
      <c r="F14" s="69">
        <v>25</v>
      </c>
      <c r="G14" s="66"/>
      <c r="H14" s="70"/>
      <c r="I14" s="71"/>
      <c r="J14" s="71"/>
      <c r="K14" s="35" t="s">
        <v>65</v>
      </c>
      <c r="L14" s="79">
        <v>14</v>
      </c>
      <c r="M14" s="79"/>
      <c r="N14" s="73"/>
      <c r="O14" s="81" t="s">
        <v>377</v>
      </c>
      <c r="P14">
        <v>1</v>
      </c>
      <c r="Q14" s="80" t="str">
        <f>REPLACE(INDEX(GroupVertices[Group],MATCH(Edges[[#This Row],[Vertex 1]],GroupVertices[Vertex],0)),1,1,"")</f>
        <v>6</v>
      </c>
      <c r="R14" s="80" t="str">
        <f>REPLACE(INDEX(GroupVertices[Group],MATCH(Edges[[#This Row],[Vertex 2]],GroupVertices[Vertex],0)),1,1,"")</f>
        <v>6</v>
      </c>
      <c r="S14" s="35"/>
      <c r="T14" s="35"/>
      <c r="U14" s="35"/>
      <c r="V14" s="35"/>
      <c r="W14" s="35"/>
      <c r="X14" s="35"/>
      <c r="Y14" s="35"/>
      <c r="Z14" s="35"/>
      <c r="AA14" s="35"/>
    </row>
    <row r="15" spans="1:27" ht="15">
      <c r="A15" s="65" t="s">
        <v>197</v>
      </c>
      <c r="B15" s="65" t="s">
        <v>246</v>
      </c>
      <c r="C15" s="66" t="s">
        <v>1612</v>
      </c>
      <c r="D15" s="67">
        <v>5</v>
      </c>
      <c r="E15" s="68"/>
      <c r="F15" s="69">
        <v>25</v>
      </c>
      <c r="G15" s="66"/>
      <c r="H15" s="70"/>
      <c r="I15" s="71"/>
      <c r="J15" s="71"/>
      <c r="K15" s="35" t="s">
        <v>65</v>
      </c>
      <c r="L15" s="79">
        <v>15</v>
      </c>
      <c r="M15" s="79"/>
      <c r="N15" s="73"/>
      <c r="O15" s="81" t="s">
        <v>377</v>
      </c>
      <c r="P15">
        <v>1</v>
      </c>
      <c r="Q15" s="80" t="str">
        <f>REPLACE(INDEX(GroupVertices[Group],MATCH(Edges[[#This Row],[Vertex 1]],GroupVertices[Vertex],0)),1,1,"")</f>
        <v>6</v>
      </c>
      <c r="R15" s="80" t="str">
        <f>REPLACE(INDEX(GroupVertices[Group],MATCH(Edges[[#This Row],[Vertex 2]],GroupVertices[Vertex],0)),1,1,"")</f>
        <v>6</v>
      </c>
      <c r="S15" s="35"/>
      <c r="T15" s="35"/>
      <c r="U15" s="35"/>
      <c r="V15" s="35"/>
      <c r="W15" s="35"/>
      <c r="X15" s="35"/>
      <c r="Y15" s="35"/>
      <c r="Z15" s="35"/>
      <c r="AA15" s="35"/>
    </row>
    <row r="16" spans="1:27" ht="15">
      <c r="A16" s="65" t="s">
        <v>197</v>
      </c>
      <c r="B16" s="65" t="s">
        <v>247</v>
      </c>
      <c r="C16" s="66" t="s">
        <v>1612</v>
      </c>
      <c r="D16" s="67">
        <v>5</v>
      </c>
      <c r="E16" s="68"/>
      <c r="F16" s="69">
        <v>25</v>
      </c>
      <c r="G16" s="66"/>
      <c r="H16" s="70"/>
      <c r="I16" s="71"/>
      <c r="J16" s="71"/>
      <c r="K16" s="35" t="s">
        <v>65</v>
      </c>
      <c r="L16" s="79">
        <v>16</v>
      </c>
      <c r="M16" s="79"/>
      <c r="N16" s="73"/>
      <c r="O16" s="81" t="s">
        <v>377</v>
      </c>
      <c r="P16">
        <v>1</v>
      </c>
      <c r="Q16" s="80" t="str">
        <f>REPLACE(INDEX(GroupVertices[Group],MATCH(Edges[[#This Row],[Vertex 1]],GroupVertices[Vertex],0)),1,1,"")</f>
        <v>6</v>
      </c>
      <c r="R16" s="80" t="str">
        <f>REPLACE(INDEX(GroupVertices[Group],MATCH(Edges[[#This Row],[Vertex 2]],GroupVertices[Vertex],0)),1,1,"")</f>
        <v>6</v>
      </c>
      <c r="S16" s="35"/>
      <c r="T16" s="35"/>
      <c r="U16" s="35"/>
      <c r="V16" s="35"/>
      <c r="W16" s="35"/>
      <c r="X16" s="35"/>
      <c r="Y16" s="35"/>
      <c r="Z16" s="35"/>
      <c r="AA16" s="35"/>
    </row>
    <row r="17" spans="1:27" ht="15">
      <c r="A17" s="65" t="s">
        <v>197</v>
      </c>
      <c r="B17" s="65" t="s">
        <v>248</v>
      </c>
      <c r="C17" s="66" t="s">
        <v>1612</v>
      </c>
      <c r="D17" s="67">
        <v>5</v>
      </c>
      <c r="E17" s="68"/>
      <c r="F17" s="69">
        <v>25</v>
      </c>
      <c r="G17" s="66"/>
      <c r="H17" s="70"/>
      <c r="I17" s="71"/>
      <c r="J17" s="71"/>
      <c r="K17" s="35" t="s">
        <v>65</v>
      </c>
      <c r="L17" s="79">
        <v>17</v>
      </c>
      <c r="M17" s="79"/>
      <c r="N17" s="73"/>
      <c r="O17" s="81" t="s">
        <v>377</v>
      </c>
      <c r="P17">
        <v>1</v>
      </c>
      <c r="Q17" s="80" t="str">
        <f>REPLACE(INDEX(GroupVertices[Group],MATCH(Edges[[#This Row],[Vertex 1]],GroupVertices[Vertex],0)),1,1,"")</f>
        <v>6</v>
      </c>
      <c r="R17" s="80" t="str">
        <f>REPLACE(INDEX(GroupVertices[Group],MATCH(Edges[[#This Row],[Vertex 2]],GroupVertices[Vertex],0)),1,1,"")</f>
        <v>6</v>
      </c>
      <c r="S17" s="35"/>
      <c r="T17" s="35"/>
      <c r="U17" s="35"/>
      <c r="V17" s="35"/>
      <c r="W17" s="35"/>
      <c r="X17" s="35"/>
      <c r="Y17" s="35"/>
      <c r="Z17" s="35"/>
      <c r="AA17" s="35"/>
    </row>
    <row r="18" spans="1:27" ht="15">
      <c r="A18" s="65" t="s">
        <v>197</v>
      </c>
      <c r="B18" s="65" t="s">
        <v>249</v>
      </c>
      <c r="C18" s="66" t="s">
        <v>1612</v>
      </c>
      <c r="D18" s="67">
        <v>5</v>
      </c>
      <c r="E18" s="68"/>
      <c r="F18" s="69">
        <v>25</v>
      </c>
      <c r="G18" s="66"/>
      <c r="H18" s="70"/>
      <c r="I18" s="71"/>
      <c r="J18" s="71"/>
      <c r="K18" s="35" t="s">
        <v>65</v>
      </c>
      <c r="L18" s="79">
        <v>18</v>
      </c>
      <c r="M18" s="79"/>
      <c r="N18" s="73"/>
      <c r="O18" s="81" t="s">
        <v>377</v>
      </c>
      <c r="P18">
        <v>1</v>
      </c>
      <c r="Q18" s="80" t="str">
        <f>REPLACE(INDEX(GroupVertices[Group],MATCH(Edges[[#This Row],[Vertex 1]],GroupVertices[Vertex],0)),1,1,"")</f>
        <v>6</v>
      </c>
      <c r="R18" s="80" t="str">
        <f>REPLACE(INDEX(GroupVertices[Group],MATCH(Edges[[#This Row],[Vertex 2]],GroupVertices[Vertex],0)),1,1,"")</f>
        <v>6</v>
      </c>
      <c r="S18" s="35"/>
      <c r="T18" s="35"/>
      <c r="U18" s="35"/>
      <c r="V18" s="35"/>
      <c r="W18" s="35"/>
      <c r="X18" s="35"/>
      <c r="Y18" s="35"/>
      <c r="Z18" s="35"/>
      <c r="AA18" s="35"/>
    </row>
    <row r="19" spans="1:27" ht="15">
      <c r="A19" s="65" t="s">
        <v>198</v>
      </c>
      <c r="B19" s="65" t="s">
        <v>250</v>
      </c>
      <c r="C19" s="66" t="s">
        <v>1612</v>
      </c>
      <c r="D19" s="67">
        <v>5</v>
      </c>
      <c r="E19" s="68"/>
      <c r="F19" s="69">
        <v>25</v>
      </c>
      <c r="G19" s="66"/>
      <c r="H19" s="70"/>
      <c r="I19" s="71"/>
      <c r="J19" s="71"/>
      <c r="K19" s="35" t="s">
        <v>65</v>
      </c>
      <c r="L19" s="79">
        <v>19</v>
      </c>
      <c r="M19" s="79"/>
      <c r="N19" s="73"/>
      <c r="O19" s="81" t="s">
        <v>377</v>
      </c>
      <c r="P19">
        <v>1</v>
      </c>
      <c r="Q19" s="80" t="str">
        <f>REPLACE(INDEX(GroupVertices[Group],MATCH(Edges[[#This Row],[Vertex 1]],GroupVertices[Vertex],0)),1,1,"")</f>
        <v>2</v>
      </c>
      <c r="R19" s="80" t="str">
        <f>REPLACE(INDEX(GroupVertices[Group],MATCH(Edges[[#This Row],[Vertex 2]],GroupVertices[Vertex],0)),1,1,"")</f>
        <v>2</v>
      </c>
      <c r="S19" s="35"/>
      <c r="T19" s="35"/>
      <c r="U19" s="35"/>
      <c r="V19" s="35"/>
      <c r="W19" s="35"/>
      <c r="X19" s="35"/>
      <c r="Y19" s="35"/>
      <c r="Z19" s="35"/>
      <c r="AA19" s="35"/>
    </row>
    <row r="20" spans="1:27" ht="15">
      <c r="A20" s="65" t="s">
        <v>198</v>
      </c>
      <c r="B20" s="65" t="s">
        <v>251</v>
      </c>
      <c r="C20" s="66" t="s">
        <v>1612</v>
      </c>
      <c r="D20" s="67">
        <v>5</v>
      </c>
      <c r="E20" s="68"/>
      <c r="F20" s="69">
        <v>25</v>
      </c>
      <c r="G20" s="66"/>
      <c r="H20" s="70"/>
      <c r="I20" s="71"/>
      <c r="J20" s="71"/>
      <c r="K20" s="35" t="s">
        <v>65</v>
      </c>
      <c r="L20" s="79">
        <v>20</v>
      </c>
      <c r="M20" s="79"/>
      <c r="N20" s="73"/>
      <c r="O20" s="81" t="s">
        <v>377</v>
      </c>
      <c r="P20">
        <v>1</v>
      </c>
      <c r="Q20" s="80" t="str">
        <f>REPLACE(INDEX(GroupVertices[Group],MATCH(Edges[[#This Row],[Vertex 1]],GroupVertices[Vertex],0)),1,1,"")</f>
        <v>2</v>
      </c>
      <c r="R20" s="80" t="str">
        <f>REPLACE(INDEX(GroupVertices[Group],MATCH(Edges[[#This Row],[Vertex 2]],GroupVertices[Vertex],0)),1,1,"")</f>
        <v>2</v>
      </c>
      <c r="S20" s="35"/>
      <c r="T20" s="35"/>
      <c r="U20" s="35"/>
      <c r="V20" s="35"/>
      <c r="W20" s="35"/>
      <c r="X20" s="35"/>
      <c r="Y20" s="35"/>
      <c r="Z20" s="35"/>
      <c r="AA20" s="35"/>
    </row>
    <row r="21" spans="1:27" ht="15">
      <c r="A21" s="65" t="s">
        <v>198</v>
      </c>
      <c r="B21" s="65" t="s">
        <v>252</v>
      </c>
      <c r="C21" s="66" t="s">
        <v>1612</v>
      </c>
      <c r="D21" s="67">
        <v>5</v>
      </c>
      <c r="E21" s="68"/>
      <c r="F21" s="69">
        <v>25</v>
      </c>
      <c r="G21" s="66"/>
      <c r="H21" s="70"/>
      <c r="I21" s="71"/>
      <c r="J21" s="71"/>
      <c r="K21" s="35" t="s">
        <v>65</v>
      </c>
      <c r="L21" s="79">
        <v>21</v>
      </c>
      <c r="M21" s="79"/>
      <c r="N21" s="73"/>
      <c r="O21" s="81" t="s">
        <v>377</v>
      </c>
      <c r="P21">
        <v>1</v>
      </c>
      <c r="Q21" s="80" t="str">
        <f>REPLACE(INDEX(GroupVertices[Group],MATCH(Edges[[#This Row],[Vertex 1]],GroupVertices[Vertex],0)),1,1,"")</f>
        <v>2</v>
      </c>
      <c r="R21" s="80" t="str">
        <f>REPLACE(INDEX(GroupVertices[Group],MATCH(Edges[[#This Row],[Vertex 2]],GroupVertices[Vertex],0)),1,1,"")</f>
        <v>2</v>
      </c>
      <c r="S21" s="35"/>
      <c r="T21" s="35"/>
      <c r="U21" s="35"/>
      <c r="V21" s="35"/>
      <c r="W21" s="35"/>
      <c r="X21" s="35"/>
      <c r="Y21" s="35"/>
      <c r="Z21" s="35"/>
      <c r="AA21" s="35"/>
    </row>
    <row r="22" spans="1:27" ht="15">
      <c r="A22" s="65" t="s">
        <v>199</v>
      </c>
      <c r="B22" s="65" t="s">
        <v>253</v>
      </c>
      <c r="C22" s="66" t="s">
        <v>1612</v>
      </c>
      <c r="D22" s="67">
        <v>5</v>
      </c>
      <c r="E22" s="68"/>
      <c r="F22" s="69">
        <v>25</v>
      </c>
      <c r="G22" s="66"/>
      <c r="H22" s="70"/>
      <c r="I22" s="71"/>
      <c r="J22" s="71"/>
      <c r="K22" s="35" t="s">
        <v>65</v>
      </c>
      <c r="L22" s="79">
        <v>22</v>
      </c>
      <c r="M22" s="79"/>
      <c r="N22" s="73"/>
      <c r="O22" s="81" t="s">
        <v>377</v>
      </c>
      <c r="P22">
        <v>1</v>
      </c>
      <c r="Q22" s="80" t="str">
        <f>REPLACE(INDEX(GroupVertices[Group],MATCH(Edges[[#This Row],[Vertex 1]],GroupVertices[Vertex],0)),1,1,"")</f>
        <v>1</v>
      </c>
      <c r="R22" s="80" t="str">
        <f>REPLACE(INDEX(GroupVertices[Group],MATCH(Edges[[#This Row],[Vertex 2]],GroupVertices[Vertex],0)),1,1,"")</f>
        <v>1</v>
      </c>
      <c r="S22" s="35"/>
      <c r="T22" s="35"/>
      <c r="U22" s="35"/>
      <c r="V22" s="35"/>
      <c r="W22" s="35"/>
      <c r="X22" s="35"/>
      <c r="Y22" s="35"/>
      <c r="Z22" s="35"/>
      <c r="AA22" s="35"/>
    </row>
    <row r="23" spans="1:27" ht="15">
      <c r="A23" s="65" t="s">
        <v>199</v>
      </c>
      <c r="B23" s="65" t="s">
        <v>254</v>
      </c>
      <c r="C23" s="66" t="s">
        <v>1612</v>
      </c>
      <c r="D23" s="67">
        <v>5</v>
      </c>
      <c r="E23" s="68"/>
      <c r="F23" s="69">
        <v>25</v>
      </c>
      <c r="G23" s="66"/>
      <c r="H23" s="70"/>
      <c r="I23" s="71"/>
      <c r="J23" s="71"/>
      <c r="K23" s="35" t="s">
        <v>65</v>
      </c>
      <c r="L23" s="79">
        <v>23</v>
      </c>
      <c r="M23" s="79"/>
      <c r="N23" s="73"/>
      <c r="O23" s="81" t="s">
        <v>377</v>
      </c>
      <c r="P23">
        <v>1</v>
      </c>
      <c r="Q23" s="80" t="str">
        <f>REPLACE(INDEX(GroupVertices[Group],MATCH(Edges[[#This Row],[Vertex 1]],GroupVertices[Vertex],0)),1,1,"")</f>
        <v>1</v>
      </c>
      <c r="R23" s="80" t="str">
        <f>REPLACE(INDEX(GroupVertices[Group],MATCH(Edges[[#This Row],[Vertex 2]],GroupVertices[Vertex],0)),1,1,"")</f>
        <v>1</v>
      </c>
      <c r="S23" s="35"/>
      <c r="T23" s="35"/>
      <c r="U23" s="35"/>
      <c r="V23" s="35"/>
      <c r="W23" s="35"/>
      <c r="X23" s="35"/>
      <c r="Y23" s="35"/>
      <c r="Z23" s="35"/>
      <c r="AA23" s="35"/>
    </row>
    <row r="24" spans="1:27" ht="15">
      <c r="A24" s="65" t="s">
        <v>199</v>
      </c>
      <c r="B24" s="65" t="s">
        <v>255</v>
      </c>
      <c r="C24" s="66" t="s">
        <v>1612</v>
      </c>
      <c r="D24" s="67">
        <v>5</v>
      </c>
      <c r="E24" s="68"/>
      <c r="F24" s="69">
        <v>25</v>
      </c>
      <c r="G24" s="66"/>
      <c r="H24" s="70"/>
      <c r="I24" s="71"/>
      <c r="J24" s="71"/>
      <c r="K24" s="35" t="s">
        <v>65</v>
      </c>
      <c r="L24" s="79">
        <v>24</v>
      </c>
      <c r="M24" s="79"/>
      <c r="N24" s="73"/>
      <c r="O24" s="81" t="s">
        <v>377</v>
      </c>
      <c r="P24">
        <v>1</v>
      </c>
      <c r="Q24" s="80" t="str">
        <f>REPLACE(INDEX(GroupVertices[Group],MATCH(Edges[[#This Row],[Vertex 1]],GroupVertices[Vertex],0)),1,1,"")</f>
        <v>1</v>
      </c>
      <c r="R24" s="80" t="str">
        <f>REPLACE(INDEX(GroupVertices[Group],MATCH(Edges[[#This Row],[Vertex 2]],GroupVertices[Vertex],0)),1,1,"")</f>
        <v>1</v>
      </c>
      <c r="S24" s="35"/>
      <c r="T24" s="35"/>
      <c r="U24" s="35"/>
      <c r="V24" s="35"/>
      <c r="W24" s="35"/>
      <c r="X24" s="35"/>
      <c r="Y24" s="35"/>
      <c r="Z24" s="35"/>
      <c r="AA24" s="35"/>
    </row>
    <row r="25" spans="1:27" ht="15">
      <c r="A25" s="65" t="s">
        <v>199</v>
      </c>
      <c r="B25" s="65" t="s">
        <v>256</v>
      </c>
      <c r="C25" s="66" t="s">
        <v>1612</v>
      </c>
      <c r="D25" s="67">
        <v>5</v>
      </c>
      <c r="E25" s="68"/>
      <c r="F25" s="69">
        <v>25</v>
      </c>
      <c r="G25" s="66"/>
      <c r="H25" s="70"/>
      <c r="I25" s="71"/>
      <c r="J25" s="71"/>
      <c r="K25" s="35" t="s">
        <v>65</v>
      </c>
      <c r="L25" s="79">
        <v>25</v>
      </c>
      <c r="M25" s="79"/>
      <c r="N25" s="73"/>
      <c r="O25" s="81" t="s">
        <v>377</v>
      </c>
      <c r="P25">
        <v>1</v>
      </c>
      <c r="Q25" s="80" t="str">
        <f>REPLACE(INDEX(GroupVertices[Group],MATCH(Edges[[#This Row],[Vertex 1]],GroupVertices[Vertex],0)),1,1,"")</f>
        <v>1</v>
      </c>
      <c r="R25" s="80" t="str">
        <f>REPLACE(INDEX(GroupVertices[Group],MATCH(Edges[[#This Row],[Vertex 2]],GroupVertices[Vertex],0)),1,1,"")</f>
        <v>1</v>
      </c>
      <c r="S25" s="35"/>
      <c r="T25" s="35"/>
      <c r="U25" s="35"/>
      <c r="V25" s="35"/>
      <c r="W25" s="35"/>
      <c r="X25" s="35"/>
      <c r="Y25" s="35"/>
      <c r="Z25" s="35"/>
      <c r="AA25" s="35"/>
    </row>
    <row r="26" spans="1:27" ht="15">
      <c r="A26" s="65" t="s">
        <v>199</v>
      </c>
      <c r="B26" s="65" t="s">
        <v>257</v>
      </c>
      <c r="C26" s="66" t="s">
        <v>1612</v>
      </c>
      <c r="D26" s="67">
        <v>5</v>
      </c>
      <c r="E26" s="68"/>
      <c r="F26" s="69">
        <v>25</v>
      </c>
      <c r="G26" s="66"/>
      <c r="H26" s="70"/>
      <c r="I26" s="71"/>
      <c r="J26" s="71"/>
      <c r="K26" s="35" t="s">
        <v>65</v>
      </c>
      <c r="L26" s="79">
        <v>26</v>
      </c>
      <c r="M26" s="79"/>
      <c r="N26" s="73"/>
      <c r="O26" s="81" t="s">
        <v>377</v>
      </c>
      <c r="P26">
        <v>1</v>
      </c>
      <c r="Q26" s="80" t="str">
        <f>REPLACE(INDEX(GroupVertices[Group],MATCH(Edges[[#This Row],[Vertex 1]],GroupVertices[Vertex],0)),1,1,"")</f>
        <v>1</v>
      </c>
      <c r="R26" s="80" t="str">
        <f>REPLACE(INDEX(GroupVertices[Group],MATCH(Edges[[#This Row],[Vertex 2]],GroupVertices[Vertex],0)),1,1,"")</f>
        <v>1</v>
      </c>
      <c r="S26" s="35"/>
      <c r="T26" s="35"/>
      <c r="U26" s="35"/>
      <c r="V26" s="35"/>
      <c r="W26" s="35"/>
      <c r="X26" s="35"/>
      <c r="Y26" s="35"/>
      <c r="Z26" s="35"/>
      <c r="AA26" s="35"/>
    </row>
    <row r="27" spans="1:27" ht="15">
      <c r="A27" s="65" t="s">
        <v>199</v>
      </c>
      <c r="B27" s="65" t="s">
        <v>258</v>
      </c>
      <c r="C27" s="66" t="s">
        <v>1612</v>
      </c>
      <c r="D27" s="67">
        <v>5</v>
      </c>
      <c r="E27" s="68"/>
      <c r="F27" s="69">
        <v>25</v>
      </c>
      <c r="G27" s="66"/>
      <c r="H27" s="70"/>
      <c r="I27" s="71"/>
      <c r="J27" s="71"/>
      <c r="K27" s="35" t="s">
        <v>65</v>
      </c>
      <c r="L27" s="79">
        <v>27</v>
      </c>
      <c r="M27" s="79"/>
      <c r="N27" s="73"/>
      <c r="O27" s="81" t="s">
        <v>377</v>
      </c>
      <c r="P27">
        <v>1</v>
      </c>
      <c r="Q27" s="80" t="str">
        <f>REPLACE(INDEX(GroupVertices[Group],MATCH(Edges[[#This Row],[Vertex 1]],GroupVertices[Vertex],0)),1,1,"")</f>
        <v>1</v>
      </c>
      <c r="R27" s="80" t="str">
        <f>REPLACE(INDEX(GroupVertices[Group],MATCH(Edges[[#This Row],[Vertex 2]],GroupVertices[Vertex],0)),1,1,"")</f>
        <v>1</v>
      </c>
      <c r="S27" s="35"/>
      <c r="T27" s="35"/>
      <c r="U27" s="35"/>
      <c r="V27" s="35"/>
      <c r="W27" s="35"/>
      <c r="X27" s="35"/>
      <c r="Y27" s="35"/>
      <c r="Z27" s="35"/>
      <c r="AA27" s="35"/>
    </row>
    <row r="28" spans="1:27" ht="15">
      <c r="A28" s="65" t="s">
        <v>195</v>
      </c>
      <c r="B28" s="65" t="s">
        <v>259</v>
      </c>
      <c r="C28" s="66" t="s">
        <v>1612</v>
      </c>
      <c r="D28" s="67">
        <v>5</v>
      </c>
      <c r="E28" s="68"/>
      <c r="F28" s="69">
        <v>25</v>
      </c>
      <c r="G28" s="66"/>
      <c r="H28" s="70"/>
      <c r="I28" s="71"/>
      <c r="J28" s="71"/>
      <c r="K28" s="35" t="s">
        <v>65</v>
      </c>
      <c r="L28" s="79">
        <v>28</v>
      </c>
      <c r="M28" s="79"/>
      <c r="N28" s="73"/>
      <c r="O28" s="81" t="s">
        <v>377</v>
      </c>
      <c r="P28">
        <v>1</v>
      </c>
      <c r="Q28" s="80" t="str">
        <f>REPLACE(INDEX(GroupVertices[Group],MATCH(Edges[[#This Row],[Vertex 1]],GroupVertices[Vertex],0)),1,1,"")</f>
        <v>2</v>
      </c>
      <c r="R28" s="80" t="str">
        <f>REPLACE(INDEX(GroupVertices[Group],MATCH(Edges[[#This Row],[Vertex 2]],GroupVertices[Vertex],0)),1,1,"")</f>
        <v>2</v>
      </c>
      <c r="S28" s="35"/>
      <c r="T28" s="35"/>
      <c r="U28" s="35"/>
      <c r="V28" s="35"/>
      <c r="W28" s="35"/>
      <c r="X28" s="35"/>
      <c r="Y28" s="35"/>
      <c r="Z28" s="35"/>
      <c r="AA28" s="35"/>
    </row>
    <row r="29" spans="1:27" ht="15">
      <c r="A29" s="65" t="s">
        <v>199</v>
      </c>
      <c r="B29" s="65" t="s">
        <v>259</v>
      </c>
      <c r="C29" s="66" t="s">
        <v>1612</v>
      </c>
      <c r="D29" s="67">
        <v>5</v>
      </c>
      <c r="E29" s="68"/>
      <c r="F29" s="69">
        <v>25</v>
      </c>
      <c r="G29" s="66"/>
      <c r="H29" s="70"/>
      <c r="I29" s="71"/>
      <c r="J29" s="71"/>
      <c r="K29" s="35" t="s">
        <v>65</v>
      </c>
      <c r="L29" s="79">
        <v>29</v>
      </c>
      <c r="M29" s="79"/>
      <c r="N29" s="73"/>
      <c r="O29" s="81" t="s">
        <v>377</v>
      </c>
      <c r="P29">
        <v>1</v>
      </c>
      <c r="Q29" s="80" t="str">
        <f>REPLACE(INDEX(GroupVertices[Group],MATCH(Edges[[#This Row],[Vertex 1]],GroupVertices[Vertex],0)),1,1,"")</f>
        <v>1</v>
      </c>
      <c r="R29" s="80" t="str">
        <f>REPLACE(INDEX(GroupVertices[Group],MATCH(Edges[[#This Row],[Vertex 2]],GroupVertices[Vertex],0)),1,1,"")</f>
        <v>2</v>
      </c>
      <c r="S29" s="35"/>
      <c r="T29" s="35"/>
      <c r="U29" s="35"/>
      <c r="V29" s="35"/>
      <c r="W29" s="35"/>
      <c r="X29" s="35"/>
      <c r="Y29" s="35"/>
      <c r="Z29" s="35"/>
      <c r="AA29" s="35"/>
    </row>
    <row r="30" spans="1:27" ht="15">
      <c r="A30" s="65" t="s">
        <v>200</v>
      </c>
      <c r="B30" s="65" t="s">
        <v>260</v>
      </c>
      <c r="C30" s="66" t="s">
        <v>1612</v>
      </c>
      <c r="D30" s="67">
        <v>5</v>
      </c>
      <c r="E30" s="68"/>
      <c r="F30" s="69">
        <v>25</v>
      </c>
      <c r="G30" s="66"/>
      <c r="H30" s="70"/>
      <c r="I30" s="71"/>
      <c r="J30" s="71"/>
      <c r="K30" s="35" t="s">
        <v>65</v>
      </c>
      <c r="L30" s="79">
        <v>30</v>
      </c>
      <c r="M30" s="79"/>
      <c r="N30" s="73"/>
      <c r="O30" s="81" t="s">
        <v>377</v>
      </c>
      <c r="P30">
        <v>1</v>
      </c>
      <c r="Q30" s="80" t="str">
        <f>REPLACE(INDEX(GroupVertices[Group],MATCH(Edges[[#This Row],[Vertex 1]],GroupVertices[Vertex],0)),1,1,"")</f>
        <v>4</v>
      </c>
      <c r="R30" s="80" t="str">
        <f>REPLACE(INDEX(GroupVertices[Group],MATCH(Edges[[#This Row],[Vertex 2]],GroupVertices[Vertex],0)),1,1,"")</f>
        <v>4</v>
      </c>
      <c r="S30" s="35"/>
      <c r="T30" s="35"/>
      <c r="U30" s="35"/>
      <c r="V30" s="35"/>
      <c r="W30" s="35"/>
      <c r="X30" s="35"/>
      <c r="Y30" s="35"/>
      <c r="Z30" s="35"/>
      <c r="AA30" s="35"/>
    </row>
    <row r="31" spans="1:27" ht="15">
      <c r="A31" s="65" t="s">
        <v>200</v>
      </c>
      <c r="B31" s="65" t="s">
        <v>261</v>
      </c>
      <c r="C31" s="66" t="s">
        <v>1612</v>
      </c>
      <c r="D31" s="67">
        <v>5</v>
      </c>
      <c r="E31" s="68"/>
      <c r="F31" s="69">
        <v>25</v>
      </c>
      <c r="G31" s="66"/>
      <c r="H31" s="70"/>
      <c r="I31" s="71"/>
      <c r="J31" s="71"/>
      <c r="K31" s="35" t="s">
        <v>65</v>
      </c>
      <c r="L31" s="79">
        <v>31</v>
      </c>
      <c r="M31" s="79"/>
      <c r="N31" s="73"/>
      <c r="O31" s="81" t="s">
        <v>377</v>
      </c>
      <c r="P31">
        <v>1</v>
      </c>
      <c r="Q31" s="80" t="str">
        <f>REPLACE(INDEX(GroupVertices[Group],MATCH(Edges[[#This Row],[Vertex 1]],GroupVertices[Vertex],0)),1,1,"")</f>
        <v>4</v>
      </c>
      <c r="R31" s="80" t="str">
        <f>REPLACE(INDEX(GroupVertices[Group],MATCH(Edges[[#This Row],[Vertex 2]],GroupVertices[Vertex],0)),1,1,"")</f>
        <v>4</v>
      </c>
      <c r="S31" s="35"/>
      <c r="T31" s="35"/>
      <c r="U31" s="35"/>
      <c r="V31" s="35"/>
      <c r="W31" s="35"/>
      <c r="X31" s="35"/>
      <c r="Y31" s="35"/>
      <c r="Z31" s="35"/>
      <c r="AA31" s="35"/>
    </row>
    <row r="32" spans="1:27" ht="15">
      <c r="A32" s="65" t="s">
        <v>200</v>
      </c>
      <c r="B32" s="65" t="s">
        <v>262</v>
      </c>
      <c r="C32" s="66" t="s">
        <v>1612</v>
      </c>
      <c r="D32" s="67">
        <v>5</v>
      </c>
      <c r="E32" s="68"/>
      <c r="F32" s="69">
        <v>25</v>
      </c>
      <c r="G32" s="66"/>
      <c r="H32" s="70"/>
      <c r="I32" s="71"/>
      <c r="J32" s="71"/>
      <c r="K32" s="35" t="s">
        <v>65</v>
      </c>
      <c r="L32" s="79">
        <v>32</v>
      </c>
      <c r="M32" s="79"/>
      <c r="N32" s="73"/>
      <c r="O32" s="81" t="s">
        <v>377</v>
      </c>
      <c r="P32">
        <v>1</v>
      </c>
      <c r="Q32" s="80" t="str">
        <f>REPLACE(INDEX(GroupVertices[Group],MATCH(Edges[[#This Row],[Vertex 1]],GroupVertices[Vertex],0)),1,1,"")</f>
        <v>4</v>
      </c>
      <c r="R32" s="80" t="str">
        <f>REPLACE(INDEX(GroupVertices[Group],MATCH(Edges[[#This Row],[Vertex 2]],GroupVertices[Vertex],0)),1,1,"")</f>
        <v>4</v>
      </c>
      <c r="S32" s="35"/>
      <c r="T32" s="35"/>
      <c r="U32" s="35"/>
      <c r="V32" s="35"/>
      <c r="W32" s="35"/>
      <c r="X32" s="35"/>
      <c r="Y32" s="35"/>
      <c r="Z32" s="35"/>
      <c r="AA32" s="35"/>
    </row>
    <row r="33" spans="1:27" ht="15">
      <c r="A33" s="65" t="s">
        <v>200</v>
      </c>
      <c r="B33" s="65" t="s">
        <v>263</v>
      </c>
      <c r="C33" s="66" t="s">
        <v>1612</v>
      </c>
      <c r="D33" s="67">
        <v>5</v>
      </c>
      <c r="E33" s="68"/>
      <c r="F33" s="69">
        <v>25</v>
      </c>
      <c r="G33" s="66"/>
      <c r="H33" s="70"/>
      <c r="I33" s="71"/>
      <c r="J33" s="71"/>
      <c r="K33" s="35" t="s">
        <v>65</v>
      </c>
      <c r="L33" s="79">
        <v>33</v>
      </c>
      <c r="M33" s="79"/>
      <c r="N33" s="73"/>
      <c r="O33" s="81" t="s">
        <v>377</v>
      </c>
      <c r="P33">
        <v>1</v>
      </c>
      <c r="Q33" s="80" t="str">
        <f>REPLACE(INDEX(GroupVertices[Group],MATCH(Edges[[#This Row],[Vertex 1]],GroupVertices[Vertex],0)),1,1,"")</f>
        <v>4</v>
      </c>
      <c r="R33" s="80" t="str">
        <f>REPLACE(INDEX(GroupVertices[Group],MATCH(Edges[[#This Row],[Vertex 2]],GroupVertices[Vertex],0)),1,1,"")</f>
        <v>4</v>
      </c>
      <c r="S33" s="35"/>
      <c r="T33" s="35"/>
      <c r="U33" s="35"/>
      <c r="V33" s="35"/>
      <c r="W33" s="35"/>
      <c r="X33" s="35"/>
      <c r="Y33" s="35"/>
      <c r="Z33" s="35"/>
      <c r="AA33" s="35"/>
    </row>
    <row r="34" spans="1:27" ht="15">
      <c r="A34" s="65" t="s">
        <v>200</v>
      </c>
      <c r="B34" s="65" t="s">
        <v>264</v>
      </c>
      <c r="C34" s="66" t="s">
        <v>1612</v>
      </c>
      <c r="D34" s="67">
        <v>5</v>
      </c>
      <c r="E34" s="68"/>
      <c r="F34" s="69">
        <v>25</v>
      </c>
      <c r="G34" s="66"/>
      <c r="H34" s="70"/>
      <c r="I34" s="71"/>
      <c r="J34" s="71"/>
      <c r="K34" s="35" t="s">
        <v>65</v>
      </c>
      <c r="L34" s="79">
        <v>34</v>
      </c>
      <c r="M34" s="79"/>
      <c r="N34" s="73"/>
      <c r="O34" s="81" t="s">
        <v>377</v>
      </c>
      <c r="P34">
        <v>1</v>
      </c>
      <c r="Q34" s="80" t="str">
        <f>REPLACE(INDEX(GroupVertices[Group],MATCH(Edges[[#This Row],[Vertex 1]],GroupVertices[Vertex],0)),1,1,"")</f>
        <v>4</v>
      </c>
      <c r="R34" s="80" t="str">
        <f>REPLACE(INDEX(GroupVertices[Group],MATCH(Edges[[#This Row],[Vertex 2]],GroupVertices[Vertex],0)),1,1,"")</f>
        <v>4</v>
      </c>
      <c r="S34" s="35"/>
      <c r="T34" s="35"/>
      <c r="U34" s="35"/>
      <c r="V34" s="35"/>
      <c r="W34" s="35"/>
      <c r="X34" s="35"/>
      <c r="Y34" s="35"/>
      <c r="Z34" s="35"/>
      <c r="AA34" s="35"/>
    </row>
    <row r="35" spans="1:27" ht="15">
      <c r="A35" s="65" t="s">
        <v>200</v>
      </c>
      <c r="B35" s="65" t="s">
        <v>265</v>
      </c>
      <c r="C35" s="66" t="s">
        <v>1612</v>
      </c>
      <c r="D35" s="67">
        <v>5</v>
      </c>
      <c r="E35" s="68"/>
      <c r="F35" s="69">
        <v>25</v>
      </c>
      <c r="G35" s="66"/>
      <c r="H35" s="70"/>
      <c r="I35" s="71"/>
      <c r="J35" s="71"/>
      <c r="K35" s="35" t="s">
        <v>65</v>
      </c>
      <c r="L35" s="79">
        <v>35</v>
      </c>
      <c r="M35" s="79"/>
      <c r="N35" s="73"/>
      <c r="O35" s="81" t="s">
        <v>377</v>
      </c>
      <c r="P35">
        <v>1</v>
      </c>
      <c r="Q35" s="80" t="str">
        <f>REPLACE(INDEX(GroupVertices[Group],MATCH(Edges[[#This Row],[Vertex 1]],GroupVertices[Vertex],0)),1,1,"")</f>
        <v>4</v>
      </c>
      <c r="R35" s="80" t="str">
        <f>REPLACE(INDEX(GroupVertices[Group],MATCH(Edges[[#This Row],[Vertex 2]],GroupVertices[Vertex],0)),1,1,"")</f>
        <v>4</v>
      </c>
      <c r="S35" s="35"/>
      <c r="T35" s="35"/>
      <c r="U35" s="35"/>
      <c r="V35" s="35"/>
      <c r="W35" s="35"/>
      <c r="X35" s="35"/>
      <c r="Y35" s="35"/>
      <c r="Z35" s="35"/>
      <c r="AA35" s="35"/>
    </row>
    <row r="36" spans="1:27" ht="15">
      <c r="A36" s="65" t="s">
        <v>200</v>
      </c>
      <c r="B36" s="65" t="s">
        <v>266</v>
      </c>
      <c r="C36" s="66" t="s">
        <v>1612</v>
      </c>
      <c r="D36" s="67">
        <v>5</v>
      </c>
      <c r="E36" s="68"/>
      <c r="F36" s="69">
        <v>25</v>
      </c>
      <c r="G36" s="66"/>
      <c r="H36" s="70"/>
      <c r="I36" s="71"/>
      <c r="J36" s="71"/>
      <c r="K36" s="35" t="s">
        <v>65</v>
      </c>
      <c r="L36" s="79">
        <v>36</v>
      </c>
      <c r="M36" s="79"/>
      <c r="N36" s="73"/>
      <c r="O36" s="81" t="s">
        <v>377</v>
      </c>
      <c r="P36">
        <v>1</v>
      </c>
      <c r="Q36" s="80" t="str">
        <f>REPLACE(INDEX(GroupVertices[Group],MATCH(Edges[[#This Row],[Vertex 1]],GroupVertices[Vertex],0)),1,1,"")</f>
        <v>4</v>
      </c>
      <c r="R36" s="80" t="str">
        <f>REPLACE(INDEX(GroupVertices[Group],MATCH(Edges[[#This Row],[Vertex 2]],GroupVertices[Vertex],0)),1,1,"")</f>
        <v>4</v>
      </c>
      <c r="S36" s="35"/>
      <c r="T36" s="35"/>
      <c r="U36" s="35"/>
      <c r="V36" s="35"/>
      <c r="W36" s="35"/>
      <c r="X36" s="35"/>
      <c r="Y36" s="35"/>
      <c r="Z36" s="35"/>
      <c r="AA36" s="35"/>
    </row>
    <row r="37" spans="1:27" ht="15">
      <c r="A37" s="65" t="s">
        <v>200</v>
      </c>
      <c r="B37" s="65" t="s">
        <v>267</v>
      </c>
      <c r="C37" s="66" t="s">
        <v>1612</v>
      </c>
      <c r="D37" s="67">
        <v>5</v>
      </c>
      <c r="E37" s="68"/>
      <c r="F37" s="69">
        <v>25</v>
      </c>
      <c r="G37" s="66"/>
      <c r="H37" s="70"/>
      <c r="I37" s="71"/>
      <c r="J37" s="71"/>
      <c r="K37" s="35" t="s">
        <v>65</v>
      </c>
      <c r="L37" s="79">
        <v>37</v>
      </c>
      <c r="M37" s="79"/>
      <c r="N37" s="73"/>
      <c r="O37" s="81" t="s">
        <v>377</v>
      </c>
      <c r="P37">
        <v>1</v>
      </c>
      <c r="Q37" s="80" t="str">
        <f>REPLACE(INDEX(GroupVertices[Group],MATCH(Edges[[#This Row],[Vertex 1]],GroupVertices[Vertex],0)),1,1,"")</f>
        <v>4</v>
      </c>
      <c r="R37" s="80" t="str">
        <f>REPLACE(INDEX(GroupVertices[Group],MATCH(Edges[[#This Row],[Vertex 2]],GroupVertices[Vertex],0)),1,1,"")</f>
        <v>4</v>
      </c>
      <c r="S37" s="35"/>
      <c r="T37" s="35"/>
      <c r="U37" s="35"/>
      <c r="V37" s="35"/>
      <c r="W37" s="35"/>
      <c r="X37" s="35"/>
      <c r="Y37" s="35"/>
      <c r="Z37" s="35"/>
      <c r="AA37" s="35"/>
    </row>
    <row r="38" spans="1:27" ht="15">
      <c r="A38" s="65" t="s">
        <v>200</v>
      </c>
      <c r="B38" s="65" t="s">
        <v>268</v>
      </c>
      <c r="C38" s="66" t="s">
        <v>1612</v>
      </c>
      <c r="D38" s="67">
        <v>5</v>
      </c>
      <c r="E38" s="68"/>
      <c r="F38" s="69">
        <v>25</v>
      </c>
      <c r="G38" s="66"/>
      <c r="H38" s="70"/>
      <c r="I38" s="71"/>
      <c r="J38" s="71"/>
      <c r="K38" s="35" t="s">
        <v>65</v>
      </c>
      <c r="L38" s="79">
        <v>38</v>
      </c>
      <c r="M38" s="79"/>
      <c r="N38" s="73"/>
      <c r="O38" s="81" t="s">
        <v>377</v>
      </c>
      <c r="P38">
        <v>1</v>
      </c>
      <c r="Q38" s="80" t="str">
        <f>REPLACE(INDEX(GroupVertices[Group],MATCH(Edges[[#This Row],[Vertex 1]],GroupVertices[Vertex],0)),1,1,"")</f>
        <v>4</v>
      </c>
      <c r="R38" s="80" t="str">
        <f>REPLACE(INDEX(GroupVertices[Group],MATCH(Edges[[#This Row],[Vertex 2]],GroupVertices[Vertex],0)),1,1,"")</f>
        <v>4</v>
      </c>
      <c r="S38" s="35"/>
      <c r="T38" s="35"/>
      <c r="U38" s="35"/>
      <c r="V38" s="35"/>
      <c r="W38" s="35"/>
      <c r="X38" s="35"/>
      <c r="Y38" s="35"/>
      <c r="Z38" s="35"/>
      <c r="AA38" s="35"/>
    </row>
    <row r="39" spans="1:27" ht="15">
      <c r="A39" s="65" t="s">
        <v>201</v>
      </c>
      <c r="B39" s="65" t="s">
        <v>269</v>
      </c>
      <c r="C39" s="66" t="s">
        <v>1612</v>
      </c>
      <c r="D39" s="67">
        <v>5</v>
      </c>
      <c r="E39" s="68"/>
      <c r="F39" s="69">
        <v>25</v>
      </c>
      <c r="G39" s="66"/>
      <c r="H39" s="70"/>
      <c r="I39" s="71"/>
      <c r="J39" s="71"/>
      <c r="K39" s="35" t="s">
        <v>65</v>
      </c>
      <c r="L39" s="79">
        <v>39</v>
      </c>
      <c r="M39" s="79"/>
      <c r="N39" s="73"/>
      <c r="O39" s="81" t="s">
        <v>377</v>
      </c>
      <c r="P39">
        <v>1</v>
      </c>
      <c r="Q39" s="80" t="str">
        <f>REPLACE(INDEX(GroupVertices[Group],MATCH(Edges[[#This Row],[Vertex 1]],GroupVertices[Vertex],0)),1,1,"")</f>
        <v>5</v>
      </c>
      <c r="R39" s="80" t="str">
        <f>REPLACE(INDEX(GroupVertices[Group],MATCH(Edges[[#This Row],[Vertex 2]],GroupVertices[Vertex],0)),1,1,"")</f>
        <v>5</v>
      </c>
      <c r="S39" s="35"/>
      <c r="T39" s="35"/>
      <c r="U39" s="35"/>
      <c r="V39" s="35"/>
      <c r="W39" s="35"/>
      <c r="X39" s="35"/>
      <c r="Y39" s="35"/>
      <c r="Z39" s="35"/>
      <c r="AA39" s="35"/>
    </row>
    <row r="40" spans="1:27" ht="15">
      <c r="A40" s="65" t="s">
        <v>201</v>
      </c>
      <c r="B40" s="65" t="s">
        <v>270</v>
      </c>
      <c r="C40" s="66" t="s">
        <v>1612</v>
      </c>
      <c r="D40" s="67">
        <v>5</v>
      </c>
      <c r="E40" s="68"/>
      <c r="F40" s="69">
        <v>25</v>
      </c>
      <c r="G40" s="66"/>
      <c r="H40" s="70"/>
      <c r="I40" s="71"/>
      <c r="J40" s="71"/>
      <c r="K40" s="35" t="s">
        <v>65</v>
      </c>
      <c r="L40" s="79">
        <v>40</v>
      </c>
      <c r="M40" s="79"/>
      <c r="N40" s="73"/>
      <c r="O40" s="81" t="s">
        <v>377</v>
      </c>
      <c r="P40">
        <v>1</v>
      </c>
      <c r="Q40" s="80" t="str">
        <f>REPLACE(INDEX(GroupVertices[Group],MATCH(Edges[[#This Row],[Vertex 1]],GroupVertices[Vertex],0)),1,1,"")</f>
        <v>5</v>
      </c>
      <c r="R40" s="80" t="str">
        <f>REPLACE(INDEX(GroupVertices[Group],MATCH(Edges[[#This Row],[Vertex 2]],GroupVertices[Vertex],0)),1,1,"")</f>
        <v>5</v>
      </c>
      <c r="S40" s="35"/>
      <c r="T40" s="35"/>
      <c r="U40" s="35"/>
      <c r="V40" s="35"/>
      <c r="W40" s="35"/>
      <c r="X40" s="35"/>
      <c r="Y40" s="35"/>
      <c r="Z40" s="35"/>
      <c r="AA40" s="35"/>
    </row>
    <row r="41" spans="1:27" ht="15">
      <c r="A41" s="65" t="s">
        <v>201</v>
      </c>
      <c r="B41" s="65" t="s">
        <v>271</v>
      </c>
      <c r="C41" s="66" t="s">
        <v>1612</v>
      </c>
      <c r="D41" s="67">
        <v>5</v>
      </c>
      <c r="E41" s="68"/>
      <c r="F41" s="69">
        <v>25</v>
      </c>
      <c r="G41" s="66"/>
      <c r="H41" s="70"/>
      <c r="I41" s="71"/>
      <c r="J41" s="71"/>
      <c r="K41" s="35" t="s">
        <v>65</v>
      </c>
      <c r="L41" s="79">
        <v>41</v>
      </c>
      <c r="M41" s="79"/>
      <c r="N41" s="73"/>
      <c r="O41" s="81" t="s">
        <v>377</v>
      </c>
      <c r="P41">
        <v>1</v>
      </c>
      <c r="Q41" s="80" t="str">
        <f>REPLACE(INDEX(GroupVertices[Group],MATCH(Edges[[#This Row],[Vertex 1]],GroupVertices[Vertex],0)),1,1,"")</f>
        <v>5</v>
      </c>
      <c r="R41" s="80" t="str">
        <f>REPLACE(INDEX(GroupVertices[Group],MATCH(Edges[[#This Row],[Vertex 2]],GroupVertices[Vertex],0)),1,1,"")</f>
        <v>5</v>
      </c>
      <c r="S41" s="35"/>
      <c r="T41" s="35"/>
      <c r="U41" s="35"/>
      <c r="V41" s="35"/>
      <c r="W41" s="35"/>
      <c r="X41" s="35"/>
      <c r="Y41" s="35"/>
      <c r="Z41" s="35"/>
      <c r="AA41" s="35"/>
    </row>
    <row r="42" spans="1:27" ht="15">
      <c r="A42" s="65" t="s">
        <v>201</v>
      </c>
      <c r="B42" s="65" t="s">
        <v>272</v>
      </c>
      <c r="C42" s="66" t="s">
        <v>1612</v>
      </c>
      <c r="D42" s="67">
        <v>5</v>
      </c>
      <c r="E42" s="68"/>
      <c r="F42" s="69">
        <v>25</v>
      </c>
      <c r="G42" s="66"/>
      <c r="H42" s="70"/>
      <c r="I42" s="71"/>
      <c r="J42" s="71"/>
      <c r="K42" s="35" t="s">
        <v>65</v>
      </c>
      <c r="L42" s="79">
        <v>42</v>
      </c>
      <c r="M42" s="79"/>
      <c r="N42" s="73"/>
      <c r="O42" s="81" t="s">
        <v>377</v>
      </c>
      <c r="P42">
        <v>1</v>
      </c>
      <c r="Q42" s="80" t="str">
        <f>REPLACE(INDEX(GroupVertices[Group],MATCH(Edges[[#This Row],[Vertex 1]],GroupVertices[Vertex],0)),1,1,"")</f>
        <v>5</v>
      </c>
      <c r="R42" s="80" t="str">
        <f>REPLACE(INDEX(GroupVertices[Group],MATCH(Edges[[#This Row],[Vertex 2]],GroupVertices[Vertex],0)),1,1,"")</f>
        <v>5</v>
      </c>
      <c r="S42" s="35"/>
      <c r="T42" s="35"/>
      <c r="U42" s="35"/>
      <c r="V42" s="35"/>
      <c r="W42" s="35"/>
      <c r="X42" s="35"/>
      <c r="Y42" s="35"/>
      <c r="Z42" s="35"/>
      <c r="AA42" s="35"/>
    </row>
    <row r="43" spans="1:27" ht="15">
      <c r="A43" s="65" t="s">
        <v>202</v>
      </c>
      <c r="B43" s="65" t="s">
        <v>273</v>
      </c>
      <c r="C43" s="66" t="s">
        <v>1612</v>
      </c>
      <c r="D43" s="67">
        <v>5</v>
      </c>
      <c r="E43" s="68"/>
      <c r="F43" s="69">
        <v>25</v>
      </c>
      <c r="G43" s="66"/>
      <c r="H43" s="70"/>
      <c r="I43" s="71"/>
      <c r="J43" s="71"/>
      <c r="K43" s="35" t="s">
        <v>65</v>
      </c>
      <c r="L43" s="79">
        <v>43</v>
      </c>
      <c r="M43" s="79"/>
      <c r="N43" s="73"/>
      <c r="O43" s="81" t="s">
        <v>377</v>
      </c>
      <c r="P43">
        <v>1</v>
      </c>
      <c r="Q43" s="80" t="str">
        <f>REPLACE(INDEX(GroupVertices[Group],MATCH(Edges[[#This Row],[Vertex 1]],GroupVertices[Vertex],0)),1,1,"")</f>
        <v>3</v>
      </c>
      <c r="R43" s="80" t="str">
        <f>REPLACE(INDEX(GroupVertices[Group],MATCH(Edges[[#This Row],[Vertex 2]],GroupVertices[Vertex],0)),1,1,"")</f>
        <v>3</v>
      </c>
      <c r="S43" s="35"/>
      <c r="T43" s="35"/>
      <c r="U43" s="35"/>
      <c r="V43" s="35"/>
      <c r="W43" s="35"/>
      <c r="X43" s="35"/>
      <c r="Y43" s="35"/>
      <c r="Z43" s="35"/>
      <c r="AA43" s="35"/>
    </row>
    <row r="44" spans="1:27" ht="15">
      <c r="A44" s="65" t="s">
        <v>202</v>
      </c>
      <c r="B44" s="65" t="s">
        <v>274</v>
      </c>
      <c r="C44" s="66" t="s">
        <v>1612</v>
      </c>
      <c r="D44" s="67">
        <v>5</v>
      </c>
      <c r="E44" s="68"/>
      <c r="F44" s="69">
        <v>25</v>
      </c>
      <c r="G44" s="66"/>
      <c r="H44" s="70"/>
      <c r="I44" s="71"/>
      <c r="J44" s="71"/>
      <c r="K44" s="35" t="s">
        <v>65</v>
      </c>
      <c r="L44" s="79">
        <v>44</v>
      </c>
      <c r="M44" s="79"/>
      <c r="N44" s="73"/>
      <c r="O44" s="81" t="s">
        <v>377</v>
      </c>
      <c r="P44">
        <v>1</v>
      </c>
      <c r="Q44" s="80" t="str">
        <f>REPLACE(INDEX(GroupVertices[Group],MATCH(Edges[[#This Row],[Vertex 1]],GroupVertices[Vertex],0)),1,1,"")</f>
        <v>3</v>
      </c>
      <c r="R44" s="80" t="str">
        <f>REPLACE(INDEX(GroupVertices[Group],MATCH(Edges[[#This Row],[Vertex 2]],GroupVertices[Vertex],0)),1,1,"")</f>
        <v>3</v>
      </c>
      <c r="S44" s="35"/>
      <c r="T44" s="35"/>
      <c r="U44" s="35"/>
      <c r="V44" s="35"/>
      <c r="W44" s="35"/>
      <c r="X44" s="35"/>
      <c r="Y44" s="35"/>
      <c r="Z44" s="35"/>
      <c r="AA44" s="35"/>
    </row>
    <row r="45" spans="1:27" ht="15">
      <c r="A45" s="65" t="s">
        <v>202</v>
      </c>
      <c r="B45" s="65" t="s">
        <v>275</v>
      </c>
      <c r="C45" s="66" t="s">
        <v>1612</v>
      </c>
      <c r="D45" s="67">
        <v>5</v>
      </c>
      <c r="E45" s="68"/>
      <c r="F45" s="69">
        <v>25</v>
      </c>
      <c r="G45" s="66"/>
      <c r="H45" s="70"/>
      <c r="I45" s="71"/>
      <c r="J45" s="71"/>
      <c r="K45" s="35" t="s">
        <v>65</v>
      </c>
      <c r="L45" s="79">
        <v>45</v>
      </c>
      <c r="M45" s="79"/>
      <c r="N45" s="73"/>
      <c r="O45" s="81" t="s">
        <v>377</v>
      </c>
      <c r="P45">
        <v>1</v>
      </c>
      <c r="Q45" s="80" t="str">
        <f>REPLACE(INDEX(GroupVertices[Group],MATCH(Edges[[#This Row],[Vertex 1]],GroupVertices[Vertex],0)),1,1,"")</f>
        <v>3</v>
      </c>
      <c r="R45" s="80" t="str">
        <f>REPLACE(INDEX(GroupVertices[Group],MATCH(Edges[[#This Row],[Vertex 2]],GroupVertices[Vertex],0)),1,1,"")</f>
        <v>3</v>
      </c>
      <c r="S45" s="35"/>
      <c r="T45" s="35"/>
      <c r="U45" s="35"/>
      <c r="V45" s="35"/>
      <c r="W45" s="35"/>
      <c r="X45" s="35"/>
      <c r="Y45" s="35"/>
      <c r="Z45" s="35"/>
      <c r="AA45" s="35"/>
    </row>
    <row r="46" spans="1:27" ht="15">
      <c r="A46" s="65" t="s">
        <v>202</v>
      </c>
      <c r="B46" s="65" t="s">
        <v>276</v>
      </c>
      <c r="C46" s="66" t="s">
        <v>1612</v>
      </c>
      <c r="D46" s="67">
        <v>5</v>
      </c>
      <c r="E46" s="68"/>
      <c r="F46" s="69">
        <v>25</v>
      </c>
      <c r="G46" s="66"/>
      <c r="H46" s="70"/>
      <c r="I46" s="71"/>
      <c r="J46" s="71"/>
      <c r="K46" s="35" t="s">
        <v>65</v>
      </c>
      <c r="L46" s="79">
        <v>46</v>
      </c>
      <c r="M46" s="79"/>
      <c r="N46" s="73"/>
      <c r="O46" s="81" t="s">
        <v>377</v>
      </c>
      <c r="P46">
        <v>1</v>
      </c>
      <c r="Q46" s="80" t="str">
        <f>REPLACE(INDEX(GroupVertices[Group],MATCH(Edges[[#This Row],[Vertex 1]],GroupVertices[Vertex],0)),1,1,"")</f>
        <v>3</v>
      </c>
      <c r="R46" s="80" t="str">
        <f>REPLACE(INDEX(GroupVertices[Group],MATCH(Edges[[#This Row],[Vertex 2]],GroupVertices[Vertex],0)),1,1,"")</f>
        <v>3</v>
      </c>
      <c r="S46" s="35"/>
      <c r="T46" s="35"/>
      <c r="U46" s="35"/>
      <c r="V46" s="35"/>
      <c r="W46" s="35"/>
      <c r="X46" s="35"/>
      <c r="Y46" s="35"/>
      <c r="Z46" s="35"/>
      <c r="AA46" s="35"/>
    </row>
    <row r="47" spans="1:27" ht="15">
      <c r="A47" s="65" t="s">
        <v>202</v>
      </c>
      <c r="B47" s="65" t="s">
        <v>277</v>
      </c>
      <c r="C47" s="66" t="s">
        <v>1612</v>
      </c>
      <c r="D47" s="67">
        <v>5</v>
      </c>
      <c r="E47" s="68"/>
      <c r="F47" s="69">
        <v>25</v>
      </c>
      <c r="G47" s="66"/>
      <c r="H47" s="70"/>
      <c r="I47" s="71"/>
      <c r="J47" s="71"/>
      <c r="K47" s="35" t="s">
        <v>65</v>
      </c>
      <c r="L47" s="79">
        <v>47</v>
      </c>
      <c r="M47" s="79"/>
      <c r="N47" s="73"/>
      <c r="O47" s="81" t="s">
        <v>377</v>
      </c>
      <c r="P47">
        <v>1</v>
      </c>
      <c r="Q47" s="80" t="str">
        <f>REPLACE(INDEX(GroupVertices[Group],MATCH(Edges[[#This Row],[Vertex 1]],GroupVertices[Vertex],0)),1,1,"")</f>
        <v>3</v>
      </c>
      <c r="R47" s="80" t="str">
        <f>REPLACE(INDEX(GroupVertices[Group],MATCH(Edges[[#This Row],[Vertex 2]],GroupVertices[Vertex],0)),1,1,"")</f>
        <v>3</v>
      </c>
      <c r="S47" s="35"/>
      <c r="T47" s="35"/>
      <c r="U47" s="35"/>
      <c r="V47" s="35"/>
      <c r="W47" s="35"/>
      <c r="X47" s="35"/>
      <c r="Y47" s="35"/>
      <c r="Z47" s="35"/>
      <c r="AA47" s="35"/>
    </row>
    <row r="48" spans="1:27" ht="15">
      <c r="A48" s="65" t="s">
        <v>202</v>
      </c>
      <c r="B48" s="65" t="s">
        <v>278</v>
      </c>
      <c r="C48" s="66" t="s">
        <v>1612</v>
      </c>
      <c r="D48" s="67">
        <v>5</v>
      </c>
      <c r="E48" s="68"/>
      <c r="F48" s="69">
        <v>25</v>
      </c>
      <c r="G48" s="66"/>
      <c r="H48" s="70"/>
      <c r="I48" s="71"/>
      <c r="J48" s="71"/>
      <c r="K48" s="35" t="s">
        <v>65</v>
      </c>
      <c r="L48" s="79">
        <v>48</v>
      </c>
      <c r="M48" s="79"/>
      <c r="N48" s="73"/>
      <c r="O48" s="81" t="s">
        <v>377</v>
      </c>
      <c r="P48">
        <v>1</v>
      </c>
      <c r="Q48" s="80" t="str">
        <f>REPLACE(INDEX(GroupVertices[Group],MATCH(Edges[[#This Row],[Vertex 1]],GroupVertices[Vertex],0)),1,1,"")</f>
        <v>3</v>
      </c>
      <c r="R48" s="80" t="str">
        <f>REPLACE(INDEX(GroupVertices[Group],MATCH(Edges[[#This Row],[Vertex 2]],GroupVertices[Vertex],0)),1,1,"")</f>
        <v>3</v>
      </c>
      <c r="S48" s="35"/>
      <c r="T48" s="35"/>
      <c r="U48" s="35"/>
      <c r="V48" s="35"/>
      <c r="W48" s="35"/>
      <c r="X48" s="35"/>
      <c r="Y48" s="35"/>
      <c r="Z48" s="35"/>
      <c r="AA48" s="35"/>
    </row>
    <row r="49" spans="1:27" ht="15">
      <c r="A49" s="65" t="s">
        <v>202</v>
      </c>
      <c r="B49" s="65" t="s">
        <v>279</v>
      </c>
      <c r="C49" s="66" t="s">
        <v>1612</v>
      </c>
      <c r="D49" s="67">
        <v>5</v>
      </c>
      <c r="E49" s="68"/>
      <c r="F49" s="69">
        <v>25</v>
      </c>
      <c r="G49" s="66"/>
      <c r="H49" s="70"/>
      <c r="I49" s="71"/>
      <c r="J49" s="71"/>
      <c r="K49" s="35" t="s">
        <v>65</v>
      </c>
      <c r="L49" s="79">
        <v>49</v>
      </c>
      <c r="M49" s="79"/>
      <c r="N49" s="73"/>
      <c r="O49" s="81" t="s">
        <v>377</v>
      </c>
      <c r="P49">
        <v>1</v>
      </c>
      <c r="Q49" s="80" t="str">
        <f>REPLACE(INDEX(GroupVertices[Group],MATCH(Edges[[#This Row],[Vertex 1]],GroupVertices[Vertex],0)),1,1,"")</f>
        <v>3</v>
      </c>
      <c r="R49" s="80" t="str">
        <f>REPLACE(INDEX(GroupVertices[Group],MATCH(Edges[[#This Row],[Vertex 2]],GroupVertices[Vertex],0)),1,1,"")</f>
        <v>3</v>
      </c>
      <c r="S49" s="35"/>
      <c r="T49" s="35"/>
      <c r="U49" s="35"/>
      <c r="V49" s="35"/>
      <c r="W49" s="35"/>
      <c r="X49" s="35"/>
      <c r="Y49" s="35"/>
      <c r="Z49" s="35"/>
      <c r="AA49" s="35"/>
    </row>
    <row r="50" spans="1:27" ht="15">
      <c r="A50" s="65" t="s">
        <v>202</v>
      </c>
      <c r="B50" s="65" t="s">
        <v>280</v>
      </c>
      <c r="C50" s="66" t="s">
        <v>1612</v>
      </c>
      <c r="D50" s="67">
        <v>5</v>
      </c>
      <c r="E50" s="68"/>
      <c r="F50" s="69">
        <v>25</v>
      </c>
      <c r="G50" s="66"/>
      <c r="H50" s="70"/>
      <c r="I50" s="71"/>
      <c r="J50" s="71"/>
      <c r="K50" s="35" t="s">
        <v>65</v>
      </c>
      <c r="L50" s="79">
        <v>50</v>
      </c>
      <c r="M50" s="79"/>
      <c r="N50" s="73"/>
      <c r="O50" s="81" t="s">
        <v>377</v>
      </c>
      <c r="P50">
        <v>1</v>
      </c>
      <c r="Q50" s="80" t="str">
        <f>REPLACE(INDEX(GroupVertices[Group],MATCH(Edges[[#This Row],[Vertex 1]],GroupVertices[Vertex],0)),1,1,"")</f>
        <v>3</v>
      </c>
      <c r="R50" s="80" t="str">
        <f>REPLACE(INDEX(GroupVertices[Group],MATCH(Edges[[#This Row],[Vertex 2]],GroupVertices[Vertex],0)),1,1,"")</f>
        <v>3</v>
      </c>
      <c r="S50" s="35"/>
      <c r="T50" s="35"/>
      <c r="U50" s="35"/>
      <c r="V50" s="35"/>
      <c r="W50" s="35"/>
      <c r="X50" s="35"/>
      <c r="Y50" s="35"/>
      <c r="Z50" s="35"/>
      <c r="AA50" s="35"/>
    </row>
    <row r="51" spans="1:27" ht="15">
      <c r="A51" s="65" t="s">
        <v>203</v>
      </c>
      <c r="B51" s="65" t="s">
        <v>281</v>
      </c>
      <c r="C51" s="66" t="s">
        <v>1612</v>
      </c>
      <c r="D51" s="67">
        <v>5</v>
      </c>
      <c r="E51" s="68"/>
      <c r="F51" s="69">
        <v>25</v>
      </c>
      <c r="G51" s="66"/>
      <c r="H51" s="70"/>
      <c r="I51" s="71"/>
      <c r="J51" s="71"/>
      <c r="K51" s="35" t="s">
        <v>65</v>
      </c>
      <c r="L51" s="79">
        <v>51</v>
      </c>
      <c r="M51" s="79"/>
      <c r="N51" s="73"/>
      <c r="O51" s="81" t="s">
        <v>377</v>
      </c>
      <c r="P51">
        <v>1</v>
      </c>
      <c r="Q51" s="80" t="str">
        <f>REPLACE(INDEX(GroupVertices[Group],MATCH(Edges[[#This Row],[Vertex 1]],GroupVertices[Vertex],0)),1,1,"")</f>
        <v>1</v>
      </c>
      <c r="R51" s="80" t="str">
        <f>REPLACE(INDEX(GroupVertices[Group],MATCH(Edges[[#This Row],[Vertex 2]],GroupVertices[Vertex],0)),1,1,"")</f>
        <v>1</v>
      </c>
      <c r="S51" s="35"/>
      <c r="T51" s="35"/>
      <c r="U51" s="35"/>
      <c r="V51" s="35"/>
      <c r="W51" s="35"/>
      <c r="X51" s="35"/>
      <c r="Y51" s="35"/>
      <c r="Z51" s="35"/>
      <c r="AA51" s="35"/>
    </row>
    <row r="52" spans="1:27" ht="15">
      <c r="A52" s="65" t="s">
        <v>203</v>
      </c>
      <c r="B52" s="65" t="s">
        <v>282</v>
      </c>
      <c r="C52" s="66" t="s">
        <v>1612</v>
      </c>
      <c r="D52" s="67">
        <v>5</v>
      </c>
      <c r="E52" s="68"/>
      <c r="F52" s="69">
        <v>25</v>
      </c>
      <c r="G52" s="66"/>
      <c r="H52" s="70"/>
      <c r="I52" s="71"/>
      <c r="J52" s="71"/>
      <c r="K52" s="35" t="s">
        <v>65</v>
      </c>
      <c r="L52" s="79">
        <v>52</v>
      </c>
      <c r="M52" s="79"/>
      <c r="N52" s="73"/>
      <c r="O52" s="81" t="s">
        <v>377</v>
      </c>
      <c r="P52">
        <v>1</v>
      </c>
      <c r="Q52" s="80" t="str">
        <f>REPLACE(INDEX(GroupVertices[Group],MATCH(Edges[[#This Row],[Vertex 1]],GroupVertices[Vertex],0)),1,1,"")</f>
        <v>1</v>
      </c>
      <c r="R52" s="80" t="str">
        <f>REPLACE(INDEX(GroupVertices[Group],MATCH(Edges[[#This Row],[Vertex 2]],GroupVertices[Vertex],0)),1,1,"")</f>
        <v>1</v>
      </c>
      <c r="S52" s="35"/>
      <c r="T52" s="35"/>
      <c r="U52" s="35"/>
      <c r="V52" s="35"/>
      <c r="W52" s="35"/>
      <c r="X52" s="35"/>
      <c r="Y52" s="35"/>
      <c r="Z52" s="35"/>
      <c r="AA52" s="35"/>
    </row>
    <row r="53" spans="1:27" ht="15">
      <c r="A53" s="65" t="s">
        <v>204</v>
      </c>
      <c r="B53" s="65" t="s">
        <v>283</v>
      </c>
      <c r="C53" s="66" t="s">
        <v>1612</v>
      </c>
      <c r="D53" s="67">
        <v>5</v>
      </c>
      <c r="E53" s="68"/>
      <c r="F53" s="69">
        <v>25</v>
      </c>
      <c r="G53" s="66"/>
      <c r="H53" s="70"/>
      <c r="I53" s="71"/>
      <c r="J53" s="71"/>
      <c r="K53" s="35" t="s">
        <v>65</v>
      </c>
      <c r="L53" s="79">
        <v>53</v>
      </c>
      <c r="M53" s="79"/>
      <c r="N53" s="73"/>
      <c r="O53" s="81" t="s">
        <v>377</v>
      </c>
      <c r="P53">
        <v>1</v>
      </c>
      <c r="Q53" s="80" t="str">
        <f>REPLACE(INDEX(GroupVertices[Group],MATCH(Edges[[#This Row],[Vertex 1]],GroupVertices[Vertex],0)),1,1,"")</f>
        <v>1</v>
      </c>
      <c r="R53" s="80" t="str">
        <f>REPLACE(INDEX(GroupVertices[Group],MATCH(Edges[[#This Row],[Vertex 2]],GroupVertices[Vertex],0)),1,1,"")</f>
        <v>1</v>
      </c>
      <c r="S53" s="35"/>
      <c r="T53" s="35"/>
      <c r="U53" s="35"/>
      <c r="V53" s="35"/>
      <c r="W53" s="35"/>
      <c r="X53" s="35"/>
      <c r="Y53" s="35"/>
      <c r="Z53" s="35"/>
      <c r="AA53" s="35"/>
    </row>
    <row r="54" spans="1:27" ht="15">
      <c r="A54" s="65" t="s">
        <v>205</v>
      </c>
      <c r="B54" s="65" t="s">
        <v>284</v>
      </c>
      <c r="C54" s="66" t="s">
        <v>1612</v>
      </c>
      <c r="D54" s="67">
        <v>5</v>
      </c>
      <c r="E54" s="68"/>
      <c r="F54" s="69">
        <v>25</v>
      </c>
      <c r="G54" s="66"/>
      <c r="H54" s="70"/>
      <c r="I54" s="71"/>
      <c r="J54" s="71"/>
      <c r="K54" s="35" t="s">
        <v>65</v>
      </c>
      <c r="L54" s="79">
        <v>54</v>
      </c>
      <c r="M54" s="79"/>
      <c r="N54" s="73"/>
      <c r="O54" s="81" t="s">
        <v>377</v>
      </c>
      <c r="P54">
        <v>1</v>
      </c>
      <c r="Q54" s="80" t="str">
        <f>REPLACE(INDEX(GroupVertices[Group],MATCH(Edges[[#This Row],[Vertex 1]],GroupVertices[Vertex],0)),1,1,"")</f>
        <v>1</v>
      </c>
      <c r="R54" s="80" t="str">
        <f>REPLACE(INDEX(GroupVertices[Group],MATCH(Edges[[#This Row],[Vertex 2]],GroupVertices[Vertex],0)),1,1,"")</f>
        <v>1</v>
      </c>
      <c r="S54" s="35"/>
      <c r="T54" s="35"/>
      <c r="U54" s="35"/>
      <c r="V54" s="35"/>
      <c r="W54" s="35"/>
      <c r="X54" s="35"/>
      <c r="Y54" s="35"/>
      <c r="Z54" s="35"/>
      <c r="AA54" s="35"/>
    </row>
    <row r="55" spans="1:27" ht="15">
      <c r="A55" s="65" t="s">
        <v>206</v>
      </c>
      <c r="B55" s="65" t="s">
        <v>284</v>
      </c>
      <c r="C55" s="66" t="s">
        <v>1612</v>
      </c>
      <c r="D55" s="67">
        <v>5</v>
      </c>
      <c r="E55" s="68"/>
      <c r="F55" s="69">
        <v>25</v>
      </c>
      <c r="G55" s="66"/>
      <c r="H55" s="70"/>
      <c r="I55" s="71"/>
      <c r="J55" s="71"/>
      <c r="K55" s="35" t="s">
        <v>65</v>
      </c>
      <c r="L55" s="79">
        <v>55</v>
      </c>
      <c r="M55" s="79"/>
      <c r="N55" s="73"/>
      <c r="O55" s="81" t="s">
        <v>377</v>
      </c>
      <c r="P55">
        <v>1</v>
      </c>
      <c r="Q55" s="80" t="str">
        <f>REPLACE(INDEX(GroupVertices[Group],MATCH(Edges[[#This Row],[Vertex 1]],GroupVertices[Vertex],0)),1,1,"")</f>
        <v>1</v>
      </c>
      <c r="R55" s="80" t="str">
        <f>REPLACE(INDEX(GroupVertices[Group],MATCH(Edges[[#This Row],[Vertex 2]],GroupVertices[Vertex],0)),1,1,"")</f>
        <v>1</v>
      </c>
      <c r="S55" s="35"/>
      <c r="T55" s="35"/>
      <c r="U55" s="35"/>
      <c r="V55" s="35"/>
      <c r="W55" s="35"/>
      <c r="X55" s="35"/>
      <c r="Y55" s="35"/>
      <c r="Z55" s="35"/>
      <c r="AA55" s="35"/>
    </row>
    <row r="56" spans="1:27" ht="15">
      <c r="A56" s="65" t="s">
        <v>203</v>
      </c>
      <c r="B56" s="65" t="s">
        <v>284</v>
      </c>
      <c r="C56" s="66" t="s">
        <v>1612</v>
      </c>
      <c r="D56" s="67">
        <v>5</v>
      </c>
      <c r="E56" s="68"/>
      <c r="F56" s="69">
        <v>25</v>
      </c>
      <c r="G56" s="66"/>
      <c r="H56" s="70"/>
      <c r="I56" s="71"/>
      <c r="J56" s="71"/>
      <c r="K56" s="35" t="s">
        <v>65</v>
      </c>
      <c r="L56" s="79">
        <v>56</v>
      </c>
      <c r="M56" s="79"/>
      <c r="N56" s="73"/>
      <c r="O56" s="81" t="s">
        <v>377</v>
      </c>
      <c r="P56">
        <v>1</v>
      </c>
      <c r="Q56" s="80" t="str">
        <f>REPLACE(INDEX(GroupVertices[Group],MATCH(Edges[[#This Row],[Vertex 1]],GroupVertices[Vertex],0)),1,1,"")</f>
        <v>1</v>
      </c>
      <c r="R56" s="80" t="str">
        <f>REPLACE(INDEX(GroupVertices[Group],MATCH(Edges[[#This Row],[Vertex 2]],GroupVertices[Vertex],0)),1,1,"")</f>
        <v>1</v>
      </c>
      <c r="S56" s="35"/>
      <c r="T56" s="35"/>
      <c r="U56" s="35"/>
      <c r="V56" s="35"/>
      <c r="W56" s="35"/>
      <c r="X56" s="35"/>
      <c r="Y56" s="35"/>
      <c r="Z56" s="35"/>
      <c r="AA56" s="35"/>
    </row>
    <row r="57" spans="1:27" ht="15">
      <c r="A57" s="65" t="s">
        <v>204</v>
      </c>
      <c r="B57" s="65" t="s">
        <v>284</v>
      </c>
      <c r="C57" s="66" t="s">
        <v>1612</v>
      </c>
      <c r="D57" s="67">
        <v>5</v>
      </c>
      <c r="E57" s="68"/>
      <c r="F57" s="69">
        <v>25</v>
      </c>
      <c r="G57" s="66"/>
      <c r="H57" s="70"/>
      <c r="I57" s="71"/>
      <c r="J57" s="71"/>
      <c r="K57" s="35" t="s">
        <v>65</v>
      </c>
      <c r="L57" s="79">
        <v>57</v>
      </c>
      <c r="M57" s="79"/>
      <c r="N57" s="73"/>
      <c r="O57" s="81" t="s">
        <v>377</v>
      </c>
      <c r="P57">
        <v>1</v>
      </c>
      <c r="Q57" s="80" t="str">
        <f>REPLACE(INDEX(GroupVertices[Group],MATCH(Edges[[#This Row],[Vertex 1]],GroupVertices[Vertex],0)),1,1,"")</f>
        <v>1</v>
      </c>
      <c r="R57" s="80" t="str">
        <f>REPLACE(INDEX(GroupVertices[Group],MATCH(Edges[[#This Row],[Vertex 2]],GroupVertices[Vertex],0)),1,1,"")</f>
        <v>1</v>
      </c>
      <c r="S57" s="35"/>
      <c r="T57" s="35"/>
      <c r="U57" s="35"/>
      <c r="V57" s="35"/>
      <c r="W57" s="35"/>
      <c r="X57" s="35"/>
      <c r="Y57" s="35"/>
      <c r="Z57" s="35"/>
      <c r="AA57" s="35"/>
    </row>
    <row r="58" spans="1:27" ht="15">
      <c r="A58" s="65" t="s">
        <v>207</v>
      </c>
      <c r="B58" s="65" t="s">
        <v>285</v>
      </c>
      <c r="C58" s="66" t="s">
        <v>1612</v>
      </c>
      <c r="D58" s="67">
        <v>5</v>
      </c>
      <c r="E58" s="68"/>
      <c r="F58" s="69">
        <v>25</v>
      </c>
      <c r="G58" s="66"/>
      <c r="H58" s="70"/>
      <c r="I58" s="71"/>
      <c r="J58" s="71"/>
      <c r="K58" s="35" t="s">
        <v>65</v>
      </c>
      <c r="L58" s="79">
        <v>58</v>
      </c>
      <c r="M58" s="79"/>
      <c r="N58" s="73"/>
      <c r="O58" s="81" t="s">
        <v>377</v>
      </c>
      <c r="P58">
        <v>1</v>
      </c>
      <c r="Q58" s="80" t="str">
        <f>REPLACE(INDEX(GroupVertices[Group],MATCH(Edges[[#This Row],[Vertex 1]],GroupVertices[Vertex],0)),1,1,"")</f>
        <v>4</v>
      </c>
      <c r="R58" s="80" t="str">
        <f>REPLACE(INDEX(GroupVertices[Group],MATCH(Edges[[#This Row],[Vertex 2]],GroupVertices[Vertex],0)),1,1,"")</f>
        <v>4</v>
      </c>
      <c r="S58" s="35"/>
      <c r="T58" s="35"/>
      <c r="U58" s="35"/>
      <c r="V58" s="35"/>
      <c r="W58" s="35"/>
      <c r="X58" s="35"/>
      <c r="Y58" s="35"/>
      <c r="Z58" s="35"/>
      <c r="AA58" s="35"/>
    </row>
    <row r="59" spans="1:27" ht="15">
      <c r="A59" s="65" t="s">
        <v>207</v>
      </c>
      <c r="B59" s="65" t="s">
        <v>286</v>
      </c>
      <c r="C59" s="66" t="s">
        <v>1612</v>
      </c>
      <c r="D59" s="67">
        <v>5</v>
      </c>
      <c r="E59" s="68"/>
      <c r="F59" s="69">
        <v>25</v>
      </c>
      <c r="G59" s="66"/>
      <c r="H59" s="70"/>
      <c r="I59" s="71"/>
      <c r="J59" s="71"/>
      <c r="K59" s="35" t="s">
        <v>65</v>
      </c>
      <c r="L59" s="79">
        <v>59</v>
      </c>
      <c r="M59" s="79"/>
      <c r="N59" s="73"/>
      <c r="O59" s="81" t="s">
        <v>377</v>
      </c>
      <c r="P59">
        <v>1</v>
      </c>
      <c r="Q59" s="80" t="str">
        <f>REPLACE(INDEX(GroupVertices[Group],MATCH(Edges[[#This Row],[Vertex 1]],GroupVertices[Vertex],0)),1,1,"")</f>
        <v>4</v>
      </c>
      <c r="R59" s="80" t="str">
        <f>REPLACE(INDEX(GroupVertices[Group],MATCH(Edges[[#This Row],[Vertex 2]],GroupVertices[Vertex],0)),1,1,"")</f>
        <v>4</v>
      </c>
      <c r="S59" s="35"/>
      <c r="T59" s="35"/>
      <c r="U59" s="35"/>
      <c r="V59" s="35"/>
      <c r="W59" s="35"/>
      <c r="X59" s="35"/>
      <c r="Y59" s="35"/>
      <c r="Z59" s="35"/>
      <c r="AA59" s="35"/>
    </row>
    <row r="60" spans="1:27" ht="15">
      <c r="A60" s="65" t="s">
        <v>207</v>
      </c>
      <c r="B60" s="65" t="s">
        <v>287</v>
      </c>
      <c r="C60" s="66" t="s">
        <v>1612</v>
      </c>
      <c r="D60" s="67">
        <v>5</v>
      </c>
      <c r="E60" s="68"/>
      <c r="F60" s="69">
        <v>25</v>
      </c>
      <c r="G60" s="66"/>
      <c r="H60" s="70"/>
      <c r="I60" s="71"/>
      <c r="J60" s="71"/>
      <c r="K60" s="35" t="s">
        <v>65</v>
      </c>
      <c r="L60" s="79">
        <v>60</v>
      </c>
      <c r="M60" s="79"/>
      <c r="N60" s="73"/>
      <c r="O60" s="81" t="s">
        <v>377</v>
      </c>
      <c r="P60">
        <v>1</v>
      </c>
      <c r="Q60" s="80" t="str">
        <f>REPLACE(INDEX(GroupVertices[Group],MATCH(Edges[[#This Row],[Vertex 1]],GroupVertices[Vertex],0)),1,1,"")</f>
        <v>4</v>
      </c>
      <c r="R60" s="80" t="str">
        <f>REPLACE(INDEX(GroupVertices[Group],MATCH(Edges[[#This Row],[Vertex 2]],GroupVertices[Vertex],0)),1,1,"")</f>
        <v>4</v>
      </c>
      <c r="S60" s="35"/>
      <c r="T60" s="35"/>
      <c r="U60" s="35"/>
      <c r="V60" s="35"/>
      <c r="W60" s="35"/>
      <c r="X60" s="35"/>
      <c r="Y60" s="35"/>
      <c r="Z60" s="35"/>
      <c r="AA60" s="35"/>
    </row>
    <row r="61" spans="1:27" ht="15">
      <c r="A61" s="65" t="s">
        <v>207</v>
      </c>
      <c r="B61" s="65" t="s">
        <v>288</v>
      </c>
      <c r="C61" s="66" t="s">
        <v>1612</v>
      </c>
      <c r="D61" s="67">
        <v>5</v>
      </c>
      <c r="E61" s="68"/>
      <c r="F61" s="69">
        <v>25</v>
      </c>
      <c r="G61" s="66"/>
      <c r="H61" s="70"/>
      <c r="I61" s="71"/>
      <c r="J61" s="71"/>
      <c r="K61" s="35" t="s">
        <v>65</v>
      </c>
      <c r="L61" s="79">
        <v>61</v>
      </c>
      <c r="M61" s="79"/>
      <c r="N61" s="73"/>
      <c r="O61" s="81" t="s">
        <v>377</v>
      </c>
      <c r="P61">
        <v>1</v>
      </c>
      <c r="Q61" s="80" t="str">
        <f>REPLACE(INDEX(GroupVertices[Group],MATCH(Edges[[#This Row],[Vertex 1]],GroupVertices[Vertex],0)),1,1,"")</f>
        <v>4</v>
      </c>
      <c r="R61" s="80" t="str">
        <f>REPLACE(INDEX(GroupVertices[Group],MATCH(Edges[[#This Row],[Vertex 2]],GroupVertices[Vertex],0)),1,1,"")</f>
        <v>4</v>
      </c>
      <c r="S61" s="35"/>
      <c r="T61" s="35"/>
      <c r="U61" s="35"/>
      <c r="V61" s="35"/>
      <c r="W61" s="35"/>
      <c r="X61" s="35"/>
      <c r="Y61" s="35"/>
      <c r="Z61" s="35"/>
      <c r="AA61" s="35"/>
    </row>
    <row r="62" spans="1:27" ht="15">
      <c r="A62" s="65" t="s">
        <v>207</v>
      </c>
      <c r="B62" s="65" t="s">
        <v>289</v>
      </c>
      <c r="C62" s="66" t="s">
        <v>1612</v>
      </c>
      <c r="D62" s="67">
        <v>5</v>
      </c>
      <c r="E62" s="68"/>
      <c r="F62" s="69">
        <v>25</v>
      </c>
      <c r="G62" s="66"/>
      <c r="H62" s="70"/>
      <c r="I62" s="71"/>
      <c r="J62" s="71"/>
      <c r="K62" s="35" t="s">
        <v>65</v>
      </c>
      <c r="L62" s="79">
        <v>62</v>
      </c>
      <c r="M62" s="79"/>
      <c r="N62" s="73"/>
      <c r="O62" s="81" t="s">
        <v>377</v>
      </c>
      <c r="P62">
        <v>1</v>
      </c>
      <c r="Q62" s="80" t="str">
        <f>REPLACE(INDEX(GroupVertices[Group],MATCH(Edges[[#This Row],[Vertex 1]],GroupVertices[Vertex],0)),1,1,"")</f>
        <v>4</v>
      </c>
      <c r="R62" s="80" t="str">
        <f>REPLACE(INDEX(GroupVertices[Group],MATCH(Edges[[#This Row],[Vertex 2]],GroupVertices[Vertex],0)),1,1,"")</f>
        <v>4</v>
      </c>
      <c r="S62" s="35"/>
      <c r="T62" s="35"/>
      <c r="U62" s="35"/>
      <c r="V62" s="35"/>
      <c r="W62" s="35"/>
      <c r="X62" s="35"/>
      <c r="Y62" s="35"/>
      <c r="Z62" s="35"/>
      <c r="AA62" s="35"/>
    </row>
    <row r="63" spans="1:27" ht="15">
      <c r="A63" s="65" t="s">
        <v>207</v>
      </c>
      <c r="B63" s="65" t="s">
        <v>290</v>
      </c>
      <c r="C63" s="66" t="s">
        <v>1612</v>
      </c>
      <c r="D63" s="67">
        <v>5</v>
      </c>
      <c r="E63" s="68"/>
      <c r="F63" s="69">
        <v>25</v>
      </c>
      <c r="G63" s="66"/>
      <c r="H63" s="70"/>
      <c r="I63" s="71"/>
      <c r="J63" s="71"/>
      <c r="K63" s="35" t="s">
        <v>65</v>
      </c>
      <c r="L63" s="79">
        <v>63</v>
      </c>
      <c r="M63" s="79"/>
      <c r="N63" s="73"/>
      <c r="O63" s="81" t="s">
        <v>377</v>
      </c>
      <c r="P63">
        <v>1</v>
      </c>
      <c r="Q63" s="80" t="str">
        <f>REPLACE(INDEX(GroupVertices[Group],MATCH(Edges[[#This Row],[Vertex 1]],GroupVertices[Vertex],0)),1,1,"")</f>
        <v>4</v>
      </c>
      <c r="R63" s="80" t="str">
        <f>REPLACE(INDEX(GroupVertices[Group],MATCH(Edges[[#This Row],[Vertex 2]],GroupVertices[Vertex],0)),1,1,"")</f>
        <v>4</v>
      </c>
      <c r="S63" s="35"/>
      <c r="T63" s="35"/>
      <c r="U63" s="35"/>
      <c r="V63" s="35"/>
      <c r="W63" s="35"/>
      <c r="X63" s="35"/>
      <c r="Y63" s="35"/>
      <c r="Z63" s="35"/>
      <c r="AA63" s="35"/>
    </row>
    <row r="64" spans="1:27" ht="15">
      <c r="A64" s="65" t="s">
        <v>208</v>
      </c>
      <c r="B64" s="65" t="s">
        <v>291</v>
      </c>
      <c r="C64" s="66" t="s">
        <v>1612</v>
      </c>
      <c r="D64" s="67">
        <v>5</v>
      </c>
      <c r="E64" s="68"/>
      <c r="F64" s="69">
        <v>25</v>
      </c>
      <c r="G64" s="66"/>
      <c r="H64" s="70"/>
      <c r="I64" s="71"/>
      <c r="J64" s="71"/>
      <c r="K64" s="35" t="s">
        <v>65</v>
      </c>
      <c r="L64" s="79">
        <v>64</v>
      </c>
      <c r="M64" s="79"/>
      <c r="N64" s="73"/>
      <c r="O64" s="81" t="s">
        <v>377</v>
      </c>
      <c r="P64">
        <v>1</v>
      </c>
      <c r="Q64" s="80" t="str">
        <f>REPLACE(INDEX(GroupVertices[Group],MATCH(Edges[[#This Row],[Vertex 1]],GroupVertices[Vertex],0)),1,1,"")</f>
        <v>3</v>
      </c>
      <c r="R64" s="80" t="str">
        <f>REPLACE(INDEX(GroupVertices[Group],MATCH(Edges[[#This Row],[Vertex 2]],GroupVertices[Vertex],0)),1,1,"")</f>
        <v>3</v>
      </c>
      <c r="S64" s="35"/>
      <c r="T64" s="35"/>
      <c r="U64" s="35"/>
      <c r="V64" s="35"/>
      <c r="W64" s="35"/>
      <c r="X64" s="35"/>
      <c r="Y64" s="35"/>
      <c r="Z64" s="35"/>
      <c r="AA64" s="35"/>
    </row>
    <row r="65" spans="1:27" ht="15">
      <c r="A65" s="65" t="s">
        <v>208</v>
      </c>
      <c r="B65" s="65" t="s">
        <v>292</v>
      </c>
      <c r="C65" s="66" t="s">
        <v>1612</v>
      </c>
      <c r="D65" s="67">
        <v>5</v>
      </c>
      <c r="E65" s="68"/>
      <c r="F65" s="69">
        <v>25</v>
      </c>
      <c r="G65" s="66"/>
      <c r="H65" s="70"/>
      <c r="I65" s="71"/>
      <c r="J65" s="71"/>
      <c r="K65" s="35" t="s">
        <v>65</v>
      </c>
      <c r="L65" s="79">
        <v>65</v>
      </c>
      <c r="M65" s="79"/>
      <c r="N65" s="73"/>
      <c r="O65" s="81" t="s">
        <v>377</v>
      </c>
      <c r="P65">
        <v>1</v>
      </c>
      <c r="Q65" s="80" t="str">
        <f>REPLACE(INDEX(GroupVertices[Group],MATCH(Edges[[#This Row],[Vertex 1]],GroupVertices[Vertex],0)),1,1,"")</f>
        <v>3</v>
      </c>
      <c r="R65" s="80" t="str">
        <f>REPLACE(INDEX(GroupVertices[Group],MATCH(Edges[[#This Row],[Vertex 2]],GroupVertices[Vertex],0)),1,1,"")</f>
        <v>3</v>
      </c>
      <c r="S65" s="35"/>
      <c r="T65" s="35"/>
      <c r="U65" s="35"/>
      <c r="V65" s="35"/>
      <c r="W65" s="35"/>
      <c r="X65" s="35"/>
      <c r="Y65" s="35"/>
      <c r="Z65" s="35"/>
      <c r="AA65" s="35"/>
    </row>
    <row r="66" spans="1:27" ht="15">
      <c r="A66" s="65" t="s">
        <v>208</v>
      </c>
      <c r="B66" s="65" t="s">
        <v>293</v>
      </c>
      <c r="C66" s="66" t="s">
        <v>1612</v>
      </c>
      <c r="D66" s="67">
        <v>5</v>
      </c>
      <c r="E66" s="68"/>
      <c r="F66" s="69">
        <v>25</v>
      </c>
      <c r="G66" s="66"/>
      <c r="H66" s="70"/>
      <c r="I66" s="71"/>
      <c r="J66" s="71"/>
      <c r="K66" s="35" t="s">
        <v>65</v>
      </c>
      <c r="L66" s="79">
        <v>66</v>
      </c>
      <c r="M66" s="79"/>
      <c r="N66" s="73"/>
      <c r="O66" s="81" t="s">
        <v>377</v>
      </c>
      <c r="P66">
        <v>1</v>
      </c>
      <c r="Q66" s="80" t="str">
        <f>REPLACE(INDEX(GroupVertices[Group],MATCH(Edges[[#This Row],[Vertex 1]],GroupVertices[Vertex],0)),1,1,"")</f>
        <v>3</v>
      </c>
      <c r="R66" s="80" t="str">
        <f>REPLACE(INDEX(GroupVertices[Group],MATCH(Edges[[#This Row],[Vertex 2]],GroupVertices[Vertex],0)),1,1,"")</f>
        <v>3</v>
      </c>
      <c r="S66" s="35"/>
      <c r="T66" s="35"/>
      <c r="U66" s="35"/>
      <c r="V66" s="35"/>
      <c r="W66" s="35"/>
      <c r="X66" s="35"/>
      <c r="Y66" s="35"/>
      <c r="Z66" s="35"/>
      <c r="AA66" s="35"/>
    </row>
    <row r="67" spans="1:27" ht="15">
      <c r="A67" s="65" t="s">
        <v>202</v>
      </c>
      <c r="B67" s="65" t="s">
        <v>294</v>
      </c>
      <c r="C67" s="66" t="s">
        <v>1612</v>
      </c>
      <c r="D67" s="67">
        <v>5</v>
      </c>
      <c r="E67" s="68"/>
      <c r="F67" s="69">
        <v>25</v>
      </c>
      <c r="G67" s="66"/>
      <c r="H67" s="70"/>
      <c r="I67" s="71"/>
      <c r="J67" s="71"/>
      <c r="K67" s="35" t="s">
        <v>65</v>
      </c>
      <c r="L67" s="79">
        <v>67</v>
      </c>
      <c r="M67" s="79"/>
      <c r="N67" s="73"/>
      <c r="O67" s="81" t="s">
        <v>377</v>
      </c>
      <c r="P67">
        <v>1</v>
      </c>
      <c r="Q67" s="80" t="str">
        <f>REPLACE(INDEX(GroupVertices[Group],MATCH(Edges[[#This Row],[Vertex 1]],GroupVertices[Vertex],0)),1,1,"")</f>
        <v>3</v>
      </c>
      <c r="R67" s="80" t="str">
        <f>REPLACE(INDEX(GroupVertices[Group],MATCH(Edges[[#This Row],[Vertex 2]],GroupVertices[Vertex],0)),1,1,"")</f>
        <v>3</v>
      </c>
      <c r="S67" s="35"/>
      <c r="T67" s="35"/>
      <c r="U67" s="35"/>
      <c r="V67" s="35"/>
      <c r="W67" s="35"/>
      <c r="X67" s="35"/>
      <c r="Y67" s="35"/>
      <c r="Z67" s="35"/>
      <c r="AA67" s="35"/>
    </row>
    <row r="68" spans="1:27" ht="15">
      <c r="A68" s="65" t="s">
        <v>208</v>
      </c>
      <c r="B68" s="65" t="s">
        <v>294</v>
      </c>
      <c r="C68" s="66" t="s">
        <v>1612</v>
      </c>
      <c r="D68" s="67">
        <v>5</v>
      </c>
      <c r="E68" s="68"/>
      <c r="F68" s="69">
        <v>25</v>
      </c>
      <c r="G68" s="66"/>
      <c r="H68" s="70"/>
      <c r="I68" s="71"/>
      <c r="J68" s="71"/>
      <c r="K68" s="35" t="s">
        <v>65</v>
      </c>
      <c r="L68" s="79">
        <v>68</v>
      </c>
      <c r="M68" s="79"/>
      <c r="N68" s="73"/>
      <c r="O68" s="81" t="s">
        <v>377</v>
      </c>
      <c r="P68">
        <v>1</v>
      </c>
      <c r="Q68" s="80" t="str">
        <f>REPLACE(INDEX(GroupVertices[Group],MATCH(Edges[[#This Row],[Vertex 1]],GroupVertices[Vertex],0)),1,1,"")</f>
        <v>3</v>
      </c>
      <c r="R68" s="80" t="str">
        <f>REPLACE(INDEX(GroupVertices[Group],MATCH(Edges[[#This Row],[Vertex 2]],GroupVertices[Vertex],0)),1,1,"")</f>
        <v>3</v>
      </c>
      <c r="S68" s="35"/>
      <c r="T68" s="35"/>
      <c r="U68" s="35"/>
      <c r="V68" s="35"/>
      <c r="W68" s="35"/>
      <c r="X68" s="35"/>
      <c r="Y68" s="35"/>
      <c r="Z68" s="35"/>
      <c r="AA68" s="35"/>
    </row>
    <row r="69" spans="1:27" ht="15">
      <c r="A69" s="65" t="s">
        <v>202</v>
      </c>
      <c r="B69" s="65" t="s">
        <v>295</v>
      </c>
      <c r="C69" s="66" t="s">
        <v>1612</v>
      </c>
      <c r="D69" s="67">
        <v>5</v>
      </c>
      <c r="E69" s="68"/>
      <c r="F69" s="69">
        <v>25</v>
      </c>
      <c r="G69" s="66"/>
      <c r="H69" s="70"/>
      <c r="I69" s="71"/>
      <c r="J69" s="71"/>
      <c r="K69" s="35" t="s">
        <v>65</v>
      </c>
      <c r="L69" s="79">
        <v>69</v>
      </c>
      <c r="M69" s="79"/>
      <c r="N69" s="73"/>
      <c r="O69" s="81" t="s">
        <v>377</v>
      </c>
      <c r="P69">
        <v>1</v>
      </c>
      <c r="Q69" s="80" t="str">
        <f>REPLACE(INDEX(GroupVertices[Group],MATCH(Edges[[#This Row],[Vertex 1]],GroupVertices[Vertex],0)),1,1,"")</f>
        <v>3</v>
      </c>
      <c r="R69" s="80" t="str">
        <f>REPLACE(INDEX(GroupVertices[Group],MATCH(Edges[[#This Row],[Vertex 2]],GroupVertices[Vertex],0)),1,1,"")</f>
        <v>3</v>
      </c>
      <c r="S69" s="35"/>
      <c r="T69" s="35"/>
      <c r="U69" s="35"/>
      <c r="V69" s="35"/>
      <c r="W69" s="35"/>
      <c r="X69" s="35"/>
      <c r="Y69" s="35"/>
      <c r="Z69" s="35"/>
      <c r="AA69" s="35"/>
    </row>
    <row r="70" spans="1:27" ht="15">
      <c r="A70" s="65" t="s">
        <v>208</v>
      </c>
      <c r="B70" s="65" t="s">
        <v>295</v>
      </c>
      <c r="C70" s="66" t="s">
        <v>1612</v>
      </c>
      <c r="D70" s="67">
        <v>5</v>
      </c>
      <c r="E70" s="68"/>
      <c r="F70" s="69">
        <v>25</v>
      </c>
      <c r="G70" s="66"/>
      <c r="H70" s="70"/>
      <c r="I70" s="71"/>
      <c r="J70" s="71"/>
      <c r="K70" s="35" t="s">
        <v>65</v>
      </c>
      <c r="L70" s="79">
        <v>70</v>
      </c>
      <c r="M70" s="79"/>
      <c r="N70" s="73"/>
      <c r="O70" s="81" t="s">
        <v>377</v>
      </c>
      <c r="P70">
        <v>1</v>
      </c>
      <c r="Q70" s="80" t="str">
        <f>REPLACE(INDEX(GroupVertices[Group],MATCH(Edges[[#This Row],[Vertex 1]],GroupVertices[Vertex],0)),1,1,"")</f>
        <v>3</v>
      </c>
      <c r="R70" s="80" t="str">
        <f>REPLACE(INDEX(GroupVertices[Group],MATCH(Edges[[#This Row],[Vertex 2]],GroupVertices[Vertex],0)),1,1,"")</f>
        <v>3</v>
      </c>
      <c r="S70" s="35"/>
      <c r="T70" s="35"/>
      <c r="U70" s="35"/>
      <c r="V70" s="35"/>
      <c r="W70" s="35"/>
      <c r="X70" s="35"/>
      <c r="Y70" s="35"/>
      <c r="Z70" s="35"/>
      <c r="AA70" s="35"/>
    </row>
    <row r="71" spans="1:27" ht="15">
      <c r="A71" s="65" t="s">
        <v>208</v>
      </c>
      <c r="B71" s="65" t="s">
        <v>296</v>
      </c>
      <c r="C71" s="66" t="s">
        <v>1612</v>
      </c>
      <c r="D71" s="67">
        <v>5</v>
      </c>
      <c r="E71" s="68"/>
      <c r="F71" s="69">
        <v>25</v>
      </c>
      <c r="G71" s="66"/>
      <c r="H71" s="70"/>
      <c r="I71" s="71"/>
      <c r="J71" s="71"/>
      <c r="K71" s="35" t="s">
        <v>65</v>
      </c>
      <c r="L71" s="79">
        <v>71</v>
      </c>
      <c r="M71" s="79"/>
      <c r="N71" s="73"/>
      <c r="O71" s="81" t="s">
        <v>377</v>
      </c>
      <c r="P71">
        <v>1</v>
      </c>
      <c r="Q71" s="80" t="str">
        <f>REPLACE(INDEX(GroupVertices[Group],MATCH(Edges[[#This Row],[Vertex 1]],GroupVertices[Vertex],0)),1,1,"")</f>
        <v>3</v>
      </c>
      <c r="R71" s="80" t="str">
        <f>REPLACE(INDEX(GroupVertices[Group],MATCH(Edges[[#This Row],[Vertex 2]],GroupVertices[Vertex],0)),1,1,"")</f>
        <v>3</v>
      </c>
      <c r="S71" s="35"/>
      <c r="T71" s="35"/>
      <c r="U71" s="35"/>
      <c r="V71" s="35"/>
      <c r="W71" s="35"/>
      <c r="X71" s="35"/>
      <c r="Y71" s="35"/>
      <c r="Z71" s="35"/>
      <c r="AA71" s="35"/>
    </row>
    <row r="72" spans="1:27" ht="15">
      <c r="A72" s="65" t="s">
        <v>208</v>
      </c>
      <c r="B72" s="65" t="s">
        <v>297</v>
      </c>
      <c r="C72" s="66" t="s">
        <v>1612</v>
      </c>
      <c r="D72" s="67">
        <v>5</v>
      </c>
      <c r="E72" s="68"/>
      <c r="F72" s="69">
        <v>25</v>
      </c>
      <c r="G72" s="66"/>
      <c r="H72" s="70"/>
      <c r="I72" s="71"/>
      <c r="J72" s="71"/>
      <c r="K72" s="35" t="s">
        <v>65</v>
      </c>
      <c r="L72" s="79">
        <v>72</v>
      </c>
      <c r="M72" s="79"/>
      <c r="N72" s="73"/>
      <c r="O72" s="81" t="s">
        <v>377</v>
      </c>
      <c r="P72">
        <v>1</v>
      </c>
      <c r="Q72" s="80" t="str">
        <f>REPLACE(INDEX(GroupVertices[Group],MATCH(Edges[[#This Row],[Vertex 1]],GroupVertices[Vertex],0)),1,1,"")</f>
        <v>3</v>
      </c>
      <c r="R72" s="80" t="str">
        <f>REPLACE(INDEX(GroupVertices[Group],MATCH(Edges[[#This Row],[Vertex 2]],GroupVertices[Vertex],0)),1,1,"")</f>
        <v>3</v>
      </c>
      <c r="S72" s="35"/>
      <c r="T72" s="35"/>
      <c r="U72" s="35"/>
      <c r="V72" s="35"/>
      <c r="W72" s="35"/>
      <c r="X72" s="35"/>
      <c r="Y72" s="35"/>
      <c r="Z72" s="35"/>
      <c r="AA72" s="35"/>
    </row>
    <row r="73" spans="1:27" ht="15">
      <c r="A73" s="65" t="s">
        <v>208</v>
      </c>
      <c r="B73" s="65" t="s">
        <v>298</v>
      </c>
      <c r="C73" s="66" t="s">
        <v>1612</v>
      </c>
      <c r="D73" s="67">
        <v>5</v>
      </c>
      <c r="E73" s="68"/>
      <c r="F73" s="69">
        <v>25</v>
      </c>
      <c r="G73" s="66"/>
      <c r="H73" s="70"/>
      <c r="I73" s="71"/>
      <c r="J73" s="71"/>
      <c r="K73" s="35" t="s">
        <v>65</v>
      </c>
      <c r="L73" s="79">
        <v>73</v>
      </c>
      <c r="M73" s="79"/>
      <c r="N73" s="73"/>
      <c r="O73" s="81" t="s">
        <v>377</v>
      </c>
      <c r="P73">
        <v>1</v>
      </c>
      <c r="Q73" s="80" t="str">
        <f>REPLACE(INDEX(GroupVertices[Group],MATCH(Edges[[#This Row],[Vertex 1]],GroupVertices[Vertex],0)),1,1,"")</f>
        <v>3</v>
      </c>
      <c r="R73" s="80" t="str">
        <f>REPLACE(INDEX(GroupVertices[Group],MATCH(Edges[[#This Row],[Vertex 2]],GroupVertices[Vertex],0)),1,1,"")</f>
        <v>3</v>
      </c>
      <c r="S73" s="35"/>
      <c r="T73" s="35"/>
      <c r="U73" s="35"/>
      <c r="V73" s="35"/>
      <c r="W73" s="35"/>
      <c r="X73" s="35"/>
      <c r="Y73" s="35"/>
      <c r="Z73" s="35"/>
      <c r="AA73" s="35"/>
    </row>
    <row r="74" spans="1:27" ht="15">
      <c r="A74" s="65" t="s">
        <v>209</v>
      </c>
      <c r="B74" s="65" t="s">
        <v>299</v>
      </c>
      <c r="C74" s="66" t="s">
        <v>1612</v>
      </c>
      <c r="D74" s="67">
        <v>5</v>
      </c>
      <c r="E74" s="68"/>
      <c r="F74" s="69">
        <v>25</v>
      </c>
      <c r="G74" s="66"/>
      <c r="H74" s="70"/>
      <c r="I74" s="71"/>
      <c r="J74" s="71"/>
      <c r="K74" s="35" t="s">
        <v>65</v>
      </c>
      <c r="L74" s="79">
        <v>74</v>
      </c>
      <c r="M74" s="79"/>
      <c r="N74" s="73"/>
      <c r="O74" s="81" t="s">
        <v>377</v>
      </c>
      <c r="P74">
        <v>1</v>
      </c>
      <c r="Q74" s="80" t="str">
        <f>REPLACE(INDEX(GroupVertices[Group],MATCH(Edges[[#This Row],[Vertex 1]],GroupVertices[Vertex],0)),1,1,"")</f>
        <v>2</v>
      </c>
      <c r="R74" s="80" t="str">
        <f>REPLACE(INDEX(GroupVertices[Group],MATCH(Edges[[#This Row],[Vertex 2]],GroupVertices[Vertex],0)),1,1,"")</f>
        <v>2</v>
      </c>
      <c r="S74" s="35"/>
      <c r="T74" s="35"/>
      <c r="U74" s="35"/>
      <c r="V74" s="35"/>
      <c r="W74" s="35"/>
      <c r="X74" s="35"/>
      <c r="Y74" s="35"/>
      <c r="Z74" s="35"/>
      <c r="AA74" s="35"/>
    </row>
    <row r="75" spans="1:27" ht="15">
      <c r="A75" s="65" t="s">
        <v>209</v>
      </c>
      <c r="B75" s="65" t="s">
        <v>300</v>
      </c>
      <c r="C75" s="66" t="s">
        <v>1612</v>
      </c>
      <c r="D75" s="67">
        <v>5</v>
      </c>
      <c r="E75" s="68"/>
      <c r="F75" s="69">
        <v>25</v>
      </c>
      <c r="G75" s="66"/>
      <c r="H75" s="70"/>
      <c r="I75" s="71"/>
      <c r="J75" s="71"/>
      <c r="K75" s="35" t="s">
        <v>65</v>
      </c>
      <c r="L75" s="79">
        <v>75</v>
      </c>
      <c r="M75" s="79"/>
      <c r="N75" s="73"/>
      <c r="O75" s="81" t="s">
        <v>377</v>
      </c>
      <c r="P75">
        <v>1</v>
      </c>
      <c r="Q75" s="80" t="str">
        <f>REPLACE(INDEX(GroupVertices[Group],MATCH(Edges[[#This Row],[Vertex 1]],GroupVertices[Vertex],0)),1,1,"")</f>
        <v>2</v>
      </c>
      <c r="R75" s="80" t="str">
        <f>REPLACE(INDEX(GroupVertices[Group],MATCH(Edges[[#This Row],[Vertex 2]],GroupVertices[Vertex],0)),1,1,"")</f>
        <v>2</v>
      </c>
      <c r="S75" s="35"/>
      <c r="T75" s="35"/>
      <c r="U75" s="35"/>
      <c r="V75" s="35"/>
      <c r="W75" s="35"/>
      <c r="X75" s="35"/>
      <c r="Y75" s="35"/>
      <c r="Z75" s="35"/>
      <c r="AA75" s="35"/>
    </row>
    <row r="76" spans="1:27" ht="15">
      <c r="A76" s="65" t="s">
        <v>209</v>
      </c>
      <c r="B76" s="65" t="s">
        <v>301</v>
      </c>
      <c r="C76" s="66" t="s">
        <v>1612</v>
      </c>
      <c r="D76" s="67">
        <v>5</v>
      </c>
      <c r="E76" s="68"/>
      <c r="F76" s="69">
        <v>25</v>
      </c>
      <c r="G76" s="66"/>
      <c r="H76" s="70"/>
      <c r="I76" s="71"/>
      <c r="J76" s="71"/>
      <c r="K76" s="35" t="s">
        <v>65</v>
      </c>
      <c r="L76" s="79">
        <v>76</v>
      </c>
      <c r="M76" s="79"/>
      <c r="N76" s="73"/>
      <c r="O76" s="81" t="s">
        <v>377</v>
      </c>
      <c r="P76">
        <v>1</v>
      </c>
      <c r="Q76" s="80" t="str">
        <f>REPLACE(INDEX(GroupVertices[Group],MATCH(Edges[[#This Row],[Vertex 1]],GroupVertices[Vertex],0)),1,1,"")</f>
        <v>2</v>
      </c>
      <c r="R76" s="80" t="str">
        <f>REPLACE(INDEX(GroupVertices[Group],MATCH(Edges[[#This Row],[Vertex 2]],GroupVertices[Vertex],0)),1,1,"")</f>
        <v>2</v>
      </c>
      <c r="S76" s="35"/>
      <c r="T76" s="35"/>
      <c r="U76" s="35"/>
      <c r="V76" s="35"/>
      <c r="W76" s="35"/>
      <c r="X76" s="35"/>
      <c r="Y76" s="35"/>
      <c r="Z76" s="35"/>
      <c r="AA76" s="35"/>
    </row>
    <row r="77" spans="1:27" ht="15">
      <c r="A77" s="65" t="s">
        <v>209</v>
      </c>
      <c r="B77" s="65" t="s">
        <v>302</v>
      </c>
      <c r="C77" s="66" t="s">
        <v>1612</v>
      </c>
      <c r="D77" s="67">
        <v>5</v>
      </c>
      <c r="E77" s="68"/>
      <c r="F77" s="69">
        <v>25</v>
      </c>
      <c r="G77" s="66"/>
      <c r="H77" s="70"/>
      <c r="I77" s="71"/>
      <c r="J77" s="71"/>
      <c r="K77" s="35" t="s">
        <v>65</v>
      </c>
      <c r="L77" s="79">
        <v>77</v>
      </c>
      <c r="M77" s="79"/>
      <c r="N77" s="73"/>
      <c r="O77" s="81" t="s">
        <v>377</v>
      </c>
      <c r="P77">
        <v>1</v>
      </c>
      <c r="Q77" s="80" t="str">
        <f>REPLACE(INDEX(GroupVertices[Group],MATCH(Edges[[#This Row],[Vertex 1]],GroupVertices[Vertex],0)),1,1,"")</f>
        <v>2</v>
      </c>
      <c r="R77" s="80" t="str">
        <f>REPLACE(INDEX(GroupVertices[Group],MATCH(Edges[[#This Row],[Vertex 2]],GroupVertices[Vertex],0)),1,1,"")</f>
        <v>2</v>
      </c>
      <c r="S77" s="35"/>
      <c r="T77" s="35"/>
      <c r="U77" s="35"/>
      <c r="V77" s="35"/>
      <c r="W77" s="35"/>
      <c r="X77" s="35"/>
      <c r="Y77" s="35"/>
      <c r="Z77" s="35"/>
      <c r="AA77" s="35"/>
    </row>
    <row r="78" spans="1:27" ht="15">
      <c r="A78" s="65" t="s">
        <v>209</v>
      </c>
      <c r="B78" s="65" t="s">
        <v>303</v>
      </c>
      <c r="C78" s="66" t="s">
        <v>1612</v>
      </c>
      <c r="D78" s="67">
        <v>5</v>
      </c>
      <c r="E78" s="68"/>
      <c r="F78" s="69">
        <v>25</v>
      </c>
      <c r="G78" s="66"/>
      <c r="H78" s="70"/>
      <c r="I78" s="71"/>
      <c r="J78" s="71"/>
      <c r="K78" s="35" t="s">
        <v>65</v>
      </c>
      <c r="L78" s="79">
        <v>78</v>
      </c>
      <c r="M78" s="79"/>
      <c r="N78" s="73"/>
      <c r="O78" s="81" t="s">
        <v>377</v>
      </c>
      <c r="P78">
        <v>1</v>
      </c>
      <c r="Q78" s="80" t="str">
        <f>REPLACE(INDEX(GroupVertices[Group],MATCH(Edges[[#This Row],[Vertex 1]],GroupVertices[Vertex],0)),1,1,"")</f>
        <v>2</v>
      </c>
      <c r="R78" s="80" t="str">
        <f>REPLACE(INDEX(GroupVertices[Group],MATCH(Edges[[#This Row],[Vertex 2]],GroupVertices[Vertex],0)),1,1,"")</f>
        <v>2</v>
      </c>
      <c r="S78" s="35"/>
      <c r="T78" s="35"/>
      <c r="U78" s="35"/>
      <c r="V78" s="35"/>
      <c r="W78" s="35"/>
      <c r="X78" s="35"/>
      <c r="Y78" s="35"/>
      <c r="Z78" s="35"/>
      <c r="AA78" s="35"/>
    </row>
    <row r="79" spans="1:27" ht="15">
      <c r="A79" s="65" t="s">
        <v>209</v>
      </c>
      <c r="B79" s="65" t="s">
        <v>304</v>
      </c>
      <c r="C79" s="66" t="s">
        <v>1612</v>
      </c>
      <c r="D79" s="67">
        <v>5</v>
      </c>
      <c r="E79" s="68"/>
      <c r="F79" s="69">
        <v>25</v>
      </c>
      <c r="G79" s="66"/>
      <c r="H79" s="70"/>
      <c r="I79" s="71"/>
      <c r="J79" s="71"/>
      <c r="K79" s="35" t="s">
        <v>65</v>
      </c>
      <c r="L79" s="79">
        <v>79</v>
      </c>
      <c r="M79" s="79"/>
      <c r="N79" s="73"/>
      <c r="O79" s="81" t="s">
        <v>377</v>
      </c>
      <c r="P79">
        <v>1</v>
      </c>
      <c r="Q79" s="80" t="str">
        <f>REPLACE(INDEX(GroupVertices[Group],MATCH(Edges[[#This Row],[Vertex 1]],GroupVertices[Vertex],0)),1,1,"")</f>
        <v>2</v>
      </c>
      <c r="R79" s="80" t="str">
        <f>REPLACE(INDEX(GroupVertices[Group],MATCH(Edges[[#This Row],[Vertex 2]],GroupVertices[Vertex],0)),1,1,"")</f>
        <v>2</v>
      </c>
      <c r="S79" s="35"/>
      <c r="T79" s="35"/>
      <c r="U79" s="35"/>
      <c r="V79" s="35"/>
      <c r="W79" s="35"/>
      <c r="X79" s="35"/>
      <c r="Y79" s="35"/>
      <c r="Z79" s="35"/>
      <c r="AA79" s="35"/>
    </row>
    <row r="80" spans="1:27" ht="15">
      <c r="A80" s="65" t="s">
        <v>209</v>
      </c>
      <c r="B80" s="65" t="s">
        <v>305</v>
      </c>
      <c r="C80" s="66" t="s">
        <v>1612</v>
      </c>
      <c r="D80" s="67">
        <v>5</v>
      </c>
      <c r="E80" s="68"/>
      <c r="F80" s="69">
        <v>25</v>
      </c>
      <c r="G80" s="66"/>
      <c r="H80" s="70"/>
      <c r="I80" s="71"/>
      <c r="J80" s="71"/>
      <c r="K80" s="35" t="s">
        <v>65</v>
      </c>
      <c r="L80" s="79">
        <v>80</v>
      </c>
      <c r="M80" s="79"/>
      <c r="N80" s="73"/>
      <c r="O80" s="81" t="s">
        <v>377</v>
      </c>
      <c r="P80">
        <v>1</v>
      </c>
      <c r="Q80" s="80" t="str">
        <f>REPLACE(INDEX(GroupVertices[Group],MATCH(Edges[[#This Row],[Vertex 1]],GroupVertices[Vertex],0)),1,1,"")</f>
        <v>2</v>
      </c>
      <c r="R80" s="80" t="str">
        <f>REPLACE(INDEX(GroupVertices[Group],MATCH(Edges[[#This Row],[Vertex 2]],GroupVertices[Vertex],0)),1,1,"")</f>
        <v>2</v>
      </c>
      <c r="S80" s="35"/>
      <c r="T80" s="35"/>
      <c r="U80" s="35"/>
      <c r="V80" s="35"/>
      <c r="W80" s="35"/>
      <c r="X80" s="35"/>
      <c r="Y80" s="35"/>
      <c r="Z80" s="35"/>
      <c r="AA80" s="35"/>
    </row>
    <row r="81" spans="1:27" ht="15">
      <c r="A81" s="65" t="s">
        <v>210</v>
      </c>
      <c r="B81" s="65" t="s">
        <v>306</v>
      </c>
      <c r="C81" s="66" t="s">
        <v>1612</v>
      </c>
      <c r="D81" s="67">
        <v>5</v>
      </c>
      <c r="E81" s="68"/>
      <c r="F81" s="69">
        <v>25</v>
      </c>
      <c r="G81" s="66"/>
      <c r="H81" s="70"/>
      <c r="I81" s="71"/>
      <c r="J81" s="71"/>
      <c r="K81" s="35" t="s">
        <v>65</v>
      </c>
      <c r="L81" s="79">
        <v>81</v>
      </c>
      <c r="M81" s="79"/>
      <c r="N81" s="73"/>
      <c r="O81" s="81" t="s">
        <v>377</v>
      </c>
      <c r="P81">
        <v>1</v>
      </c>
      <c r="Q81" s="80" t="str">
        <f>REPLACE(INDEX(GroupVertices[Group],MATCH(Edges[[#This Row],[Vertex 1]],GroupVertices[Vertex],0)),1,1,"")</f>
        <v>2</v>
      </c>
      <c r="R81" s="80" t="str">
        <f>REPLACE(INDEX(GroupVertices[Group],MATCH(Edges[[#This Row],[Vertex 2]],GroupVertices[Vertex],0)),1,1,"")</f>
        <v>2</v>
      </c>
      <c r="S81" s="35"/>
      <c r="T81" s="35"/>
      <c r="U81" s="35"/>
      <c r="V81" s="35"/>
      <c r="W81" s="35"/>
      <c r="X81" s="35"/>
      <c r="Y81" s="35"/>
      <c r="Z81" s="35"/>
      <c r="AA81" s="35"/>
    </row>
    <row r="82" spans="1:27" ht="15">
      <c r="A82" s="65" t="s">
        <v>210</v>
      </c>
      <c r="B82" s="65" t="s">
        <v>307</v>
      </c>
      <c r="C82" s="66" t="s">
        <v>1612</v>
      </c>
      <c r="D82" s="67">
        <v>5</v>
      </c>
      <c r="E82" s="68"/>
      <c r="F82" s="69">
        <v>25</v>
      </c>
      <c r="G82" s="66"/>
      <c r="H82" s="70"/>
      <c r="I82" s="71"/>
      <c r="J82" s="71"/>
      <c r="K82" s="35" t="s">
        <v>65</v>
      </c>
      <c r="L82" s="79">
        <v>82</v>
      </c>
      <c r="M82" s="79"/>
      <c r="N82" s="73"/>
      <c r="O82" s="81" t="s">
        <v>377</v>
      </c>
      <c r="P82">
        <v>1</v>
      </c>
      <c r="Q82" s="80" t="str">
        <f>REPLACE(INDEX(GroupVertices[Group],MATCH(Edges[[#This Row],[Vertex 1]],GroupVertices[Vertex],0)),1,1,"")</f>
        <v>2</v>
      </c>
      <c r="R82" s="80" t="str">
        <f>REPLACE(INDEX(GroupVertices[Group],MATCH(Edges[[#This Row],[Vertex 2]],GroupVertices[Vertex],0)),1,1,"")</f>
        <v>2</v>
      </c>
      <c r="S82" s="35"/>
      <c r="T82" s="35"/>
      <c r="U82" s="35"/>
      <c r="V82" s="35"/>
      <c r="W82" s="35"/>
      <c r="X82" s="35"/>
      <c r="Y82" s="35"/>
      <c r="Z82" s="35"/>
      <c r="AA82" s="35"/>
    </row>
    <row r="83" spans="1:27" ht="15">
      <c r="A83" s="65" t="s">
        <v>211</v>
      </c>
      <c r="B83" s="65" t="s">
        <v>308</v>
      </c>
      <c r="C83" s="66" t="s">
        <v>1612</v>
      </c>
      <c r="D83" s="67">
        <v>5</v>
      </c>
      <c r="E83" s="68"/>
      <c r="F83" s="69">
        <v>25</v>
      </c>
      <c r="G83" s="66"/>
      <c r="H83" s="70"/>
      <c r="I83" s="71"/>
      <c r="J83" s="71"/>
      <c r="K83" s="35" t="s">
        <v>65</v>
      </c>
      <c r="L83" s="79">
        <v>83</v>
      </c>
      <c r="M83" s="79"/>
      <c r="N83" s="73"/>
      <c r="O83" s="81" t="s">
        <v>377</v>
      </c>
      <c r="P83">
        <v>1</v>
      </c>
      <c r="Q83" s="80" t="str">
        <f>REPLACE(INDEX(GroupVertices[Group],MATCH(Edges[[#This Row],[Vertex 1]],GroupVertices[Vertex],0)),1,1,"")</f>
        <v>7</v>
      </c>
      <c r="R83" s="80" t="str">
        <f>REPLACE(INDEX(GroupVertices[Group],MATCH(Edges[[#This Row],[Vertex 2]],GroupVertices[Vertex],0)),1,1,"")</f>
        <v>7</v>
      </c>
      <c r="S83" s="35"/>
      <c r="T83" s="35"/>
      <c r="U83" s="35"/>
      <c r="V83" s="35"/>
      <c r="W83" s="35"/>
      <c r="X83" s="35"/>
      <c r="Y83" s="35"/>
      <c r="Z83" s="35"/>
      <c r="AA83" s="35"/>
    </row>
    <row r="84" spans="1:27" ht="15">
      <c r="A84" s="65" t="s">
        <v>211</v>
      </c>
      <c r="B84" s="65" t="s">
        <v>309</v>
      </c>
      <c r="C84" s="66" t="s">
        <v>1612</v>
      </c>
      <c r="D84" s="67">
        <v>5</v>
      </c>
      <c r="E84" s="68"/>
      <c r="F84" s="69">
        <v>25</v>
      </c>
      <c r="G84" s="66"/>
      <c r="H84" s="70"/>
      <c r="I84" s="71"/>
      <c r="J84" s="71"/>
      <c r="K84" s="35" t="s">
        <v>65</v>
      </c>
      <c r="L84" s="79">
        <v>84</v>
      </c>
      <c r="M84" s="79"/>
      <c r="N84" s="73"/>
      <c r="O84" s="81" t="s">
        <v>377</v>
      </c>
      <c r="P84">
        <v>1</v>
      </c>
      <c r="Q84" s="80" t="str">
        <f>REPLACE(INDEX(GroupVertices[Group],MATCH(Edges[[#This Row],[Vertex 1]],GroupVertices[Vertex],0)),1,1,"")</f>
        <v>7</v>
      </c>
      <c r="R84" s="80" t="str">
        <f>REPLACE(INDEX(GroupVertices[Group],MATCH(Edges[[#This Row],[Vertex 2]],GroupVertices[Vertex],0)),1,1,"")</f>
        <v>7</v>
      </c>
      <c r="S84" s="35"/>
      <c r="T84" s="35"/>
      <c r="U84" s="35"/>
      <c r="V84" s="35"/>
      <c r="W84" s="35"/>
      <c r="X84" s="35"/>
      <c r="Y84" s="35"/>
      <c r="Z84" s="35"/>
      <c r="AA84" s="35"/>
    </row>
    <row r="85" spans="1:27" ht="15">
      <c r="A85" s="65" t="s">
        <v>211</v>
      </c>
      <c r="B85" s="65" t="s">
        <v>310</v>
      </c>
      <c r="C85" s="66" t="s">
        <v>1612</v>
      </c>
      <c r="D85" s="67">
        <v>5</v>
      </c>
      <c r="E85" s="68"/>
      <c r="F85" s="69">
        <v>25</v>
      </c>
      <c r="G85" s="66"/>
      <c r="H85" s="70"/>
      <c r="I85" s="71"/>
      <c r="J85" s="71"/>
      <c r="K85" s="35" t="s">
        <v>65</v>
      </c>
      <c r="L85" s="79">
        <v>85</v>
      </c>
      <c r="M85" s="79"/>
      <c r="N85" s="73"/>
      <c r="O85" s="81" t="s">
        <v>377</v>
      </c>
      <c r="P85">
        <v>1</v>
      </c>
      <c r="Q85" s="80" t="str">
        <f>REPLACE(INDEX(GroupVertices[Group],MATCH(Edges[[#This Row],[Vertex 1]],GroupVertices[Vertex],0)),1,1,"")</f>
        <v>7</v>
      </c>
      <c r="R85" s="80" t="str">
        <f>REPLACE(INDEX(GroupVertices[Group],MATCH(Edges[[#This Row],[Vertex 2]],GroupVertices[Vertex],0)),1,1,"")</f>
        <v>7</v>
      </c>
      <c r="S85" s="35"/>
      <c r="T85" s="35"/>
      <c r="U85" s="35"/>
      <c r="V85" s="35"/>
      <c r="W85" s="35"/>
      <c r="X85" s="35"/>
      <c r="Y85" s="35"/>
      <c r="Z85" s="35"/>
      <c r="AA85" s="35"/>
    </row>
    <row r="86" spans="1:27" ht="15">
      <c r="A86" s="65" t="s">
        <v>211</v>
      </c>
      <c r="B86" s="65" t="s">
        <v>311</v>
      </c>
      <c r="C86" s="66" t="s">
        <v>1612</v>
      </c>
      <c r="D86" s="67">
        <v>5</v>
      </c>
      <c r="E86" s="68"/>
      <c r="F86" s="69">
        <v>25</v>
      </c>
      <c r="G86" s="66"/>
      <c r="H86" s="70"/>
      <c r="I86" s="71"/>
      <c r="J86" s="71"/>
      <c r="K86" s="35" t="s">
        <v>65</v>
      </c>
      <c r="L86" s="79">
        <v>86</v>
      </c>
      <c r="M86" s="79"/>
      <c r="N86" s="73"/>
      <c r="O86" s="81" t="s">
        <v>377</v>
      </c>
      <c r="P86">
        <v>1</v>
      </c>
      <c r="Q86" s="80" t="str">
        <f>REPLACE(INDEX(GroupVertices[Group],MATCH(Edges[[#This Row],[Vertex 1]],GroupVertices[Vertex],0)),1,1,"")</f>
        <v>7</v>
      </c>
      <c r="R86" s="80" t="str">
        <f>REPLACE(INDEX(GroupVertices[Group],MATCH(Edges[[#This Row],[Vertex 2]],GroupVertices[Vertex],0)),1,1,"")</f>
        <v>7</v>
      </c>
      <c r="S86" s="35"/>
      <c r="T86" s="35"/>
      <c r="U86" s="35"/>
      <c r="V86" s="35"/>
      <c r="W86" s="35"/>
      <c r="X86" s="35"/>
      <c r="Y86" s="35"/>
      <c r="Z86" s="35"/>
      <c r="AA86" s="35"/>
    </row>
    <row r="87" spans="1:27" ht="15">
      <c r="A87" s="65" t="s">
        <v>211</v>
      </c>
      <c r="B87" s="65" t="s">
        <v>312</v>
      </c>
      <c r="C87" s="66" t="s">
        <v>1612</v>
      </c>
      <c r="D87" s="67">
        <v>5</v>
      </c>
      <c r="E87" s="68"/>
      <c r="F87" s="69">
        <v>25</v>
      </c>
      <c r="G87" s="66"/>
      <c r="H87" s="70"/>
      <c r="I87" s="71"/>
      <c r="J87" s="71"/>
      <c r="K87" s="35" t="s">
        <v>65</v>
      </c>
      <c r="L87" s="79">
        <v>87</v>
      </c>
      <c r="M87" s="79"/>
      <c r="N87" s="73"/>
      <c r="O87" s="81" t="s">
        <v>377</v>
      </c>
      <c r="P87">
        <v>1</v>
      </c>
      <c r="Q87" s="80" t="str">
        <f>REPLACE(INDEX(GroupVertices[Group],MATCH(Edges[[#This Row],[Vertex 1]],GroupVertices[Vertex],0)),1,1,"")</f>
        <v>7</v>
      </c>
      <c r="R87" s="80" t="str">
        <f>REPLACE(INDEX(GroupVertices[Group],MATCH(Edges[[#This Row],[Vertex 2]],GroupVertices[Vertex],0)),1,1,"")</f>
        <v>7</v>
      </c>
      <c r="S87" s="35"/>
      <c r="T87" s="35"/>
      <c r="U87" s="35"/>
      <c r="V87" s="35"/>
      <c r="W87" s="35"/>
      <c r="X87" s="35"/>
      <c r="Y87" s="35"/>
      <c r="Z87" s="35"/>
      <c r="AA87" s="35"/>
    </row>
    <row r="88" spans="1:27" ht="15">
      <c r="A88" s="65" t="s">
        <v>211</v>
      </c>
      <c r="B88" s="65" t="s">
        <v>313</v>
      </c>
      <c r="C88" s="66" t="s">
        <v>1612</v>
      </c>
      <c r="D88" s="67">
        <v>5</v>
      </c>
      <c r="E88" s="68"/>
      <c r="F88" s="69">
        <v>25</v>
      </c>
      <c r="G88" s="66"/>
      <c r="H88" s="70"/>
      <c r="I88" s="71"/>
      <c r="J88" s="71"/>
      <c r="K88" s="35" t="s">
        <v>65</v>
      </c>
      <c r="L88" s="79">
        <v>88</v>
      </c>
      <c r="M88" s="79"/>
      <c r="N88" s="73"/>
      <c r="O88" s="81" t="s">
        <v>377</v>
      </c>
      <c r="P88">
        <v>1</v>
      </c>
      <c r="Q88" s="80" t="str">
        <f>REPLACE(INDEX(GroupVertices[Group],MATCH(Edges[[#This Row],[Vertex 1]],GroupVertices[Vertex],0)),1,1,"")</f>
        <v>7</v>
      </c>
      <c r="R88" s="80" t="str">
        <f>REPLACE(INDEX(GroupVertices[Group],MATCH(Edges[[#This Row],[Vertex 2]],GroupVertices[Vertex],0)),1,1,"")</f>
        <v>7</v>
      </c>
      <c r="S88" s="35"/>
      <c r="T88" s="35"/>
      <c r="U88" s="35"/>
      <c r="V88" s="35"/>
      <c r="W88" s="35"/>
      <c r="X88" s="35"/>
      <c r="Y88" s="35"/>
      <c r="Z88" s="35"/>
      <c r="AA88" s="35"/>
    </row>
    <row r="89" spans="1:27" ht="15">
      <c r="A89" s="65" t="s">
        <v>211</v>
      </c>
      <c r="B89" s="65" t="s">
        <v>314</v>
      </c>
      <c r="C89" s="66" t="s">
        <v>1612</v>
      </c>
      <c r="D89" s="67">
        <v>5</v>
      </c>
      <c r="E89" s="68"/>
      <c r="F89" s="69">
        <v>25</v>
      </c>
      <c r="G89" s="66"/>
      <c r="H89" s="70"/>
      <c r="I89" s="71"/>
      <c r="J89" s="71"/>
      <c r="K89" s="35" t="s">
        <v>65</v>
      </c>
      <c r="L89" s="79">
        <v>89</v>
      </c>
      <c r="M89" s="79"/>
      <c r="N89" s="73"/>
      <c r="O89" s="81" t="s">
        <v>377</v>
      </c>
      <c r="P89">
        <v>1</v>
      </c>
      <c r="Q89" s="80" t="str">
        <f>REPLACE(INDEX(GroupVertices[Group],MATCH(Edges[[#This Row],[Vertex 1]],GroupVertices[Vertex],0)),1,1,"")</f>
        <v>7</v>
      </c>
      <c r="R89" s="80" t="str">
        <f>REPLACE(INDEX(GroupVertices[Group],MATCH(Edges[[#This Row],[Vertex 2]],GroupVertices[Vertex],0)),1,1,"")</f>
        <v>7</v>
      </c>
      <c r="S89" s="35"/>
      <c r="T89" s="35"/>
      <c r="U89" s="35"/>
      <c r="V89" s="35"/>
      <c r="W89" s="35"/>
      <c r="X89" s="35"/>
      <c r="Y89" s="35"/>
      <c r="Z89" s="35"/>
      <c r="AA89" s="35"/>
    </row>
    <row r="90" spans="1:27" ht="15">
      <c r="A90" s="65" t="s">
        <v>211</v>
      </c>
      <c r="B90" s="65" t="s">
        <v>315</v>
      </c>
      <c r="C90" s="66" t="s">
        <v>1612</v>
      </c>
      <c r="D90" s="67">
        <v>5</v>
      </c>
      <c r="E90" s="68"/>
      <c r="F90" s="69">
        <v>25</v>
      </c>
      <c r="G90" s="66"/>
      <c r="H90" s="70"/>
      <c r="I90" s="71"/>
      <c r="J90" s="71"/>
      <c r="K90" s="35" t="s">
        <v>65</v>
      </c>
      <c r="L90" s="79">
        <v>90</v>
      </c>
      <c r="M90" s="79"/>
      <c r="N90" s="73"/>
      <c r="O90" s="81" t="s">
        <v>377</v>
      </c>
      <c r="P90">
        <v>1</v>
      </c>
      <c r="Q90" s="80" t="str">
        <f>REPLACE(INDEX(GroupVertices[Group],MATCH(Edges[[#This Row],[Vertex 1]],GroupVertices[Vertex],0)),1,1,"")</f>
        <v>7</v>
      </c>
      <c r="R90" s="80" t="str">
        <f>REPLACE(INDEX(GroupVertices[Group],MATCH(Edges[[#This Row],[Vertex 2]],GroupVertices[Vertex],0)),1,1,"")</f>
        <v>7</v>
      </c>
      <c r="S90" s="35"/>
      <c r="T90" s="35"/>
      <c r="U90" s="35"/>
      <c r="V90" s="35"/>
      <c r="W90" s="35"/>
      <c r="X90" s="35"/>
      <c r="Y90" s="35"/>
      <c r="Z90" s="35"/>
      <c r="AA90" s="35"/>
    </row>
    <row r="91" spans="1:27" ht="15">
      <c r="A91" s="65" t="s">
        <v>211</v>
      </c>
      <c r="B91" s="65" t="s">
        <v>316</v>
      </c>
      <c r="C91" s="66" t="s">
        <v>1612</v>
      </c>
      <c r="D91" s="67">
        <v>5</v>
      </c>
      <c r="E91" s="68"/>
      <c r="F91" s="69">
        <v>25</v>
      </c>
      <c r="G91" s="66"/>
      <c r="H91" s="70"/>
      <c r="I91" s="71"/>
      <c r="J91" s="71"/>
      <c r="K91" s="35" t="s">
        <v>65</v>
      </c>
      <c r="L91" s="79">
        <v>91</v>
      </c>
      <c r="M91" s="79"/>
      <c r="N91" s="73"/>
      <c r="O91" s="81" t="s">
        <v>377</v>
      </c>
      <c r="P91">
        <v>1</v>
      </c>
      <c r="Q91" s="80" t="str">
        <f>REPLACE(INDEX(GroupVertices[Group],MATCH(Edges[[#This Row],[Vertex 1]],GroupVertices[Vertex],0)),1,1,"")</f>
        <v>7</v>
      </c>
      <c r="R91" s="80" t="str">
        <f>REPLACE(INDEX(GroupVertices[Group],MATCH(Edges[[#This Row],[Vertex 2]],GroupVertices[Vertex],0)),1,1,"")</f>
        <v>7</v>
      </c>
      <c r="S91" s="35"/>
      <c r="T91" s="35"/>
      <c r="U91" s="35"/>
      <c r="V91" s="35"/>
      <c r="W91" s="35"/>
      <c r="X91" s="35"/>
      <c r="Y91" s="35"/>
      <c r="Z91" s="35"/>
      <c r="AA91" s="35"/>
    </row>
    <row r="92" spans="1:27" ht="15">
      <c r="A92" s="65" t="s">
        <v>211</v>
      </c>
      <c r="B92" s="65" t="s">
        <v>317</v>
      </c>
      <c r="C92" s="66" t="s">
        <v>1612</v>
      </c>
      <c r="D92" s="67">
        <v>5</v>
      </c>
      <c r="E92" s="68"/>
      <c r="F92" s="69">
        <v>25</v>
      </c>
      <c r="G92" s="66"/>
      <c r="H92" s="70"/>
      <c r="I92" s="71"/>
      <c r="J92" s="71"/>
      <c r="K92" s="35" t="s">
        <v>65</v>
      </c>
      <c r="L92" s="79">
        <v>92</v>
      </c>
      <c r="M92" s="79"/>
      <c r="N92" s="73"/>
      <c r="O92" s="81" t="s">
        <v>377</v>
      </c>
      <c r="P92">
        <v>1</v>
      </c>
      <c r="Q92" s="80" t="str">
        <f>REPLACE(INDEX(GroupVertices[Group],MATCH(Edges[[#This Row],[Vertex 1]],GroupVertices[Vertex],0)),1,1,"")</f>
        <v>7</v>
      </c>
      <c r="R92" s="80" t="str">
        <f>REPLACE(INDEX(GroupVertices[Group],MATCH(Edges[[#This Row],[Vertex 2]],GroupVertices[Vertex],0)),1,1,"")</f>
        <v>7</v>
      </c>
      <c r="S92" s="35"/>
      <c r="T92" s="35"/>
      <c r="U92" s="35"/>
      <c r="V92" s="35"/>
      <c r="W92" s="35"/>
      <c r="X92" s="35"/>
      <c r="Y92" s="35"/>
      <c r="Z92" s="35"/>
      <c r="AA92" s="35"/>
    </row>
    <row r="93" spans="1:27" ht="15">
      <c r="A93" s="65" t="s">
        <v>212</v>
      </c>
      <c r="B93" s="65" t="s">
        <v>318</v>
      </c>
      <c r="C93" s="66" t="s">
        <v>1612</v>
      </c>
      <c r="D93" s="67">
        <v>5</v>
      </c>
      <c r="E93" s="68"/>
      <c r="F93" s="69">
        <v>25</v>
      </c>
      <c r="G93" s="66"/>
      <c r="H93" s="70"/>
      <c r="I93" s="71"/>
      <c r="J93" s="71"/>
      <c r="K93" s="35" t="s">
        <v>65</v>
      </c>
      <c r="L93" s="79">
        <v>93</v>
      </c>
      <c r="M93" s="79"/>
      <c r="N93" s="73"/>
      <c r="O93" s="81" t="s">
        <v>377</v>
      </c>
      <c r="P93">
        <v>1</v>
      </c>
      <c r="Q93" s="80" t="str">
        <f>REPLACE(INDEX(GroupVertices[Group],MATCH(Edges[[#This Row],[Vertex 1]],GroupVertices[Vertex],0)),1,1,"")</f>
        <v>1</v>
      </c>
      <c r="R93" s="80" t="str">
        <f>REPLACE(INDEX(GroupVertices[Group],MATCH(Edges[[#This Row],[Vertex 2]],GroupVertices[Vertex],0)),1,1,"")</f>
        <v>1</v>
      </c>
      <c r="S93" s="35"/>
      <c r="T93" s="35"/>
      <c r="U93" s="35"/>
      <c r="V93" s="35"/>
      <c r="W93" s="35"/>
      <c r="X93" s="35"/>
      <c r="Y93" s="35"/>
      <c r="Z93" s="35"/>
      <c r="AA93" s="35"/>
    </row>
    <row r="94" spans="1:27" ht="15">
      <c r="A94" s="65" t="s">
        <v>212</v>
      </c>
      <c r="B94" s="65" t="s">
        <v>319</v>
      </c>
      <c r="C94" s="66" t="s">
        <v>1612</v>
      </c>
      <c r="D94" s="67">
        <v>5</v>
      </c>
      <c r="E94" s="68"/>
      <c r="F94" s="69">
        <v>25</v>
      </c>
      <c r="G94" s="66"/>
      <c r="H94" s="70"/>
      <c r="I94" s="71"/>
      <c r="J94" s="71"/>
      <c r="K94" s="35" t="s">
        <v>65</v>
      </c>
      <c r="L94" s="79">
        <v>94</v>
      </c>
      <c r="M94" s="79"/>
      <c r="N94" s="73"/>
      <c r="O94" s="81" t="s">
        <v>377</v>
      </c>
      <c r="P94">
        <v>1</v>
      </c>
      <c r="Q94" s="80" t="str">
        <f>REPLACE(INDEX(GroupVertices[Group],MATCH(Edges[[#This Row],[Vertex 1]],GroupVertices[Vertex],0)),1,1,"")</f>
        <v>1</v>
      </c>
      <c r="R94" s="80" t="str">
        <f>REPLACE(INDEX(GroupVertices[Group],MATCH(Edges[[#This Row],[Vertex 2]],GroupVertices[Vertex],0)),1,1,"")</f>
        <v>1</v>
      </c>
      <c r="S94" s="35"/>
      <c r="T94" s="35"/>
      <c r="U94" s="35"/>
      <c r="V94" s="35"/>
      <c r="W94" s="35"/>
      <c r="X94" s="35"/>
      <c r="Y94" s="35"/>
      <c r="Z94" s="35"/>
      <c r="AA94" s="35"/>
    </row>
    <row r="95" spans="1:27" ht="15">
      <c r="A95" s="65" t="s">
        <v>198</v>
      </c>
      <c r="B95" s="65" t="s">
        <v>320</v>
      </c>
      <c r="C95" s="66" t="s">
        <v>1612</v>
      </c>
      <c r="D95" s="67">
        <v>5</v>
      </c>
      <c r="E95" s="68"/>
      <c r="F95" s="69">
        <v>25</v>
      </c>
      <c r="G95" s="66"/>
      <c r="H95" s="70"/>
      <c r="I95" s="71"/>
      <c r="J95" s="71"/>
      <c r="K95" s="35" t="s">
        <v>65</v>
      </c>
      <c r="L95" s="79">
        <v>95</v>
      </c>
      <c r="M95" s="79"/>
      <c r="N95" s="73"/>
      <c r="O95" s="81" t="s">
        <v>377</v>
      </c>
      <c r="P95">
        <v>1</v>
      </c>
      <c r="Q95" s="80" t="str">
        <f>REPLACE(INDEX(GroupVertices[Group],MATCH(Edges[[#This Row],[Vertex 1]],GroupVertices[Vertex],0)),1,1,"")</f>
        <v>2</v>
      </c>
      <c r="R95" s="80" t="str">
        <f>REPLACE(INDEX(GroupVertices[Group],MATCH(Edges[[#This Row],[Vertex 2]],GroupVertices[Vertex],0)),1,1,"")</f>
        <v>2</v>
      </c>
      <c r="S95" s="35"/>
      <c r="T95" s="35"/>
      <c r="U95" s="35"/>
      <c r="V95" s="35"/>
      <c r="W95" s="35"/>
      <c r="X95" s="35"/>
      <c r="Y95" s="35"/>
      <c r="Z95" s="35"/>
      <c r="AA95" s="35"/>
    </row>
    <row r="96" spans="1:27" ht="15">
      <c r="A96" s="65" t="s">
        <v>213</v>
      </c>
      <c r="B96" s="65" t="s">
        <v>320</v>
      </c>
      <c r="C96" s="66" t="s">
        <v>1612</v>
      </c>
      <c r="D96" s="67">
        <v>5</v>
      </c>
      <c r="E96" s="68"/>
      <c r="F96" s="69">
        <v>25</v>
      </c>
      <c r="G96" s="66"/>
      <c r="H96" s="70"/>
      <c r="I96" s="71"/>
      <c r="J96" s="71"/>
      <c r="K96" s="35" t="s">
        <v>65</v>
      </c>
      <c r="L96" s="79">
        <v>96</v>
      </c>
      <c r="M96" s="79"/>
      <c r="N96" s="73"/>
      <c r="O96" s="81" t="s">
        <v>377</v>
      </c>
      <c r="P96">
        <v>1</v>
      </c>
      <c r="Q96" s="80" t="str">
        <f>REPLACE(INDEX(GroupVertices[Group],MATCH(Edges[[#This Row],[Vertex 1]],GroupVertices[Vertex],0)),1,1,"")</f>
        <v>2</v>
      </c>
      <c r="R96" s="80" t="str">
        <f>REPLACE(INDEX(GroupVertices[Group],MATCH(Edges[[#This Row],[Vertex 2]],GroupVertices[Vertex],0)),1,1,"")</f>
        <v>2</v>
      </c>
      <c r="S96" s="35"/>
      <c r="T96" s="35"/>
      <c r="U96" s="35"/>
      <c r="V96" s="35"/>
      <c r="W96" s="35"/>
      <c r="X96" s="35"/>
      <c r="Y96" s="35"/>
      <c r="Z96" s="35"/>
      <c r="AA96" s="35"/>
    </row>
    <row r="97" spans="1:27" ht="15">
      <c r="A97" s="65" t="s">
        <v>212</v>
      </c>
      <c r="B97" s="65" t="s">
        <v>321</v>
      </c>
      <c r="C97" s="66" t="s">
        <v>1612</v>
      </c>
      <c r="D97" s="67">
        <v>5</v>
      </c>
      <c r="E97" s="68"/>
      <c r="F97" s="69">
        <v>25</v>
      </c>
      <c r="G97" s="66"/>
      <c r="H97" s="70"/>
      <c r="I97" s="71"/>
      <c r="J97" s="71"/>
      <c r="K97" s="35" t="s">
        <v>65</v>
      </c>
      <c r="L97" s="79">
        <v>97</v>
      </c>
      <c r="M97" s="79"/>
      <c r="N97" s="73"/>
      <c r="O97" s="81" t="s">
        <v>377</v>
      </c>
      <c r="P97">
        <v>1</v>
      </c>
      <c r="Q97" s="80" t="str">
        <f>REPLACE(INDEX(GroupVertices[Group],MATCH(Edges[[#This Row],[Vertex 1]],GroupVertices[Vertex],0)),1,1,"")</f>
        <v>1</v>
      </c>
      <c r="R97" s="80" t="str">
        <f>REPLACE(INDEX(GroupVertices[Group],MATCH(Edges[[#This Row],[Vertex 2]],GroupVertices[Vertex],0)),1,1,"")</f>
        <v>1</v>
      </c>
      <c r="S97" s="35"/>
      <c r="T97" s="35"/>
      <c r="U97" s="35"/>
      <c r="V97" s="35"/>
      <c r="W97" s="35"/>
      <c r="X97" s="35"/>
      <c r="Y97" s="35"/>
      <c r="Z97" s="35"/>
      <c r="AA97" s="35"/>
    </row>
    <row r="98" spans="1:27" ht="15">
      <c r="A98" s="65" t="s">
        <v>214</v>
      </c>
      <c r="B98" s="65" t="s">
        <v>321</v>
      </c>
      <c r="C98" s="66" t="s">
        <v>1612</v>
      </c>
      <c r="D98" s="67">
        <v>5</v>
      </c>
      <c r="E98" s="68"/>
      <c r="F98" s="69">
        <v>25</v>
      </c>
      <c r="G98" s="66"/>
      <c r="H98" s="70"/>
      <c r="I98" s="71"/>
      <c r="J98" s="71"/>
      <c r="K98" s="35" t="s">
        <v>65</v>
      </c>
      <c r="L98" s="79">
        <v>98</v>
      </c>
      <c r="M98" s="79"/>
      <c r="N98" s="73"/>
      <c r="O98" s="81" t="s">
        <v>377</v>
      </c>
      <c r="P98">
        <v>1</v>
      </c>
      <c r="Q98" s="80" t="str">
        <f>REPLACE(INDEX(GroupVertices[Group],MATCH(Edges[[#This Row],[Vertex 1]],GroupVertices[Vertex],0)),1,1,"")</f>
        <v>1</v>
      </c>
      <c r="R98" s="80" t="str">
        <f>REPLACE(INDEX(GroupVertices[Group],MATCH(Edges[[#This Row],[Vertex 2]],GroupVertices[Vertex],0)),1,1,"")</f>
        <v>1</v>
      </c>
      <c r="S98" s="35"/>
      <c r="T98" s="35"/>
      <c r="U98" s="35"/>
      <c r="V98" s="35"/>
      <c r="W98" s="35"/>
      <c r="X98" s="35"/>
      <c r="Y98" s="35"/>
      <c r="Z98" s="35"/>
      <c r="AA98" s="35"/>
    </row>
    <row r="99" spans="1:27" ht="15">
      <c r="A99" s="65" t="s">
        <v>212</v>
      </c>
      <c r="B99" s="65" t="s">
        <v>322</v>
      </c>
      <c r="C99" s="66" t="s">
        <v>1612</v>
      </c>
      <c r="D99" s="67">
        <v>5</v>
      </c>
      <c r="E99" s="68"/>
      <c r="F99" s="69">
        <v>25</v>
      </c>
      <c r="G99" s="66"/>
      <c r="H99" s="70"/>
      <c r="I99" s="71"/>
      <c r="J99" s="71"/>
      <c r="K99" s="35" t="s">
        <v>65</v>
      </c>
      <c r="L99" s="79">
        <v>99</v>
      </c>
      <c r="M99" s="79"/>
      <c r="N99" s="73"/>
      <c r="O99" s="81" t="s">
        <v>377</v>
      </c>
      <c r="P99">
        <v>1</v>
      </c>
      <c r="Q99" s="80" t="str">
        <f>REPLACE(INDEX(GroupVertices[Group],MATCH(Edges[[#This Row],[Vertex 1]],GroupVertices[Vertex],0)),1,1,"")</f>
        <v>1</v>
      </c>
      <c r="R99" s="80" t="str">
        <f>REPLACE(INDEX(GroupVertices[Group],MATCH(Edges[[#This Row],[Vertex 2]],GroupVertices[Vertex],0)),1,1,"")</f>
        <v>1</v>
      </c>
      <c r="S99" s="35"/>
      <c r="T99" s="35"/>
      <c r="U99" s="35"/>
      <c r="V99" s="35"/>
      <c r="W99" s="35"/>
      <c r="X99" s="35"/>
      <c r="Y99" s="35"/>
      <c r="Z99" s="35"/>
      <c r="AA99" s="35"/>
    </row>
    <row r="100" spans="1:27" ht="15">
      <c r="A100" s="65" t="s">
        <v>214</v>
      </c>
      <c r="B100" s="65" t="s">
        <v>322</v>
      </c>
      <c r="C100" s="66" t="s">
        <v>1612</v>
      </c>
      <c r="D100" s="67">
        <v>5</v>
      </c>
      <c r="E100" s="68"/>
      <c r="F100" s="69">
        <v>25</v>
      </c>
      <c r="G100" s="66"/>
      <c r="H100" s="70"/>
      <c r="I100" s="71"/>
      <c r="J100" s="71"/>
      <c r="K100" s="35" t="s">
        <v>65</v>
      </c>
      <c r="L100" s="79">
        <v>100</v>
      </c>
      <c r="M100" s="79"/>
      <c r="N100" s="73"/>
      <c r="O100" s="81" t="s">
        <v>377</v>
      </c>
      <c r="P100">
        <v>1</v>
      </c>
      <c r="Q100" s="80" t="str">
        <f>REPLACE(INDEX(GroupVertices[Group],MATCH(Edges[[#This Row],[Vertex 1]],GroupVertices[Vertex],0)),1,1,"")</f>
        <v>1</v>
      </c>
      <c r="R100" s="80" t="str">
        <f>REPLACE(INDEX(GroupVertices[Group],MATCH(Edges[[#This Row],[Vertex 2]],GroupVertices[Vertex],0)),1,1,"")</f>
        <v>1</v>
      </c>
      <c r="S100" s="35"/>
      <c r="T100" s="35"/>
      <c r="U100" s="35"/>
      <c r="V100" s="35"/>
      <c r="W100" s="35"/>
      <c r="X100" s="35"/>
      <c r="Y100" s="35"/>
      <c r="Z100" s="35"/>
      <c r="AA100" s="35"/>
    </row>
    <row r="101" spans="1:27" ht="15">
      <c r="A101" s="65" t="s">
        <v>215</v>
      </c>
      <c r="B101" s="65" t="s">
        <v>323</v>
      </c>
      <c r="C101" s="66" t="s">
        <v>1612</v>
      </c>
      <c r="D101" s="67">
        <v>5</v>
      </c>
      <c r="E101" s="68"/>
      <c r="F101" s="69">
        <v>25</v>
      </c>
      <c r="G101" s="66"/>
      <c r="H101" s="70"/>
      <c r="I101" s="71"/>
      <c r="J101" s="71"/>
      <c r="K101" s="35" t="s">
        <v>65</v>
      </c>
      <c r="L101" s="79">
        <v>101</v>
      </c>
      <c r="M101" s="79"/>
      <c r="N101" s="73"/>
      <c r="O101" s="81" t="s">
        <v>377</v>
      </c>
      <c r="P101">
        <v>1</v>
      </c>
      <c r="Q101" s="80" t="str">
        <f>REPLACE(INDEX(GroupVertices[Group],MATCH(Edges[[#This Row],[Vertex 1]],GroupVertices[Vertex],0)),1,1,"")</f>
        <v>1</v>
      </c>
      <c r="R101" s="80" t="str">
        <f>REPLACE(INDEX(GroupVertices[Group],MATCH(Edges[[#This Row],[Vertex 2]],GroupVertices[Vertex],0)),1,1,"")</f>
        <v>1</v>
      </c>
      <c r="S101" s="35"/>
      <c r="T101" s="35"/>
      <c r="U101" s="35"/>
      <c r="V101" s="35"/>
      <c r="W101" s="35"/>
      <c r="X101" s="35"/>
      <c r="Y101" s="35"/>
      <c r="Z101" s="35"/>
      <c r="AA101" s="35"/>
    </row>
    <row r="102" spans="1:27" ht="15">
      <c r="A102" s="65" t="s">
        <v>216</v>
      </c>
      <c r="B102" s="65" t="s">
        <v>324</v>
      </c>
      <c r="C102" s="66" t="s">
        <v>1612</v>
      </c>
      <c r="D102" s="67">
        <v>5</v>
      </c>
      <c r="E102" s="68"/>
      <c r="F102" s="69">
        <v>25</v>
      </c>
      <c r="G102" s="66"/>
      <c r="H102" s="70"/>
      <c r="I102" s="71"/>
      <c r="J102" s="71"/>
      <c r="K102" s="35" t="s">
        <v>65</v>
      </c>
      <c r="L102" s="79">
        <v>102</v>
      </c>
      <c r="M102" s="79"/>
      <c r="N102" s="73"/>
      <c r="O102" s="81" t="s">
        <v>377</v>
      </c>
      <c r="P102">
        <v>1</v>
      </c>
      <c r="Q102" s="80" t="str">
        <f>REPLACE(INDEX(GroupVertices[Group],MATCH(Edges[[#This Row],[Vertex 1]],GroupVertices[Vertex],0)),1,1,"")</f>
        <v>2</v>
      </c>
      <c r="R102" s="80" t="str">
        <f>REPLACE(INDEX(GroupVertices[Group],MATCH(Edges[[#This Row],[Vertex 2]],GroupVertices[Vertex],0)),1,1,"")</f>
        <v>2</v>
      </c>
      <c r="S102" s="35"/>
      <c r="T102" s="35"/>
      <c r="U102" s="35"/>
      <c r="V102" s="35"/>
      <c r="W102" s="35"/>
      <c r="X102" s="35"/>
      <c r="Y102" s="35"/>
      <c r="Z102" s="35"/>
      <c r="AA102" s="35"/>
    </row>
    <row r="103" spans="1:27" ht="15">
      <c r="A103" s="65" t="s">
        <v>213</v>
      </c>
      <c r="B103" s="65" t="s">
        <v>325</v>
      </c>
      <c r="C103" s="66" t="s">
        <v>1612</v>
      </c>
      <c r="D103" s="67">
        <v>5</v>
      </c>
      <c r="E103" s="68"/>
      <c r="F103" s="69">
        <v>25</v>
      </c>
      <c r="G103" s="66"/>
      <c r="H103" s="70"/>
      <c r="I103" s="71"/>
      <c r="J103" s="71"/>
      <c r="K103" s="35" t="s">
        <v>65</v>
      </c>
      <c r="L103" s="79">
        <v>103</v>
      </c>
      <c r="M103" s="79"/>
      <c r="N103" s="73"/>
      <c r="O103" s="81" t="s">
        <v>377</v>
      </c>
      <c r="P103">
        <v>1</v>
      </c>
      <c r="Q103" s="80" t="str">
        <f>REPLACE(INDEX(GroupVertices[Group],MATCH(Edges[[#This Row],[Vertex 1]],GroupVertices[Vertex],0)),1,1,"")</f>
        <v>2</v>
      </c>
      <c r="R103" s="80" t="str">
        <f>REPLACE(INDEX(GroupVertices[Group],MATCH(Edges[[#This Row],[Vertex 2]],GroupVertices[Vertex],0)),1,1,"")</f>
        <v>2</v>
      </c>
      <c r="S103" s="35"/>
      <c r="T103" s="35"/>
      <c r="U103" s="35"/>
      <c r="V103" s="35"/>
      <c r="W103" s="35"/>
      <c r="X103" s="35"/>
      <c r="Y103" s="35"/>
      <c r="Z103" s="35"/>
      <c r="AA103" s="35"/>
    </row>
    <row r="104" spans="1:27" ht="15">
      <c r="A104" s="65" t="s">
        <v>216</v>
      </c>
      <c r="B104" s="65" t="s">
        <v>325</v>
      </c>
      <c r="C104" s="66" t="s">
        <v>1612</v>
      </c>
      <c r="D104" s="67">
        <v>5</v>
      </c>
      <c r="E104" s="68"/>
      <c r="F104" s="69">
        <v>25</v>
      </c>
      <c r="G104" s="66"/>
      <c r="H104" s="70"/>
      <c r="I104" s="71"/>
      <c r="J104" s="71"/>
      <c r="K104" s="35" t="s">
        <v>65</v>
      </c>
      <c r="L104" s="79">
        <v>104</v>
      </c>
      <c r="M104" s="79"/>
      <c r="N104" s="73"/>
      <c r="O104" s="81" t="s">
        <v>377</v>
      </c>
      <c r="P104">
        <v>1</v>
      </c>
      <c r="Q104" s="80" t="str">
        <f>REPLACE(INDEX(GroupVertices[Group],MATCH(Edges[[#This Row],[Vertex 1]],GroupVertices[Vertex],0)),1,1,"")</f>
        <v>2</v>
      </c>
      <c r="R104" s="80" t="str">
        <f>REPLACE(INDEX(GroupVertices[Group],MATCH(Edges[[#This Row],[Vertex 2]],GroupVertices[Vertex],0)),1,1,"")</f>
        <v>2</v>
      </c>
      <c r="S104" s="35"/>
      <c r="T104" s="35"/>
      <c r="U104" s="35"/>
      <c r="V104" s="35"/>
      <c r="W104" s="35"/>
      <c r="X104" s="35"/>
      <c r="Y104" s="35"/>
      <c r="Z104" s="35"/>
      <c r="AA104" s="35"/>
    </row>
    <row r="105" spans="1:27" ht="15">
      <c r="A105" s="65" t="s">
        <v>216</v>
      </c>
      <c r="B105" s="65" t="s">
        <v>326</v>
      </c>
      <c r="C105" s="66" t="s">
        <v>1612</v>
      </c>
      <c r="D105" s="67">
        <v>5</v>
      </c>
      <c r="E105" s="68"/>
      <c r="F105" s="69">
        <v>25</v>
      </c>
      <c r="G105" s="66"/>
      <c r="H105" s="70"/>
      <c r="I105" s="71"/>
      <c r="J105" s="71"/>
      <c r="K105" s="35" t="s">
        <v>65</v>
      </c>
      <c r="L105" s="79">
        <v>105</v>
      </c>
      <c r="M105" s="79"/>
      <c r="N105" s="73"/>
      <c r="O105" s="81" t="s">
        <v>377</v>
      </c>
      <c r="P105">
        <v>1</v>
      </c>
      <c r="Q105" s="80" t="str">
        <f>REPLACE(INDEX(GroupVertices[Group],MATCH(Edges[[#This Row],[Vertex 1]],GroupVertices[Vertex],0)),1,1,"")</f>
        <v>2</v>
      </c>
      <c r="R105" s="80" t="str">
        <f>REPLACE(INDEX(GroupVertices[Group],MATCH(Edges[[#This Row],[Vertex 2]],GroupVertices[Vertex],0)),1,1,"")</f>
        <v>2</v>
      </c>
      <c r="S105" s="35"/>
      <c r="T105" s="35"/>
      <c r="U105" s="35"/>
      <c r="V105" s="35"/>
      <c r="W105" s="35"/>
      <c r="X105" s="35"/>
      <c r="Y105" s="35"/>
      <c r="Z105" s="35"/>
      <c r="AA105" s="35"/>
    </row>
    <row r="106" spans="1:27" ht="15">
      <c r="A106" s="65" t="s">
        <v>195</v>
      </c>
      <c r="B106" s="65" t="s">
        <v>327</v>
      </c>
      <c r="C106" s="66" t="s">
        <v>1612</v>
      </c>
      <c r="D106" s="67">
        <v>5</v>
      </c>
      <c r="E106" s="68"/>
      <c r="F106" s="69">
        <v>25</v>
      </c>
      <c r="G106" s="66"/>
      <c r="H106" s="70"/>
      <c r="I106" s="71"/>
      <c r="J106" s="71"/>
      <c r="K106" s="35" t="s">
        <v>65</v>
      </c>
      <c r="L106" s="79">
        <v>106</v>
      </c>
      <c r="M106" s="79"/>
      <c r="N106" s="73"/>
      <c r="O106" s="81" t="s">
        <v>377</v>
      </c>
      <c r="P106">
        <v>1</v>
      </c>
      <c r="Q106" s="80" t="str">
        <f>REPLACE(INDEX(GroupVertices[Group],MATCH(Edges[[#This Row],[Vertex 1]],GroupVertices[Vertex],0)),1,1,"")</f>
        <v>2</v>
      </c>
      <c r="R106" s="80" t="str">
        <f>REPLACE(INDEX(GroupVertices[Group],MATCH(Edges[[#This Row],[Vertex 2]],GroupVertices[Vertex],0)),1,1,"")</f>
        <v>2</v>
      </c>
      <c r="S106" s="35"/>
      <c r="T106" s="35"/>
      <c r="U106" s="35"/>
      <c r="V106" s="35"/>
      <c r="W106" s="35"/>
      <c r="X106" s="35"/>
      <c r="Y106" s="35"/>
      <c r="Z106" s="35"/>
      <c r="AA106" s="35"/>
    </row>
    <row r="107" spans="1:27" ht="15">
      <c r="A107" s="65" t="s">
        <v>213</v>
      </c>
      <c r="B107" s="65" t="s">
        <v>327</v>
      </c>
      <c r="C107" s="66" t="s">
        <v>1612</v>
      </c>
      <c r="D107" s="67">
        <v>5</v>
      </c>
      <c r="E107" s="68"/>
      <c r="F107" s="69">
        <v>25</v>
      </c>
      <c r="G107" s="66"/>
      <c r="H107" s="70"/>
      <c r="I107" s="71"/>
      <c r="J107" s="71"/>
      <c r="K107" s="35" t="s">
        <v>65</v>
      </c>
      <c r="L107" s="79">
        <v>107</v>
      </c>
      <c r="M107" s="79"/>
      <c r="N107" s="73"/>
      <c r="O107" s="81" t="s">
        <v>377</v>
      </c>
      <c r="P107">
        <v>1</v>
      </c>
      <c r="Q107" s="80" t="str">
        <f>REPLACE(INDEX(GroupVertices[Group],MATCH(Edges[[#This Row],[Vertex 1]],GroupVertices[Vertex],0)),1,1,"")</f>
        <v>2</v>
      </c>
      <c r="R107" s="80" t="str">
        <f>REPLACE(INDEX(GroupVertices[Group],MATCH(Edges[[#This Row],[Vertex 2]],GroupVertices[Vertex],0)),1,1,"")</f>
        <v>2</v>
      </c>
      <c r="S107" s="35"/>
      <c r="T107" s="35"/>
      <c r="U107" s="35"/>
      <c r="V107" s="35"/>
      <c r="W107" s="35"/>
      <c r="X107" s="35"/>
      <c r="Y107" s="35"/>
      <c r="Z107" s="35"/>
      <c r="AA107" s="35"/>
    </row>
    <row r="108" spans="1:27" ht="15">
      <c r="A108" s="65" t="s">
        <v>216</v>
      </c>
      <c r="B108" s="65" t="s">
        <v>327</v>
      </c>
      <c r="C108" s="66" t="s">
        <v>1612</v>
      </c>
      <c r="D108" s="67">
        <v>5</v>
      </c>
      <c r="E108" s="68"/>
      <c r="F108" s="69">
        <v>25</v>
      </c>
      <c r="G108" s="66"/>
      <c r="H108" s="70"/>
      <c r="I108" s="71"/>
      <c r="J108" s="71"/>
      <c r="K108" s="35" t="s">
        <v>65</v>
      </c>
      <c r="L108" s="79">
        <v>108</v>
      </c>
      <c r="M108" s="79"/>
      <c r="N108" s="73"/>
      <c r="O108" s="81" t="s">
        <v>377</v>
      </c>
      <c r="P108">
        <v>1</v>
      </c>
      <c r="Q108" s="80" t="str">
        <f>REPLACE(INDEX(GroupVertices[Group],MATCH(Edges[[#This Row],[Vertex 1]],GroupVertices[Vertex],0)),1,1,"")</f>
        <v>2</v>
      </c>
      <c r="R108" s="80" t="str">
        <f>REPLACE(INDEX(GroupVertices[Group],MATCH(Edges[[#This Row],[Vertex 2]],GroupVertices[Vertex],0)),1,1,"")</f>
        <v>2</v>
      </c>
      <c r="S108" s="35"/>
      <c r="T108" s="35"/>
      <c r="U108" s="35"/>
      <c r="V108" s="35"/>
      <c r="W108" s="35"/>
      <c r="X108" s="35"/>
      <c r="Y108" s="35"/>
      <c r="Z108" s="35"/>
      <c r="AA108" s="35"/>
    </row>
    <row r="109" spans="1:27" ht="15">
      <c r="A109" s="65" t="s">
        <v>216</v>
      </c>
      <c r="B109" s="65" t="s">
        <v>328</v>
      </c>
      <c r="C109" s="66" t="s">
        <v>1612</v>
      </c>
      <c r="D109" s="67">
        <v>5</v>
      </c>
      <c r="E109" s="68"/>
      <c r="F109" s="69">
        <v>25</v>
      </c>
      <c r="G109" s="66"/>
      <c r="H109" s="70"/>
      <c r="I109" s="71"/>
      <c r="J109" s="71"/>
      <c r="K109" s="35" t="s">
        <v>65</v>
      </c>
      <c r="L109" s="79">
        <v>109</v>
      </c>
      <c r="M109" s="79"/>
      <c r="N109" s="73"/>
      <c r="O109" s="81" t="s">
        <v>377</v>
      </c>
      <c r="P109">
        <v>1</v>
      </c>
      <c r="Q109" s="80" t="str">
        <f>REPLACE(INDEX(GroupVertices[Group],MATCH(Edges[[#This Row],[Vertex 1]],GroupVertices[Vertex],0)),1,1,"")</f>
        <v>2</v>
      </c>
      <c r="R109" s="80" t="str">
        <f>REPLACE(INDEX(GroupVertices[Group],MATCH(Edges[[#This Row],[Vertex 2]],GroupVertices[Vertex],0)),1,1,"")</f>
        <v>2</v>
      </c>
      <c r="S109" s="35"/>
      <c r="T109" s="35"/>
      <c r="U109" s="35"/>
      <c r="V109" s="35"/>
      <c r="W109" s="35"/>
      <c r="X109" s="35"/>
      <c r="Y109" s="35"/>
      <c r="Z109" s="35"/>
      <c r="AA109" s="35"/>
    </row>
    <row r="110" spans="1:27" ht="15">
      <c r="A110" s="65" t="s">
        <v>217</v>
      </c>
      <c r="B110" s="65" t="s">
        <v>329</v>
      </c>
      <c r="C110" s="66" t="s">
        <v>1612</v>
      </c>
      <c r="D110" s="67">
        <v>5</v>
      </c>
      <c r="E110" s="68"/>
      <c r="F110" s="69">
        <v>25</v>
      </c>
      <c r="G110" s="66"/>
      <c r="H110" s="70"/>
      <c r="I110" s="71"/>
      <c r="J110" s="71"/>
      <c r="K110" s="35" t="s">
        <v>65</v>
      </c>
      <c r="L110" s="79">
        <v>110</v>
      </c>
      <c r="M110" s="79"/>
      <c r="N110" s="73"/>
      <c r="O110" s="81" t="s">
        <v>377</v>
      </c>
      <c r="P110">
        <v>1</v>
      </c>
      <c r="Q110" s="80" t="str">
        <f>REPLACE(INDEX(GroupVertices[Group],MATCH(Edges[[#This Row],[Vertex 1]],GroupVertices[Vertex],0)),1,1,"")</f>
        <v>5</v>
      </c>
      <c r="R110" s="80" t="str">
        <f>REPLACE(INDEX(GroupVertices[Group],MATCH(Edges[[#This Row],[Vertex 2]],GroupVertices[Vertex],0)),1,1,"")</f>
        <v>5</v>
      </c>
      <c r="S110" s="35"/>
      <c r="T110" s="35"/>
      <c r="U110" s="35"/>
      <c r="V110" s="35"/>
      <c r="W110" s="35"/>
      <c r="X110" s="35"/>
      <c r="Y110" s="35"/>
      <c r="Z110" s="35"/>
      <c r="AA110" s="35"/>
    </row>
    <row r="111" spans="1:27" ht="15">
      <c r="A111" s="65" t="s">
        <v>217</v>
      </c>
      <c r="B111" s="65" t="s">
        <v>330</v>
      </c>
      <c r="C111" s="66" t="s">
        <v>1612</v>
      </c>
      <c r="D111" s="67">
        <v>5</v>
      </c>
      <c r="E111" s="68"/>
      <c r="F111" s="69">
        <v>25</v>
      </c>
      <c r="G111" s="66"/>
      <c r="H111" s="70"/>
      <c r="I111" s="71"/>
      <c r="J111" s="71"/>
      <c r="K111" s="35" t="s">
        <v>65</v>
      </c>
      <c r="L111" s="79">
        <v>111</v>
      </c>
      <c r="M111" s="79"/>
      <c r="N111" s="73"/>
      <c r="O111" s="81" t="s">
        <v>377</v>
      </c>
      <c r="P111">
        <v>1</v>
      </c>
      <c r="Q111" s="80" t="str">
        <f>REPLACE(INDEX(GroupVertices[Group],MATCH(Edges[[#This Row],[Vertex 1]],GroupVertices[Vertex],0)),1,1,"")</f>
        <v>5</v>
      </c>
      <c r="R111" s="80" t="str">
        <f>REPLACE(INDEX(GroupVertices[Group],MATCH(Edges[[#This Row],[Vertex 2]],GroupVertices[Vertex],0)),1,1,"")</f>
        <v>5</v>
      </c>
      <c r="S111" s="35"/>
      <c r="T111" s="35"/>
      <c r="U111" s="35"/>
      <c r="V111" s="35"/>
      <c r="W111" s="35"/>
      <c r="X111" s="35"/>
      <c r="Y111" s="35"/>
      <c r="Z111" s="35"/>
      <c r="AA111" s="35"/>
    </row>
    <row r="112" spans="1:27" ht="15">
      <c r="A112" s="65" t="s">
        <v>217</v>
      </c>
      <c r="B112" s="65" t="s">
        <v>331</v>
      </c>
      <c r="C112" s="66" t="s">
        <v>1612</v>
      </c>
      <c r="D112" s="67">
        <v>5</v>
      </c>
      <c r="E112" s="68"/>
      <c r="F112" s="69">
        <v>25</v>
      </c>
      <c r="G112" s="66"/>
      <c r="H112" s="70"/>
      <c r="I112" s="71"/>
      <c r="J112" s="71"/>
      <c r="K112" s="35" t="s">
        <v>65</v>
      </c>
      <c r="L112" s="79">
        <v>112</v>
      </c>
      <c r="M112" s="79"/>
      <c r="N112" s="73"/>
      <c r="O112" s="81" t="s">
        <v>377</v>
      </c>
      <c r="P112">
        <v>1</v>
      </c>
      <c r="Q112" s="80" t="str">
        <f>REPLACE(INDEX(GroupVertices[Group],MATCH(Edges[[#This Row],[Vertex 1]],GroupVertices[Vertex],0)),1,1,"")</f>
        <v>5</v>
      </c>
      <c r="R112" s="80" t="str">
        <f>REPLACE(INDEX(GroupVertices[Group],MATCH(Edges[[#This Row],[Vertex 2]],GroupVertices[Vertex],0)),1,1,"")</f>
        <v>5</v>
      </c>
      <c r="S112" s="35"/>
      <c r="T112" s="35"/>
      <c r="U112" s="35"/>
      <c r="V112" s="35"/>
      <c r="W112" s="35"/>
      <c r="X112" s="35"/>
      <c r="Y112" s="35"/>
      <c r="Z112" s="35"/>
      <c r="AA112" s="35"/>
    </row>
    <row r="113" spans="1:27" ht="15">
      <c r="A113" s="65" t="s">
        <v>217</v>
      </c>
      <c r="B113" s="65" t="s">
        <v>332</v>
      </c>
      <c r="C113" s="66" t="s">
        <v>1612</v>
      </c>
      <c r="D113" s="67">
        <v>5</v>
      </c>
      <c r="E113" s="68"/>
      <c r="F113" s="69">
        <v>25</v>
      </c>
      <c r="G113" s="66"/>
      <c r="H113" s="70"/>
      <c r="I113" s="71"/>
      <c r="J113" s="71"/>
      <c r="K113" s="35" t="s">
        <v>65</v>
      </c>
      <c r="L113" s="79">
        <v>113</v>
      </c>
      <c r="M113" s="79"/>
      <c r="N113" s="73"/>
      <c r="O113" s="81" t="s">
        <v>377</v>
      </c>
      <c r="P113">
        <v>1</v>
      </c>
      <c r="Q113" s="80" t="str">
        <f>REPLACE(INDEX(GroupVertices[Group],MATCH(Edges[[#This Row],[Vertex 1]],GroupVertices[Vertex],0)),1,1,"")</f>
        <v>5</v>
      </c>
      <c r="R113" s="80" t="str">
        <f>REPLACE(INDEX(GroupVertices[Group],MATCH(Edges[[#This Row],[Vertex 2]],GroupVertices[Vertex],0)),1,1,"")</f>
        <v>5</v>
      </c>
      <c r="S113" s="35"/>
      <c r="T113" s="35"/>
      <c r="U113" s="35"/>
      <c r="V113" s="35"/>
      <c r="W113" s="35"/>
      <c r="X113" s="35"/>
      <c r="Y113" s="35"/>
      <c r="Z113" s="35"/>
      <c r="AA113" s="35"/>
    </row>
    <row r="114" spans="1:27" ht="15">
      <c r="A114" s="65" t="s">
        <v>217</v>
      </c>
      <c r="B114" s="65" t="s">
        <v>333</v>
      </c>
      <c r="C114" s="66" t="s">
        <v>1612</v>
      </c>
      <c r="D114" s="67">
        <v>5</v>
      </c>
      <c r="E114" s="68"/>
      <c r="F114" s="69">
        <v>25</v>
      </c>
      <c r="G114" s="66"/>
      <c r="H114" s="70"/>
      <c r="I114" s="71"/>
      <c r="J114" s="71"/>
      <c r="K114" s="35" t="s">
        <v>65</v>
      </c>
      <c r="L114" s="79">
        <v>114</v>
      </c>
      <c r="M114" s="79"/>
      <c r="N114" s="73"/>
      <c r="O114" s="81" t="s">
        <v>377</v>
      </c>
      <c r="P114">
        <v>1</v>
      </c>
      <c r="Q114" s="80" t="str">
        <f>REPLACE(INDEX(GroupVertices[Group],MATCH(Edges[[#This Row],[Vertex 1]],GroupVertices[Vertex],0)),1,1,"")</f>
        <v>5</v>
      </c>
      <c r="R114" s="80" t="str">
        <f>REPLACE(INDEX(GroupVertices[Group],MATCH(Edges[[#This Row],[Vertex 2]],GroupVertices[Vertex],0)),1,1,"")</f>
        <v>5</v>
      </c>
      <c r="S114" s="35"/>
      <c r="T114" s="35"/>
      <c r="U114" s="35"/>
      <c r="V114" s="35"/>
      <c r="W114" s="35"/>
      <c r="X114" s="35"/>
      <c r="Y114" s="35"/>
      <c r="Z114" s="35"/>
      <c r="AA114" s="35"/>
    </row>
    <row r="115" spans="1:27" ht="15">
      <c r="A115" s="65" t="s">
        <v>217</v>
      </c>
      <c r="B115" s="65" t="s">
        <v>334</v>
      </c>
      <c r="C115" s="66" t="s">
        <v>1612</v>
      </c>
      <c r="D115" s="67">
        <v>5</v>
      </c>
      <c r="E115" s="68"/>
      <c r="F115" s="69">
        <v>25</v>
      </c>
      <c r="G115" s="66"/>
      <c r="H115" s="70"/>
      <c r="I115" s="71"/>
      <c r="J115" s="71"/>
      <c r="K115" s="35" t="s">
        <v>65</v>
      </c>
      <c r="L115" s="79">
        <v>115</v>
      </c>
      <c r="M115" s="79"/>
      <c r="N115" s="73"/>
      <c r="O115" s="81" t="s">
        <v>377</v>
      </c>
      <c r="P115">
        <v>1</v>
      </c>
      <c r="Q115" s="80" t="str">
        <f>REPLACE(INDEX(GroupVertices[Group],MATCH(Edges[[#This Row],[Vertex 1]],GroupVertices[Vertex],0)),1,1,"")</f>
        <v>5</v>
      </c>
      <c r="R115" s="80" t="str">
        <f>REPLACE(INDEX(GroupVertices[Group],MATCH(Edges[[#This Row],[Vertex 2]],GroupVertices[Vertex],0)),1,1,"")</f>
        <v>5</v>
      </c>
      <c r="S115" s="35"/>
      <c r="T115" s="35"/>
      <c r="U115" s="35"/>
      <c r="V115" s="35"/>
      <c r="W115" s="35"/>
      <c r="X115" s="35"/>
      <c r="Y115" s="35"/>
      <c r="Z115" s="35"/>
      <c r="AA115" s="35"/>
    </row>
    <row r="116" spans="1:27" ht="15">
      <c r="A116" s="65" t="s">
        <v>217</v>
      </c>
      <c r="B116" s="65" t="s">
        <v>335</v>
      </c>
      <c r="C116" s="66" t="s">
        <v>1612</v>
      </c>
      <c r="D116" s="67">
        <v>5</v>
      </c>
      <c r="E116" s="68"/>
      <c r="F116" s="69">
        <v>25</v>
      </c>
      <c r="G116" s="66"/>
      <c r="H116" s="70"/>
      <c r="I116" s="71"/>
      <c r="J116" s="71"/>
      <c r="K116" s="35" t="s">
        <v>65</v>
      </c>
      <c r="L116" s="79">
        <v>116</v>
      </c>
      <c r="M116" s="79"/>
      <c r="N116" s="73"/>
      <c r="O116" s="81" t="s">
        <v>377</v>
      </c>
      <c r="P116">
        <v>1</v>
      </c>
      <c r="Q116" s="80" t="str">
        <f>REPLACE(INDEX(GroupVertices[Group],MATCH(Edges[[#This Row],[Vertex 1]],GroupVertices[Vertex],0)),1,1,"")</f>
        <v>5</v>
      </c>
      <c r="R116" s="80" t="str">
        <f>REPLACE(INDEX(GroupVertices[Group],MATCH(Edges[[#This Row],[Vertex 2]],GroupVertices[Vertex],0)),1,1,"")</f>
        <v>5</v>
      </c>
      <c r="S116" s="35"/>
      <c r="T116" s="35"/>
      <c r="U116" s="35"/>
      <c r="V116" s="35"/>
      <c r="W116" s="35"/>
      <c r="X116" s="35"/>
      <c r="Y116" s="35"/>
      <c r="Z116" s="35"/>
      <c r="AA116" s="35"/>
    </row>
    <row r="117" spans="1:27" ht="15">
      <c r="A117" s="65" t="s">
        <v>217</v>
      </c>
      <c r="B117" s="65" t="s">
        <v>336</v>
      </c>
      <c r="C117" s="66" t="s">
        <v>1612</v>
      </c>
      <c r="D117" s="67">
        <v>5</v>
      </c>
      <c r="E117" s="68"/>
      <c r="F117" s="69">
        <v>25</v>
      </c>
      <c r="G117" s="66"/>
      <c r="H117" s="70"/>
      <c r="I117" s="71"/>
      <c r="J117" s="71"/>
      <c r="K117" s="35" t="s">
        <v>65</v>
      </c>
      <c r="L117" s="79">
        <v>117</v>
      </c>
      <c r="M117" s="79"/>
      <c r="N117" s="73"/>
      <c r="O117" s="81" t="s">
        <v>377</v>
      </c>
      <c r="P117">
        <v>1</v>
      </c>
      <c r="Q117" s="80" t="str">
        <f>REPLACE(INDEX(GroupVertices[Group],MATCH(Edges[[#This Row],[Vertex 1]],GroupVertices[Vertex],0)),1,1,"")</f>
        <v>5</v>
      </c>
      <c r="R117" s="80" t="str">
        <f>REPLACE(INDEX(GroupVertices[Group],MATCH(Edges[[#This Row],[Vertex 2]],GroupVertices[Vertex],0)),1,1,"")</f>
        <v>5</v>
      </c>
      <c r="S117" s="35"/>
      <c r="T117" s="35"/>
      <c r="U117" s="35"/>
      <c r="V117" s="35"/>
      <c r="W117" s="35"/>
      <c r="X117" s="35"/>
      <c r="Y117" s="35"/>
      <c r="Z117" s="35"/>
      <c r="AA117" s="35"/>
    </row>
    <row r="118" spans="1:27" ht="15">
      <c r="A118" s="65" t="s">
        <v>217</v>
      </c>
      <c r="B118" s="65" t="s">
        <v>337</v>
      </c>
      <c r="C118" s="66" t="s">
        <v>1612</v>
      </c>
      <c r="D118" s="67">
        <v>5</v>
      </c>
      <c r="E118" s="68"/>
      <c r="F118" s="69">
        <v>25</v>
      </c>
      <c r="G118" s="66"/>
      <c r="H118" s="70"/>
      <c r="I118" s="71"/>
      <c r="J118" s="71"/>
      <c r="K118" s="35" t="s">
        <v>65</v>
      </c>
      <c r="L118" s="79">
        <v>118</v>
      </c>
      <c r="M118" s="79"/>
      <c r="N118" s="73"/>
      <c r="O118" s="81" t="s">
        <v>377</v>
      </c>
      <c r="P118">
        <v>1</v>
      </c>
      <c r="Q118" s="80" t="str">
        <f>REPLACE(INDEX(GroupVertices[Group],MATCH(Edges[[#This Row],[Vertex 1]],GroupVertices[Vertex],0)),1,1,"")</f>
        <v>5</v>
      </c>
      <c r="R118" s="80" t="str">
        <f>REPLACE(INDEX(GroupVertices[Group],MATCH(Edges[[#This Row],[Vertex 2]],GroupVertices[Vertex],0)),1,1,"")</f>
        <v>5</v>
      </c>
      <c r="S118" s="35"/>
      <c r="T118" s="35"/>
      <c r="U118" s="35"/>
      <c r="V118" s="35"/>
      <c r="W118" s="35"/>
      <c r="X118" s="35"/>
      <c r="Y118" s="35"/>
      <c r="Z118" s="35"/>
      <c r="AA118" s="35"/>
    </row>
    <row r="119" spans="1:27" ht="15">
      <c r="A119" s="65" t="s">
        <v>218</v>
      </c>
      <c r="B119" s="65" t="s">
        <v>338</v>
      </c>
      <c r="C119" s="66" t="s">
        <v>1612</v>
      </c>
      <c r="D119" s="67">
        <v>5</v>
      </c>
      <c r="E119" s="68"/>
      <c r="F119" s="69">
        <v>25</v>
      </c>
      <c r="G119" s="66"/>
      <c r="H119" s="70"/>
      <c r="I119" s="71"/>
      <c r="J119" s="71"/>
      <c r="K119" s="35" t="s">
        <v>65</v>
      </c>
      <c r="L119" s="79">
        <v>119</v>
      </c>
      <c r="M119" s="79"/>
      <c r="N119" s="73"/>
      <c r="O119" s="81" t="s">
        <v>377</v>
      </c>
      <c r="P119">
        <v>1</v>
      </c>
      <c r="Q119" s="80" t="str">
        <f>REPLACE(INDEX(GroupVertices[Group],MATCH(Edges[[#This Row],[Vertex 1]],GroupVertices[Vertex],0)),1,1,"")</f>
        <v>2</v>
      </c>
      <c r="R119" s="80" t="str">
        <f>REPLACE(INDEX(GroupVertices[Group],MATCH(Edges[[#This Row],[Vertex 2]],GroupVertices[Vertex],0)),1,1,"")</f>
        <v>2</v>
      </c>
      <c r="S119" s="35"/>
      <c r="T119" s="35"/>
      <c r="U119" s="35"/>
      <c r="V119" s="35"/>
      <c r="W119" s="35"/>
      <c r="X119" s="35"/>
      <c r="Y119" s="35"/>
      <c r="Z119" s="35"/>
      <c r="AA119" s="35"/>
    </row>
    <row r="120" spans="1:27" ht="15">
      <c r="A120" s="65" t="s">
        <v>210</v>
      </c>
      <c r="B120" s="65" t="s">
        <v>339</v>
      </c>
      <c r="C120" s="66" t="s">
        <v>1612</v>
      </c>
      <c r="D120" s="67">
        <v>5</v>
      </c>
      <c r="E120" s="68"/>
      <c r="F120" s="69">
        <v>25</v>
      </c>
      <c r="G120" s="66"/>
      <c r="H120" s="70"/>
      <c r="I120" s="71"/>
      <c r="J120" s="71"/>
      <c r="K120" s="35" t="s">
        <v>65</v>
      </c>
      <c r="L120" s="79">
        <v>120</v>
      </c>
      <c r="M120" s="79"/>
      <c r="N120" s="73"/>
      <c r="O120" s="81" t="s">
        <v>377</v>
      </c>
      <c r="P120">
        <v>1</v>
      </c>
      <c r="Q120" s="80" t="str">
        <f>REPLACE(INDEX(GroupVertices[Group],MATCH(Edges[[#This Row],[Vertex 1]],GroupVertices[Vertex],0)),1,1,"")</f>
        <v>2</v>
      </c>
      <c r="R120" s="80" t="str">
        <f>REPLACE(INDEX(GroupVertices[Group],MATCH(Edges[[#This Row],[Vertex 2]],GroupVertices[Vertex],0)),1,1,"")</f>
        <v>2</v>
      </c>
      <c r="S120" s="35"/>
      <c r="T120" s="35"/>
      <c r="U120" s="35"/>
      <c r="V120" s="35"/>
      <c r="W120" s="35"/>
      <c r="X120" s="35"/>
      <c r="Y120" s="35"/>
      <c r="Z120" s="35"/>
      <c r="AA120" s="35"/>
    </row>
    <row r="121" spans="1:27" ht="15">
      <c r="A121" s="65" t="s">
        <v>218</v>
      </c>
      <c r="B121" s="65" t="s">
        <v>339</v>
      </c>
      <c r="C121" s="66" t="s">
        <v>1612</v>
      </c>
      <c r="D121" s="67">
        <v>5</v>
      </c>
      <c r="E121" s="68"/>
      <c r="F121" s="69">
        <v>25</v>
      </c>
      <c r="G121" s="66"/>
      <c r="H121" s="70"/>
      <c r="I121" s="71"/>
      <c r="J121" s="71"/>
      <c r="K121" s="35" t="s">
        <v>65</v>
      </c>
      <c r="L121" s="79">
        <v>121</v>
      </c>
      <c r="M121" s="79"/>
      <c r="N121" s="73"/>
      <c r="O121" s="81" t="s">
        <v>377</v>
      </c>
      <c r="P121">
        <v>1</v>
      </c>
      <c r="Q121" s="80" t="str">
        <f>REPLACE(INDEX(GroupVertices[Group],MATCH(Edges[[#This Row],[Vertex 1]],GroupVertices[Vertex],0)),1,1,"")</f>
        <v>2</v>
      </c>
      <c r="R121" s="80" t="str">
        <f>REPLACE(INDEX(GroupVertices[Group],MATCH(Edges[[#This Row],[Vertex 2]],GroupVertices[Vertex],0)),1,1,"")</f>
        <v>2</v>
      </c>
      <c r="S121" s="35"/>
      <c r="T121" s="35"/>
      <c r="U121" s="35"/>
      <c r="V121" s="35"/>
      <c r="W121" s="35"/>
      <c r="X121" s="35"/>
      <c r="Y121" s="35"/>
      <c r="Z121" s="35"/>
      <c r="AA121" s="35"/>
    </row>
    <row r="122" spans="1:27" ht="15">
      <c r="A122" s="65" t="s">
        <v>213</v>
      </c>
      <c r="B122" s="65" t="s">
        <v>340</v>
      </c>
      <c r="C122" s="66" t="s">
        <v>1612</v>
      </c>
      <c r="D122" s="67">
        <v>5</v>
      </c>
      <c r="E122" s="68"/>
      <c r="F122" s="69">
        <v>25</v>
      </c>
      <c r="G122" s="66"/>
      <c r="H122" s="70"/>
      <c r="I122" s="71"/>
      <c r="J122" s="71"/>
      <c r="K122" s="35" t="s">
        <v>65</v>
      </c>
      <c r="L122" s="79">
        <v>122</v>
      </c>
      <c r="M122" s="79"/>
      <c r="N122" s="73"/>
      <c r="O122" s="81" t="s">
        <v>377</v>
      </c>
      <c r="P122">
        <v>1</v>
      </c>
      <c r="Q122" s="80" t="str">
        <f>REPLACE(INDEX(GroupVertices[Group],MATCH(Edges[[#This Row],[Vertex 1]],GroupVertices[Vertex],0)),1,1,"")</f>
        <v>2</v>
      </c>
      <c r="R122" s="80" t="str">
        <f>REPLACE(INDEX(GroupVertices[Group],MATCH(Edges[[#This Row],[Vertex 2]],GroupVertices[Vertex],0)),1,1,"")</f>
        <v>2</v>
      </c>
      <c r="S122" s="35"/>
      <c r="T122" s="35"/>
      <c r="U122" s="35"/>
      <c r="V122" s="35"/>
      <c r="W122" s="35"/>
      <c r="X122" s="35"/>
      <c r="Y122" s="35"/>
      <c r="Z122" s="35"/>
      <c r="AA122" s="35"/>
    </row>
    <row r="123" spans="1:27" ht="15">
      <c r="A123" s="65" t="s">
        <v>216</v>
      </c>
      <c r="B123" s="65" t="s">
        <v>340</v>
      </c>
      <c r="C123" s="66" t="s">
        <v>1612</v>
      </c>
      <c r="D123" s="67">
        <v>5</v>
      </c>
      <c r="E123" s="68"/>
      <c r="F123" s="69">
        <v>25</v>
      </c>
      <c r="G123" s="66"/>
      <c r="H123" s="70"/>
      <c r="I123" s="71"/>
      <c r="J123" s="71"/>
      <c r="K123" s="35" t="s">
        <v>65</v>
      </c>
      <c r="L123" s="79">
        <v>123</v>
      </c>
      <c r="M123" s="79"/>
      <c r="N123" s="73"/>
      <c r="O123" s="81" t="s">
        <v>377</v>
      </c>
      <c r="P123">
        <v>1</v>
      </c>
      <c r="Q123" s="80" t="str">
        <f>REPLACE(INDEX(GroupVertices[Group],MATCH(Edges[[#This Row],[Vertex 1]],GroupVertices[Vertex],0)),1,1,"")</f>
        <v>2</v>
      </c>
      <c r="R123" s="80" t="str">
        <f>REPLACE(INDEX(GroupVertices[Group],MATCH(Edges[[#This Row],[Vertex 2]],GroupVertices[Vertex],0)),1,1,"")</f>
        <v>2</v>
      </c>
      <c r="S123" s="35"/>
      <c r="T123" s="35"/>
      <c r="U123" s="35"/>
      <c r="V123" s="35"/>
      <c r="W123" s="35"/>
      <c r="X123" s="35"/>
      <c r="Y123" s="35"/>
      <c r="Z123" s="35"/>
      <c r="AA123" s="35"/>
    </row>
    <row r="124" spans="1:27" ht="15">
      <c r="A124" s="65" t="s">
        <v>218</v>
      </c>
      <c r="B124" s="65" t="s">
        <v>340</v>
      </c>
      <c r="C124" s="66" t="s">
        <v>1612</v>
      </c>
      <c r="D124" s="67">
        <v>5</v>
      </c>
      <c r="E124" s="68"/>
      <c r="F124" s="69">
        <v>25</v>
      </c>
      <c r="G124" s="66"/>
      <c r="H124" s="70"/>
      <c r="I124" s="71"/>
      <c r="J124" s="71"/>
      <c r="K124" s="35" t="s">
        <v>65</v>
      </c>
      <c r="L124" s="79">
        <v>124</v>
      </c>
      <c r="M124" s="79"/>
      <c r="N124" s="73"/>
      <c r="O124" s="81" t="s">
        <v>377</v>
      </c>
      <c r="P124">
        <v>1</v>
      </c>
      <c r="Q124" s="80" t="str">
        <f>REPLACE(INDEX(GroupVertices[Group],MATCH(Edges[[#This Row],[Vertex 1]],GroupVertices[Vertex],0)),1,1,"")</f>
        <v>2</v>
      </c>
      <c r="R124" s="80" t="str">
        <f>REPLACE(INDEX(GroupVertices[Group],MATCH(Edges[[#This Row],[Vertex 2]],GroupVertices[Vertex],0)),1,1,"")</f>
        <v>2</v>
      </c>
      <c r="S124" s="35"/>
      <c r="T124" s="35"/>
      <c r="U124" s="35"/>
      <c r="V124" s="35"/>
      <c r="W124" s="35"/>
      <c r="X124" s="35"/>
      <c r="Y124" s="35"/>
      <c r="Z124" s="35"/>
      <c r="AA124" s="35"/>
    </row>
    <row r="125" spans="1:27" ht="15">
      <c r="A125" s="65" t="s">
        <v>218</v>
      </c>
      <c r="B125" s="65" t="s">
        <v>341</v>
      </c>
      <c r="C125" s="66" t="s">
        <v>1612</v>
      </c>
      <c r="D125" s="67">
        <v>5</v>
      </c>
      <c r="E125" s="68"/>
      <c r="F125" s="69">
        <v>25</v>
      </c>
      <c r="G125" s="66"/>
      <c r="H125" s="70"/>
      <c r="I125" s="71"/>
      <c r="J125" s="71"/>
      <c r="K125" s="35" t="s">
        <v>65</v>
      </c>
      <c r="L125" s="79">
        <v>125</v>
      </c>
      <c r="M125" s="79"/>
      <c r="N125" s="73"/>
      <c r="O125" s="81" t="s">
        <v>377</v>
      </c>
      <c r="P125">
        <v>1</v>
      </c>
      <c r="Q125" s="80" t="str">
        <f>REPLACE(INDEX(GroupVertices[Group],MATCH(Edges[[#This Row],[Vertex 1]],GroupVertices[Vertex],0)),1,1,"")</f>
        <v>2</v>
      </c>
      <c r="R125" s="80" t="str">
        <f>REPLACE(INDEX(GroupVertices[Group],MATCH(Edges[[#This Row],[Vertex 2]],GroupVertices[Vertex],0)),1,1,"")</f>
        <v>2</v>
      </c>
      <c r="S125" s="35"/>
      <c r="T125" s="35"/>
      <c r="U125" s="35"/>
      <c r="V125" s="35"/>
      <c r="W125" s="35"/>
      <c r="X125" s="35"/>
      <c r="Y125" s="35"/>
      <c r="Z125" s="35"/>
      <c r="AA125" s="35"/>
    </row>
    <row r="126" spans="1:27" ht="15">
      <c r="A126" s="65" t="s">
        <v>219</v>
      </c>
      <c r="B126" s="65" t="s">
        <v>342</v>
      </c>
      <c r="C126" s="66" t="s">
        <v>1612</v>
      </c>
      <c r="D126" s="67">
        <v>5</v>
      </c>
      <c r="E126" s="68"/>
      <c r="F126" s="69">
        <v>25</v>
      </c>
      <c r="G126" s="66"/>
      <c r="H126" s="70"/>
      <c r="I126" s="71"/>
      <c r="J126" s="71"/>
      <c r="K126" s="35" t="s">
        <v>65</v>
      </c>
      <c r="L126" s="79">
        <v>126</v>
      </c>
      <c r="M126" s="79"/>
      <c r="N126" s="73"/>
      <c r="O126" s="81" t="s">
        <v>377</v>
      </c>
      <c r="P126">
        <v>1</v>
      </c>
      <c r="Q126" s="80" t="str">
        <f>REPLACE(INDEX(GroupVertices[Group],MATCH(Edges[[#This Row],[Vertex 1]],GroupVertices[Vertex],0)),1,1,"")</f>
        <v>1</v>
      </c>
      <c r="R126" s="80" t="str">
        <f>REPLACE(INDEX(GroupVertices[Group],MATCH(Edges[[#This Row],[Vertex 2]],GroupVertices[Vertex],0)),1,1,"")</f>
        <v>1</v>
      </c>
      <c r="S126" s="35"/>
      <c r="T126" s="35"/>
      <c r="U126" s="35"/>
      <c r="V126" s="35"/>
      <c r="W126" s="35"/>
      <c r="X126" s="35"/>
      <c r="Y126" s="35"/>
      <c r="Z126" s="35"/>
      <c r="AA126" s="35"/>
    </row>
    <row r="127" spans="1:27" ht="15">
      <c r="A127" s="65" t="s">
        <v>196</v>
      </c>
      <c r="B127" s="65" t="s">
        <v>343</v>
      </c>
      <c r="C127" s="66" t="s">
        <v>1612</v>
      </c>
      <c r="D127" s="67">
        <v>5</v>
      </c>
      <c r="E127" s="68"/>
      <c r="F127" s="69">
        <v>25</v>
      </c>
      <c r="G127" s="66"/>
      <c r="H127" s="70"/>
      <c r="I127" s="71"/>
      <c r="J127" s="71"/>
      <c r="K127" s="35" t="s">
        <v>65</v>
      </c>
      <c r="L127" s="79">
        <v>127</v>
      </c>
      <c r="M127" s="79"/>
      <c r="N127" s="73"/>
      <c r="O127" s="81" t="s">
        <v>377</v>
      </c>
      <c r="P127">
        <v>1</v>
      </c>
      <c r="Q127" s="80" t="str">
        <f>REPLACE(INDEX(GroupVertices[Group],MATCH(Edges[[#This Row],[Vertex 1]],GroupVertices[Vertex],0)),1,1,"")</f>
        <v>1</v>
      </c>
      <c r="R127" s="80" t="str">
        <f>REPLACE(INDEX(GroupVertices[Group],MATCH(Edges[[#This Row],[Vertex 2]],GroupVertices[Vertex],0)),1,1,"")</f>
        <v>1</v>
      </c>
      <c r="S127" s="35"/>
      <c r="T127" s="35"/>
      <c r="U127" s="35"/>
      <c r="V127" s="35"/>
      <c r="W127" s="35"/>
      <c r="X127" s="35"/>
      <c r="Y127" s="35"/>
      <c r="Z127" s="35"/>
      <c r="AA127" s="35"/>
    </row>
    <row r="128" spans="1:27" ht="15">
      <c r="A128" s="65" t="s">
        <v>199</v>
      </c>
      <c r="B128" s="65" t="s">
        <v>343</v>
      </c>
      <c r="C128" s="66" t="s">
        <v>1612</v>
      </c>
      <c r="D128" s="67">
        <v>5</v>
      </c>
      <c r="E128" s="68"/>
      <c r="F128" s="69">
        <v>25</v>
      </c>
      <c r="G128" s="66"/>
      <c r="H128" s="70"/>
      <c r="I128" s="71"/>
      <c r="J128" s="71"/>
      <c r="K128" s="35" t="s">
        <v>65</v>
      </c>
      <c r="L128" s="79">
        <v>128</v>
      </c>
      <c r="M128" s="79"/>
      <c r="N128" s="73"/>
      <c r="O128" s="81" t="s">
        <v>377</v>
      </c>
      <c r="P128">
        <v>1</v>
      </c>
      <c r="Q128" s="80" t="str">
        <f>REPLACE(INDEX(GroupVertices[Group],MATCH(Edges[[#This Row],[Vertex 1]],GroupVertices[Vertex],0)),1,1,"")</f>
        <v>1</v>
      </c>
      <c r="R128" s="80" t="str">
        <f>REPLACE(INDEX(GroupVertices[Group],MATCH(Edges[[#This Row],[Vertex 2]],GroupVertices[Vertex],0)),1,1,"")</f>
        <v>1</v>
      </c>
      <c r="S128" s="35"/>
      <c r="T128" s="35"/>
      <c r="U128" s="35"/>
      <c r="V128" s="35"/>
      <c r="W128" s="35"/>
      <c r="X128" s="35"/>
      <c r="Y128" s="35"/>
      <c r="Z128" s="35"/>
      <c r="AA128" s="35"/>
    </row>
    <row r="129" spans="1:27" ht="15">
      <c r="A129" s="65" t="s">
        <v>219</v>
      </c>
      <c r="B129" s="65" t="s">
        <v>343</v>
      </c>
      <c r="C129" s="66" t="s">
        <v>1612</v>
      </c>
      <c r="D129" s="67">
        <v>5</v>
      </c>
      <c r="E129" s="68"/>
      <c r="F129" s="69">
        <v>25</v>
      </c>
      <c r="G129" s="66"/>
      <c r="H129" s="70"/>
      <c r="I129" s="71"/>
      <c r="J129" s="71"/>
      <c r="K129" s="35" t="s">
        <v>65</v>
      </c>
      <c r="L129" s="79">
        <v>129</v>
      </c>
      <c r="M129" s="79"/>
      <c r="N129" s="73"/>
      <c r="O129" s="81" t="s">
        <v>377</v>
      </c>
      <c r="P129">
        <v>1</v>
      </c>
      <c r="Q129" s="80" t="str">
        <f>REPLACE(INDEX(GroupVertices[Group],MATCH(Edges[[#This Row],[Vertex 1]],GroupVertices[Vertex],0)),1,1,"")</f>
        <v>1</v>
      </c>
      <c r="R129" s="80" t="str">
        <f>REPLACE(INDEX(GroupVertices[Group],MATCH(Edges[[#This Row],[Vertex 2]],GroupVertices[Vertex],0)),1,1,"")</f>
        <v>1</v>
      </c>
      <c r="S129" s="35"/>
      <c r="T129" s="35"/>
      <c r="U129" s="35"/>
      <c r="V129" s="35"/>
      <c r="W129" s="35"/>
      <c r="X129" s="35"/>
      <c r="Y129" s="35"/>
      <c r="Z129" s="35"/>
      <c r="AA129" s="35"/>
    </row>
    <row r="130" spans="1:27" ht="15">
      <c r="A130" s="65" t="s">
        <v>199</v>
      </c>
      <c r="B130" s="65" t="s">
        <v>344</v>
      </c>
      <c r="C130" s="66" t="s">
        <v>1612</v>
      </c>
      <c r="D130" s="67">
        <v>5</v>
      </c>
      <c r="E130" s="68"/>
      <c r="F130" s="69">
        <v>25</v>
      </c>
      <c r="G130" s="66"/>
      <c r="H130" s="70"/>
      <c r="I130" s="71"/>
      <c r="J130" s="71"/>
      <c r="K130" s="35" t="s">
        <v>65</v>
      </c>
      <c r="L130" s="79">
        <v>130</v>
      </c>
      <c r="M130" s="79"/>
      <c r="N130" s="73"/>
      <c r="O130" s="81" t="s">
        <v>377</v>
      </c>
      <c r="P130">
        <v>1</v>
      </c>
      <c r="Q130" s="80" t="str">
        <f>REPLACE(INDEX(GroupVertices[Group],MATCH(Edges[[#This Row],[Vertex 1]],GroupVertices[Vertex],0)),1,1,"")</f>
        <v>1</v>
      </c>
      <c r="R130" s="80" t="str">
        <f>REPLACE(INDEX(GroupVertices[Group],MATCH(Edges[[#This Row],[Vertex 2]],GroupVertices[Vertex],0)),1,1,"")</f>
        <v>1</v>
      </c>
      <c r="S130" s="35"/>
      <c r="T130" s="35"/>
      <c r="U130" s="35"/>
      <c r="V130" s="35"/>
      <c r="W130" s="35"/>
      <c r="X130" s="35"/>
      <c r="Y130" s="35"/>
      <c r="Z130" s="35"/>
      <c r="AA130" s="35"/>
    </row>
    <row r="131" spans="1:27" ht="15">
      <c r="A131" s="65" t="s">
        <v>219</v>
      </c>
      <c r="B131" s="65" t="s">
        <v>344</v>
      </c>
      <c r="C131" s="66" t="s">
        <v>1612</v>
      </c>
      <c r="D131" s="67">
        <v>5</v>
      </c>
      <c r="E131" s="68"/>
      <c r="F131" s="69">
        <v>25</v>
      </c>
      <c r="G131" s="66"/>
      <c r="H131" s="70"/>
      <c r="I131" s="71"/>
      <c r="J131" s="71"/>
      <c r="K131" s="35" t="s">
        <v>65</v>
      </c>
      <c r="L131" s="79">
        <v>131</v>
      </c>
      <c r="M131" s="79"/>
      <c r="N131" s="73"/>
      <c r="O131" s="81" t="s">
        <v>377</v>
      </c>
      <c r="P131">
        <v>1</v>
      </c>
      <c r="Q131" s="80" t="str">
        <f>REPLACE(INDEX(GroupVertices[Group],MATCH(Edges[[#This Row],[Vertex 1]],GroupVertices[Vertex],0)),1,1,"")</f>
        <v>1</v>
      </c>
      <c r="R131" s="80" t="str">
        <f>REPLACE(INDEX(GroupVertices[Group],MATCH(Edges[[#This Row],[Vertex 2]],GroupVertices[Vertex],0)),1,1,"")</f>
        <v>1</v>
      </c>
      <c r="S131" s="35"/>
      <c r="T131" s="35"/>
      <c r="U131" s="35"/>
      <c r="V131" s="35"/>
      <c r="W131" s="35"/>
      <c r="X131" s="35"/>
      <c r="Y131" s="35"/>
      <c r="Z131" s="35"/>
      <c r="AA131" s="35"/>
    </row>
    <row r="132" spans="1:27" ht="15">
      <c r="A132" s="65" t="s">
        <v>198</v>
      </c>
      <c r="B132" s="65" t="s">
        <v>345</v>
      </c>
      <c r="C132" s="66" t="s">
        <v>1612</v>
      </c>
      <c r="D132" s="67">
        <v>5</v>
      </c>
      <c r="E132" s="68"/>
      <c r="F132" s="69">
        <v>25</v>
      </c>
      <c r="G132" s="66"/>
      <c r="H132" s="70"/>
      <c r="I132" s="71"/>
      <c r="J132" s="71"/>
      <c r="K132" s="35" t="s">
        <v>65</v>
      </c>
      <c r="L132" s="79">
        <v>132</v>
      </c>
      <c r="M132" s="79"/>
      <c r="N132" s="73"/>
      <c r="O132" s="81" t="s">
        <v>377</v>
      </c>
      <c r="P132">
        <v>1</v>
      </c>
      <c r="Q132" s="80" t="str">
        <f>REPLACE(INDEX(GroupVertices[Group],MATCH(Edges[[#This Row],[Vertex 1]],GroupVertices[Vertex],0)),1,1,"")</f>
        <v>2</v>
      </c>
      <c r="R132" s="80" t="str">
        <f>REPLACE(INDEX(GroupVertices[Group],MATCH(Edges[[#This Row],[Vertex 2]],GroupVertices[Vertex],0)),1,1,"")</f>
        <v>2</v>
      </c>
      <c r="S132" s="35"/>
      <c r="T132" s="35"/>
      <c r="U132" s="35"/>
      <c r="V132" s="35"/>
      <c r="W132" s="35"/>
      <c r="X132" s="35"/>
      <c r="Y132" s="35"/>
      <c r="Z132" s="35"/>
      <c r="AA132" s="35"/>
    </row>
    <row r="133" spans="1:27" ht="15">
      <c r="A133" s="65" t="s">
        <v>220</v>
      </c>
      <c r="B133" s="65" t="s">
        <v>345</v>
      </c>
      <c r="C133" s="66" t="s">
        <v>1612</v>
      </c>
      <c r="D133" s="67">
        <v>5</v>
      </c>
      <c r="E133" s="68"/>
      <c r="F133" s="69">
        <v>25</v>
      </c>
      <c r="G133" s="66"/>
      <c r="H133" s="70"/>
      <c r="I133" s="71"/>
      <c r="J133" s="71"/>
      <c r="K133" s="35" t="s">
        <v>65</v>
      </c>
      <c r="L133" s="79">
        <v>133</v>
      </c>
      <c r="M133" s="79"/>
      <c r="N133" s="73"/>
      <c r="O133" s="81" t="s">
        <v>377</v>
      </c>
      <c r="P133">
        <v>1</v>
      </c>
      <c r="Q133" s="80" t="str">
        <f>REPLACE(INDEX(GroupVertices[Group],MATCH(Edges[[#This Row],[Vertex 1]],GroupVertices[Vertex],0)),1,1,"")</f>
        <v>2</v>
      </c>
      <c r="R133" s="80" t="str">
        <f>REPLACE(INDEX(GroupVertices[Group],MATCH(Edges[[#This Row],[Vertex 2]],GroupVertices[Vertex],0)),1,1,"")</f>
        <v>2</v>
      </c>
      <c r="S133" s="35"/>
      <c r="T133" s="35"/>
      <c r="U133" s="35"/>
      <c r="V133" s="35"/>
      <c r="W133" s="35"/>
      <c r="X133" s="35"/>
      <c r="Y133" s="35"/>
      <c r="Z133" s="35"/>
      <c r="AA133" s="35"/>
    </row>
    <row r="134" spans="1:27" ht="15">
      <c r="A134" s="65" t="s">
        <v>195</v>
      </c>
      <c r="B134" s="65" t="s">
        <v>346</v>
      </c>
      <c r="C134" s="66" t="s">
        <v>1612</v>
      </c>
      <c r="D134" s="67">
        <v>5</v>
      </c>
      <c r="E134" s="68"/>
      <c r="F134" s="69">
        <v>25</v>
      </c>
      <c r="G134" s="66"/>
      <c r="H134" s="70"/>
      <c r="I134" s="71"/>
      <c r="J134" s="71"/>
      <c r="K134" s="35" t="s">
        <v>65</v>
      </c>
      <c r="L134" s="79">
        <v>134</v>
      </c>
      <c r="M134" s="79"/>
      <c r="N134" s="73"/>
      <c r="O134" s="81" t="s">
        <v>377</v>
      </c>
      <c r="P134">
        <v>1</v>
      </c>
      <c r="Q134" s="80" t="str">
        <f>REPLACE(INDEX(GroupVertices[Group],MATCH(Edges[[#This Row],[Vertex 1]],GroupVertices[Vertex],0)),1,1,"")</f>
        <v>2</v>
      </c>
      <c r="R134" s="80" t="str">
        <f>REPLACE(INDEX(GroupVertices[Group],MATCH(Edges[[#This Row],[Vertex 2]],GroupVertices[Vertex],0)),1,1,"")</f>
        <v>2</v>
      </c>
      <c r="S134" s="35"/>
      <c r="T134" s="35"/>
      <c r="U134" s="35"/>
      <c r="V134" s="35"/>
      <c r="W134" s="35"/>
      <c r="X134" s="35"/>
      <c r="Y134" s="35"/>
      <c r="Z134" s="35"/>
      <c r="AA134" s="35"/>
    </row>
    <row r="135" spans="1:27" ht="15">
      <c r="A135" s="65" t="s">
        <v>210</v>
      </c>
      <c r="B135" s="65" t="s">
        <v>346</v>
      </c>
      <c r="C135" s="66" t="s">
        <v>1612</v>
      </c>
      <c r="D135" s="67">
        <v>5</v>
      </c>
      <c r="E135" s="68"/>
      <c r="F135" s="69">
        <v>25</v>
      </c>
      <c r="G135" s="66"/>
      <c r="H135" s="70"/>
      <c r="I135" s="71"/>
      <c r="J135" s="71"/>
      <c r="K135" s="35" t="s">
        <v>65</v>
      </c>
      <c r="L135" s="79">
        <v>135</v>
      </c>
      <c r="M135" s="79"/>
      <c r="N135" s="73"/>
      <c r="O135" s="81" t="s">
        <v>377</v>
      </c>
      <c r="P135">
        <v>1</v>
      </c>
      <c r="Q135" s="80" t="str">
        <f>REPLACE(INDEX(GroupVertices[Group],MATCH(Edges[[#This Row],[Vertex 1]],GroupVertices[Vertex],0)),1,1,"")</f>
        <v>2</v>
      </c>
      <c r="R135" s="80" t="str">
        <f>REPLACE(INDEX(GroupVertices[Group],MATCH(Edges[[#This Row],[Vertex 2]],GroupVertices[Vertex],0)),1,1,"")</f>
        <v>2</v>
      </c>
      <c r="S135" s="35"/>
      <c r="T135" s="35"/>
      <c r="U135" s="35"/>
      <c r="V135" s="35"/>
      <c r="W135" s="35"/>
      <c r="X135" s="35"/>
      <c r="Y135" s="35"/>
      <c r="Z135" s="35"/>
      <c r="AA135" s="35"/>
    </row>
    <row r="136" spans="1:27" ht="15">
      <c r="A136" s="65" t="s">
        <v>213</v>
      </c>
      <c r="B136" s="65" t="s">
        <v>346</v>
      </c>
      <c r="C136" s="66" t="s">
        <v>1612</v>
      </c>
      <c r="D136" s="67">
        <v>5</v>
      </c>
      <c r="E136" s="68"/>
      <c r="F136" s="69">
        <v>25</v>
      </c>
      <c r="G136" s="66"/>
      <c r="H136" s="70"/>
      <c r="I136" s="71"/>
      <c r="J136" s="71"/>
      <c r="K136" s="35" t="s">
        <v>65</v>
      </c>
      <c r="L136" s="79">
        <v>136</v>
      </c>
      <c r="M136" s="79"/>
      <c r="N136" s="73"/>
      <c r="O136" s="81" t="s">
        <v>377</v>
      </c>
      <c r="P136">
        <v>1</v>
      </c>
      <c r="Q136" s="80" t="str">
        <f>REPLACE(INDEX(GroupVertices[Group],MATCH(Edges[[#This Row],[Vertex 1]],GroupVertices[Vertex],0)),1,1,"")</f>
        <v>2</v>
      </c>
      <c r="R136" s="80" t="str">
        <f>REPLACE(INDEX(GroupVertices[Group],MATCH(Edges[[#This Row],[Vertex 2]],GroupVertices[Vertex],0)),1,1,"")</f>
        <v>2</v>
      </c>
      <c r="S136" s="35"/>
      <c r="T136" s="35"/>
      <c r="U136" s="35"/>
      <c r="V136" s="35"/>
      <c r="W136" s="35"/>
      <c r="X136" s="35"/>
      <c r="Y136" s="35"/>
      <c r="Z136" s="35"/>
      <c r="AA136" s="35"/>
    </row>
    <row r="137" spans="1:27" ht="15">
      <c r="A137" s="65" t="s">
        <v>216</v>
      </c>
      <c r="B137" s="65" t="s">
        <v>346</v>
      </c>
      <c r="C137" s="66" t="s">
        <v>1612</v>
      </c>
      <c r="D137" s="67">
        <v>5</v>
      </c>
      <c r="E137" s="68"/>
      <c r="F137" s="69">
        <v>25</v>
      </c>
      <c r="G137" s="66"/>
      <c r="H137" s="70"/>
      <c r="I137" s="71"/>
      <c r="J137" s="71"/>
      <c r="K137" s="35" t="s">
        <v>65</v>
      </c>
      <c r="L137" s="79">
        <v>137</v>
      </c>
      <c r="M137" s="79"/>
      <c r="N137" s="73"/>
      <c r="O137" s="81" t="s">
        <v>377</v>
      </c>
      <c r="P137">
        <v>1</v>
      </c>
      <c r="Q137" s="80" t="str">
        <f>REPLACE(INDEX(GroupVertices[Group],MATCH(Edges[[#This Row],[Vertex 1]],GroupVertices[Vertex],0)),1,1,"")</f>
        <v>2</v>
      </c>
      <c r="R137" s="80" t="str">
        <f>REPLACE(INDEX(GroupVertices[Group],MATCH(Edges[[#This Row],[Vertex 2]],GroupVertices[Vertex],0)),1,1,"")</f>
        <v>2</v>
      </c>
      <c r="S137" s="35"/>
      <c r="T137" s="35"/>
      <c r="U137" s="35"/>
      <c r="V137" s="35"/>
      <c r="W137" s="35"/>
      <c r="X137" s="35"/>
      <c r="Y137" s="35"/>
      <c r="Z137" s="35"/>
      <c r="AA137" s="35"/>
    </row>
    <row r="138" spans="1:27" ht="15">
      <c r="A138" s="65" t="s">
        <v>218</v>
      </c>
      <c r="B138" s="65" t="s">
        <v>346</v>
      </c>
      <c r="C138" s="66" t="s">
        <v>1612</v>
      </c>
      <c r="D138" s="67">
        <v>5</v>
      </c>
      <c r="E138" s="68"/>
      <c r="F138" s="69">
        <v>25</v>
      </c>
      <c r="G138" s="66"/>
      <c r="H138" s="70"/>
      <c r="I138" s="71"/>
      <c r="J138" s="71"/>
      <c r="K138" s="35" t="s">
        <v>65</v>
      </c>
      <c r="L138" s="79">
        <v>138</v>
      </c>
      <c r="M138" s="79"/>
      <c r="N138" s="73"/>
      <c r="O138" s="81" t="s">
        <v>377</v>
      </c>
      <c r="P138">
        <v>1</v>
      </c>
      <c r="Q138" s="80" t="str">
        <f>REPLACE(INDEX(GroupVertices[Group],MATCH(Edges[[#This Row],[Vertex 1]],GroupVertices[Vertex],0)),1,1,"")</f>
        <v>2</v>
      </c>
      <c r="R138" s="80" t="str">
        <f>REPLACE(INDEX(GroupVertices[Group],MATCH(Edges[[#This Row],[Vertex 2]],GroupVertices[Vertex],0)),1,1,"")</f>
        <v>2</v>
      </c>
      <c r="S138" s="35"/>
      <c r="T138" s="35"/>
      <c r="U138" s="35"/>
      <c r="V138" s="35"/>
      <c r="W138" s="35"/>
      <c r="X138" s="35"/>
      <c r="Y138" s="35"/>
      <c r="Z138" s="35"/>
      <c r="AA138" s="35"/>
    </row>
    <row r="139" spans="1:27" ht="15">
      <c r="A139" s="65" t="s">
        <v>220</v>
      </c>
      <c r="B139" s="65" t="s">
        <v>346</v>
      </c>
      <c r="C139" s="66" t="s">
        <v>1612</v>
      </c>
      <c r="D139" s="67">
        <v>5</v>
      </c>
      <c r="E139" s="68"/>
      <c r="F139" s="69">
        <v>25</v>
      </c>
      <c r="G139" s="66"/>
      <c r="H139" s="70"/>
      <c r="I139" s="71"/>
      <c r="J139" s="71"/>
      <c r="K139" s="35" t="s">
        <v>65</v>
      </c>
      <c r="L139" s="79">
        <v>139</v>
      </c>
      <c r="M139" s="79"/>
      <c r="N139" s="73"/>
      <c r="O139" s="81" t="s">
        <v>377</v>
      </c>
      <c r="P139">
        <v>1</v>
      </c>
      <c r="Q139" s="80" t="str">
        <f>REPLACE(INDEX(GroupVertices[Group],MATCH(Edges[[#This Row],[Vertex 1]],GroupVertices[Vertex],0)),1,1,"")</f>
        <v>2</v>
      </c>
      <c r="R139" s="80" t="str">
        <f>REPLACE(INDEX(GroupVertices[Group],MATCH(Edges[[#This Row],[Vertex 2]],GroupVertices[Vertex],0)),1,1,"")</f>
        <v>2</v>
      </c>
      <c r="S139" s="35"/>
      <c r="T139" s="35"/>
      <c r="U139" s="35"/>
      <c r="V139" s="35"/>
      <c r="W139" s="35"/>
      <c r="X139" s="35"/>
      <c r="Y139" s="35"/>
      <c r="Z139" s="35"/>
      <c r="AA139" s="35"/>
    </row>
    <row r="140" spans="1:27" ht="15">
      <c r="A140" s="65" t="s">
        <v>195</v>
      </c>
      <c r="B140" s="65" t="s">
        <v>347</v>
      </c>
      <c r="C140" s="66" t="s">
        <v>1612</v>
      </c>
      <c r="D140" s="67">
        <v>5</v>
      </c>
      <c r="E140" s="68"/>
      <c r="F140" s="69">
        <v>25</v>
      </c>
      <c r="G140" s="66"/>
      <c r="H140" s="70"/>
      <c r="I140" s="71"/>
      <c r="J140" s="71"/>
      <c r="K140" s="35" t="s">
        <v>65</v>
      </c>
      <c r="L140" s="79">
        <v>140</v>
      </c>
      <c r="M140" s="79"/>
      <c r="N140" s="73"/>
      <c r="O140" s="81" t="s">
        <v>377</v>
      </c>
      <c r="P140">
        <v>1</v>
      </c>
      <c r="Q140" s="80" t="str">
        <f>REPLACE(INDEX(GroupVertices[Group],MATCH(Edges[[#This Row],[Vertex 1]],GroupVertices[Vertex],0)),1,1,"")</f>
        <v>2</v>
      </c>
      <c r="R140" s="80" t="str">
        <f>REPLACE(INDEX(GroupVertices[Group],MATCH(Edges[[#This Row],[Vertex 2]],GroupVertices[Vertex],0)),1,1,"")</f>
        <v>2</v>
      </c>
      <c r="S140" s="35"/>
      <c r="T140" s="35"/>
      <c r="U140" s="35"/>
      <c r="V140" s="35"/>
      <c r="W140" s="35"/>
      <c r="X140" s="35"/>
      <c r="Y140" s="35"/>
      <c r="Z140" s="35"/>
      <c r="AA140" s="35"/>
    </row>
    <row r="141" spans="1:27" ht="15">
      <c r="A141" s="65" t="s">
        <v>198</v>
      </c>
      <c r="B141" s="65" t="s">
        <v>347</v>
      </c>
      <c r="C141" s="66" t="s">
        <v>1612</v>
      </c>
      <c r="D141" s="67">
        <v>5</v>
      </c>
      <c r="E141" s="68"/>
      <c r="F141" s="69">
        <v>25</v>
      </c>
      <c r="G141" s="66"/>
      <c r="H141" s="70"/>
      <c r="I141" s="71"/>
      <c r="J141" s="71"/>
      <c r="K141" s="35" t="s">
        <v>65</v>
      </c>
      <c r="L141" s="79">
        <v>141</v>
      </c>
      <c r="M141" s="79"/>
      <c r="N141" s="73"/>
      <c r="O141" s="81" t="s">
        <v>377</v>
      </c>
      <c r="P141">
        <v>1</v>
      </c>
      <c r="Q141" s="80" t="str">
        <f>REPLACE(INDEX(GroupVertices[Group],MATCH(Edges[[#This Row],[Vertex 1]],GroupVertices[Vertex],0)),1,1,"")</f>
        <v>2</v>
      </c>
      <c r="R141" s="80" t="str">
        <f>REPLACE(INDEX(GroupVertices[Group],MATCH(Edges[[#This Row],[Vertex 2]],GroupVertices[Vertex],0)),1,1,"")</f>
        <v>2</v>
      </c>
      <c r="S141" s="35"/>
      <c r="T141" s="35"/>
      <c r="U141" s="35"/>
      <c r="V141" s="35"/>
      <c r="W141" s="35"/>
      <c r="X141" s="35"/>
      <c r="Y141" s="35"/>
      <c r="Z141" s="35"/>
      <c r="AA141" s="35"/>
    </row>
    <row r="142" spans="1:27" ht="15">
      <c r="A142" s="65" t="s">
        <v>218</v>
      </c>
      <c r="B142" s="65" t="s">
        <v>347</v>
      </c>
      <c r="C142" s="66" t="s">
        <v>1612</v>
      </c>
      <c r="D142" s="67">
        <v>5</v>
      </c>
      <c r="E142" s="68"/>
      <c r="F142" s="69">
        <v>25</v>
      </c>
      <c r="G142" s="66"/>
      <c r="H142" s="70"/>
      <c r="I142" s="71"/>
      <c r="J142" s="71"/>
      <c r="K142" s="35" t="s">
        <v>65</v>
      </c>
      <c r="L142" s="79">
        <v>142</v>
      </c>
      <c r="M142" s="79"/>
      <c r="N142" s="73"/>
      <c r="O142" s="81" t="s">
        <v>377</v>
      </c>
      <c r="P142">
        <v>1</v>
      </c>
      <c r="Q142" s="80" t="str">
        <f>REPLACE(INDEX(GroupVertices[Group],MATCH(Edges[[#This Row],[Vertex 1]],GroupVertices[Vertex],0)),1,1,"")</f>
        <v>2</v>
      </c>
      <c r="R142" s="80" t="str">
        <f>REPLACE(INDEX(GroupVertices[Group],MATCH(Edges[[#This Row],[Vertex 2]],GroupVertices[Vertex],0)),1,1,"")</f>
        <v>2</v>
      </c>
      <c r="S142" s="35"/>
      <c r="T142" s="35"/>
      <c r="U142" s="35"/>
      <c r="V142" s="35"/>
      <c r="W142" s="35"/>
      <c r="X142" s="35"/>
      <c r="Y142" s="35"/>
      <c r="Z142" s="35"/>
      <c r="AA142" s="35"/>
    </row>
    <row r="143" spans="1:27" ht="15">
      <c r="A143" s="65" t="s">
        <v>220</v>
      </c>
      <c r="B143" s="65" t="s">
        <v>347</v>
      </c>
      <c r="C143" s="66" t="s">
        <v>1612</v>
      </c>
      <c r="D143" s="67">
        <v>5</v>
      </c>
      <c r="E143" s="68"/>
      <c r="F143" s="69">
        <v>25</v>
      </c>
      <c r="G143" s="66"/>
      <c r="H143" s="70"/>
      <c r="I143" s="71"/>
      <c r="J143" s="71"/>
      <c r="K143" s="35" t="s">
        <v>65</v>
      </c>
      <c r="L143" s="79">
        <v>143</v>
      </c>
      <c r="M143" s="79"/>
      <c r="N143" s="73"/>
      <c r="O143" s="81" t="s">
        <v>377</v>
      </c>
      <c r="P143">
        <v>1</v>
      </c>
      <c r="Q143" s="80" t="str">
        <f>REPLACE(INDEX(GroupVertices[Group],MATCH(Edges[[#This Row],[Vertex 1]],GroupVertices[Vertex],0)),1,1,"")</f>
        <v>2</v>
      </c>
      <c r="R143" s="80" t="str">
        <f>REPLACE(INDEX(GroupVertices[Group],MATCH(Edges[[#This Row],[Vertex 2]],GroupVertices[Vertex],0)),1,1,"")</f>
        <v>2</v>
      </c>
      <c r="S143" s="35"/>
      <c r="T143" s="35"/>
      <c r="U143" s="35"/>
      <c r="V143" s="35"/>
      <c r="W143" s="35"/>
      <c r="X143" s="35"/>
      <c r="Y143" s="35"/>
      <c r="Z143" s="35"/>
      <c r="AA143" s="35"/>
    </row>
    <row r="144" spans="1:27" ht="15">
      <c r="A144" s="65" t="s">
        <v>220</v>
      </c>
      <c r="B144" s="65" t="s">
        <v>348</v>
      </c>
      <c r="C144" s="66" t="s">
        <v>1612</v>
      </c>
      <c r="D144" s="67">
        <v>5</v>
      </c>
      <c r="E144" s="68"/>
      <c r="F144" s="69">
        <v>25</v>
      </c>
      <c r="G144" s="66"/>
      <c r="H144" s="70"/>
      <c r="I144" s="71"/>
      <c r="J144" s="71"/>
      <c r="K144" s="35" t="s">
        <v>65</v>
      </c>
      <c r="L144" s="79">
        <v>144</v>
      </c>
      <c r="M144" s="79"/>
      <c r="N144" s="73"/>
      <c r="O144" s="81" t="s">
        <v>377</v>
      </c>
      <c r="P144">
        <v>1</v>
      </c>
      <c r="Q144" s="80" t="str">
        <f>REPLACE(INDEX(GroupVertices[Group],MATCH(Edges[[#This Row],[Vertex 1]],GroupVertices[Vertex],0)),1,1,"")</f>
        <v>2</v>
      </c>
      <c r="R144" s="80" t="str">
        <f>REPLACE(INDEX(GroupVertices[Group],MATCH(Edges[[#This Row],[Vertex 2]],GroupVertices[Vertex],0)),1,1,"")</f>
        <v>2</v>
      </c>
      <c r="S144" s="35"/>
      <c r="T144" s="35"/>
      <c r="U144" s="35"/>
      <c r="V144" s="35"/>
      <c r="W144" s="35"/>
      <c r="X144" s="35"/>
      <c r="Y144" s="35"/>
      <c r="Z144" s="35"/>
      <c r="AA144" s="35"/>
    </row>
    <row r="145" spans="1:27" ht="15">
      <c r="A145" s="65" t="s">
        <v>219</v>
      </c>
      <c r="B145" s="65" t="s">
        <v>349</v>
      </c>
      <c r="C145" s="66" t="s">
        <v>1612</v>
      </c>
      <c r="D145" s="67">
        <v>5</v>
      </c>
      <c r="E145" s="68"/>
      <c r="F145" s="69">
        <v>25</v>
      </c>
      <c r="G145" s="66"/>
      <c r="H145" s="70"/>
      <c r="I145" s="71"/>
      <c r="J145" s="71"/>
      <c r="K145" s="35" t="s">
        <v>65</v>
      </c>
      <c r="L145" s="79">
        <v>145</v>
      </c>
      <c r="M145" s="79"/>
      <c r="N145" s="73"/>
      <c r="O145" s="81" t="s">
        <v>377</v>
      </c>
      <c r="P145">
        <v>1</v>
      </c>
      <c r="Q145" s="80" t="str">
        <f>REPLACE(INDEX(GroupVertices[Group],MATCH(Edges[[#This Row],[Vertex 1]],GroupVertices[Vertex],0)),1,1,"")</f>
        <v>1</v>
      </c>
      <c r="R145" s="80" t="str">
        <f>REPLACE(INDEX(GroupVertices[Group],MATCH(Edges[[#This Row],[Vertex 2]],GroupVertices[Vertex],0)),1,1,"")</f>
        <v>2</v>
      </c>
      <c r="S145" s="35"/>
      <c r="T145" s="35"/>
      <c r="U145" s="35"/>
      <c r="V145" s="35"/>
      <c r="W145" s="35"/>
      <c r="X145" s="35"/>
      <c r="Y145" s="35"/>
      <c r="Z145" s="35"/>
      <c r="AA145" s="35"/>
    </row>
    <row r="146" spans="1:27" ht="15">
      <c r="A146" s="65" t="s">
        <v>220</v>
      </c>
      <c r="B146" s="65" t="s">
        <v>349</v>
      </c>
      <c r="C146" s="66" t="s">
        <v>1612</v>
      </c>
      <c r="D146" s="67">
        <v>5</v>
      </c>
      <c r="E146" s="68"/>
      <c r="F146" s="69">
        <v>25</v>
      </c>
      <c r="G146" s="66"/>
      <c r="H146" s="70"/>
      <c r="I146" s="71"/>
      <c r="J146" s="71"/>
      <c r="K146" s="35" t="s">
        <v>65</v>
      </c>
      <c r="L146" s="79">
        <v>146</v>
      </c>
      <c r="M146" s="79"/>
      <c r="N146" s="73"/>
      <c r="O146" s="81" t="s">
        <v>377</v>
      </c>
      <c r="P146">
        <v>1</v>
      </c>
      <c r="Q146" s="80" t="str">
        <f>REPLACE(INDEX(GroupVertices[Group],MATCH(Edges[[#This Row],[Vertex 1]],GroupVertices[Vertex],0)),1,1,"")</f>
        <v>2</v>
      </c>
      <c r="R146" s="80" t="str">
        <f>REPLACE(INDEX(GroupVertices[Group],MATCH(Edges[[#This Row],[Vertex 2]],GroupVertices[Vertex],0)),1,1,"")</f>
        <v>2</v>
      </c>
      <c r="S146" s="35"/>
      <c r="T146" s="35"/>
      <c r="U146" s="35"/>
      <c r="V146" s="35"/>
      <c r="W146" s="35"/>
      <c r="X146" s="35"/>
      <c r="Y146" s="35"/>
      <c r="Z146" s="35"/>
      <c r="AA146" s="35"/>
    </row>
    <row r="147" spans="1:27" ht="15">
      <c r="A147" s="65" t="s">
        <v>198</v>
      </c>
      <c r="B147" s="65" t="s">
        <v>350</v>
      </c>
      <c r="C147" s="66" t="s">
        <v>1612</v>
      </c>
      <c r="D147" s="67">
        <v>5</v>
      </c>
      <c r="E147" s="68"/>
      <c r="F147" s="69">
        <v>25</v>
      </c>
      <c r="G147" s="66"/>
      <c r="H147" s="70"/>
      <c r="I147" s="71"/>
      <c r="J147" s="71"/>
      <c r="K147" s="35" t="s">
        <v>65</v>
      </c>
      <c r="L147" s="79">
        <v>147</v>
      </c>
      <c r="M147" s="79"/>
      <c r="N147" s="73"/>
      <c r="O147" s="81" t="s">
        <v>377</v>
      </c>
      <c r="P147">
        <v>1</v>
      </c>
      <c r="Q147" s="80" t="str">
        <f>REPLACE(INDEX(GroupVertices[Group],MATCH(Edges[[#This Row],[Vertex 1]],GroupVertices[Vertex],0)),1,1,"")</f>
        <v>2</v>
      </c>
      <c r="R147" s="80" t="str">
        <f>REPLACE(INDEX(GroupVertices[Group],MATCH(Edges[[#This Row],[Vertex 2]],GroupVertices[Vertex],0)),1,1,"")</f>
        <v>2</v>
      </c>
      <c r="S147" s="35"/>
      <c r="T147" s="35"/>
      <c r="U147" s="35"/>
      <c r="V147" s="35"/>
      <c r="W147" s="35"/>
      <c r="X147" s="35"/>
      <c r="Y147" s="35"/>
      <c r="Z147" s="35"/>
      <c r="AA147" s="35"/>
    </row>
    <row r="148" spans="1:27" ht="15">
      <c r="A148" s="65" t="s">
        <v>210</v>
      </c>
      <c r="B148" s="65" t="s">
        <v>350</v>
      </c>
      <c r="C148" s="66" t="s">
        <v>1612</v>
      </c>
      <c r="D148" s="67">
        <v>5</v>
      </c>
      <c r="E148" s="68"/>
      <c r="F148" s="69">
        <v>25</v>
      </c>
      <c r="G148" s="66"/>
      <c r="H148" s="70"/>
      <c r="I148" s="71"/>
      <c r="J148" s="71"/>
      <c r="K148" s="35" t="s">
        <v>65</v>
      </c>
      <c r="L148" s="79">
        <v>148</v>
      </c>
      <c r="M148" s="79"/>
      <c r="N148" s="73"/>
      <c r="O148" s="81" t="s">
        <v>377</v>
      </c>
      <c r="P148">
        <v>1</v>
      </c>
      <c r="Q148" s="80" t="str">
        <f>REPLACE(INDEX(GroupVertices[Group],MATCH(Edges[[#This Row],[Vertex 1]],GroupVertices[Vertex],0)),1,1,"")</f>
        <v>2</v>
      </c>
      <c r="R148" s="80" t="str">
        <f>REPLACE(INDEX(GroupVertices[Group],MATCH(Edges[[#This Row],[Vertex 2]],GroupVertices[Vertex],0)),1,1,"")</f>
        <v>2</v>
      </c>
      <c r="S148" s="35"/>
      <c r="T148" s="35"/>
      <c r="U148" s="35"/>
      <c r="V148" s="35"/>
      <c r="W148" s="35"/>
      <c r="X148" s="35"/>
      <c r="Y148" s="35"/>
      <c r="Z148" s="35"/>
      <c r="AA148" s="35"/>
    </row>
    <row r="149" spans="1:27" ht="15">
      <c r="A149" s="65" t="s">
        <v>213</v>
      </c>
      <c r="B149" s="65" t="s">
        <v>350</v>
      </c>
      <c r="C149" s="66" t="s">
        <v>1612</v>
      </c>
      <c r="D149" s="67">
        <v>5</v>
      </c>
      <c r="E149" s="68"/>
      <c r="F149" s="69">
        <v>25</v>
      </c>
      <c r="G149" s="66"/>
      <c r="H149" s="70"/>
      <c r="I149" s="71"/>
      <c r="J149" s="71"/>
      <c r="K149" s="35" t="s">
        <v>65</v>
      </c>
      <c r="L149" s="79">
        <v>149</v>
      </c>
      <c r="M149" s="79"/>
      <c r="N149" s="73"/>
      <c r="O149" s="81" t="s">
        <v>377</v>
      </c>
      <c r="P149">
        <v>1</v>
      </c>
      <c r="Q149" s="80" t="str">
        <f>REPLACE(INDEX(GroupVertices[Group],MATCH(Edges[[#This Row],[Vertex 1]],GroupVertices[Vertex],0)),1,1,"")</f>
        <v>2</v>
      </c>
      <c r="R149" s="80" t="str">
        <f>REPLACE(INDEX(GroupVertices[Group],MATCH(Edges[[#This Row],[Vertex 2]],GroupVertices[Vertex],0)),1,1,"")</f>
        <v>2</v>
      </c>
      <c r="S149" s="35"/>
      <c r="T149" s="35"/>
      <c r="U149" s="35"/>
      <c r="V149" s="35"/>
      <c r="W149" s="35"/>
      <c r="X149" s="35"/>
      <c r="Y149" s="35"/>
      <c r="Z149" s="35"/>
      <c r="AA149" s="35"/>
    </row>
    <row r="150" spans="1:27" ht="15">
      <c r="A150" s="65" t="s">
        <v>216</v>
      </c>
      <c r="B150" s="65" t="s">
        <v>350</v>
      </c>
      <c r="C150" s="66" t="s">
        <v>1612</v>
      </c>
      <c r="D150" s="67">
        <v>5</v>
      </c>
      <c r="E150" s="68"/>
      <c r="F150" s="69">
        <v>25</v>
      </c>
      <c r="G150" s="66"/>
      <c r="H150" s="70"/>
      <c r="I150" s="71"/>
      <c r="J150" s="71"/>
      <c r="K150" s="35" t="s">
        <v>65</v>
      </c>
      <c r="L150" s="79">
        <v>150</v>
      </c>
      <c r="M150" s="79"/>
      <c r="N150" s="73"/>
      <c r="O150" s="81" t="s">
        <v>377</v>
      </c>
      <c r="P150">
        <v>1</v>
      </c>
      <c r="Q150" s="80" t="str">
        <f>REPLACE(INDEX(GroupVertices[Group],MATCH(Edges[[#This Row],[Vertex 1]],GroupVertices[Vertex],0)),1,1,"")</f>
        <v>2</v>
      </c>
      <c r="R150" s="80" t="str">
        <f>REPLACE(INDEX(GroupVertices[Group],MATCH(Edges[[#This Row],[Vertex 2]],GroupVertices[Vertex],0)),1,1,"")</f>
        <v>2</v>
      </c>
      <c r="S150" s="35"/>
      <c r="T150" s="35"/>
      <c r="U150" s="35"/>
      <c r="V150" s="35"/>
      <c r="W150" s="35"/>
      <c r="X150" s="35"/>
      <c r="Y150" s="35"/>
      <c r="Z150" s="35"/>
      <c r="AA150" s="35"/>
    </row>
    <row r="151" spans="1:27" ht="15">
      <c r="A151" s="65" t="s">
        <v>218</v>
      </c>
      <c r="B151" s="65" t="s">
        <v>350</v>
      </c>
      <c r="C151" s="66" t="s">
        <v>1612</v>
      </c>
      <c r="D151" s="67">
        <v>5</v>
      </c>
      <c r="E151" s="68"/>
      <c r="F151" s="69">
        <v>25</v>
      </c>
      <c r="G151" s="66"/>
      <c r="H151" s="70"/>
      <c r="I151" s="71"/>
      <c r="J151" s="71"/>
      <c r="K151" s="35" t="s">
        <v>65</v>
      </c>
      <c r="L151" s="79">
        <v>151</v>
      </c>
      <c r="M151" s="79"/>
      <c r="N151" s="73"/>
      <c r="O151" s="81" t="s">
        <v>377</v>
      </c>
      <c r="P151">
        <v>1</v>
      </c>
      <c r="Q151" s="80" t="str">
        <f>REPLACE(INDEX(GroupVertices[Group],MATCH(Edges[[#This Row],[Vertex 1]],GroupVertices[Vertex],0)),1,1,"")</f>
        <v>2</v>
      </c>
      <c r="R151" s="80" t="str">
        <f>REPLACE(INDEX(GroupVertices[Group],MATCH(Edges[[#This Row],[Vertex 2]],GroupVertices[Vertex],0)),1,1,"")</f>
        <v>2</v>
      </c>
      <c r="S151" s="35"/>
      <c r="T151" s="35"/>
      <c r="U151" s="35"/>
      <c r="V151" s="35"/>
      <c r="W151" s="35"/>
      <c r="X151" s="35"/>
      <c r="Y151" s="35"/>
      <c r="Z151" s="35"/>
      <c r="AA151" s="35"/>
    </row>
    <row r="152" spans="1:27" ht="15">
      <c r="A152" s="65" t="s">
        <v>220</v>
      </c>
      <c r="B152" s="65" t="s">
        <v>350</v>
      </c>
      <c r="C152" s="66" t="s">
        <v>1612</v>
      </c>
      <c r="D152" s="67">
        <v>5</v>
      </c>
      <c r="E152" s="68"/>
      <c r="F152" s="69">
        <v>25</v>
      </c>
      <c r="G152" s="66"/>
      <c r="H152" s="70"/>
      <c r="I152" s="71"/>
      <c r="J152" s="71"/>
      <c r="K152" s="35" t="s">
        <v>65</v>
      </c>
      <c r="L152" s="79">
        <v>152</v>
      </c>
      <c r="M152" s="79"/>
      <c r="N152" s="73"/>
      <c r="O152" s="81" t="s">
        <v>377</v>
      </c>
      <c r="P152">
        <v>1</v>
      </c>
      <c r="Q152" s="80" t="str">
        <f>REPLACE(INDEX(GroupVertices[Group],MATCH(Edges[[#This Row],[Vertex 1]],GroupVertices[Vertex],0)),1,1,"")</f>
        <v>2</v>
      </c>
      <c r="R152" s="80" t="str">
        <f>REPLACE(INDEX(GroupVertices[Group],MATCH(Edges[[#This Row],[Vertex 2]],GroupVertices[Vertex],0)),1,1,"")</f>
        <v>2</v>
      </c>
      <c r="S152" s="35"/>
      <c r="T152" s="35"/>
      <c r="U152" s="35"/>
      <c r="V152" s="35"/>
      <c r="W152" s="35"/>
      <c r="X152" s="35"/>
      <c r="Y152" s="35"/>
      <c r="Z152" s="35"/>
      <c r="AA152" s="35"/>
    </row>
    <row r="153" spans="1:27" ht="15">
      <c r="A153" s="65" t="s">
        <v>221</v>
      </c>
      <c r="B153" s="65" t="s">
        <v>351</v>
      </c>
      <c r="C153" s="66" t="s">
        <v>1612</v>
      </c>
      <c r="D153" s="67">
        <v>5</v>
      </c>
      <c r="E153" s="68"/>
      <c r="F153" s="69">
        <v>25</v>
      </c>
      <c r="G153" s="66"/>
      <c r="H153" s="70"/>
      <c r="I153" s="71"/>
      <c r="J153" s="71"/>
      <c r="K153" s="35" t="s">
        <v>65</v>
      </c>
      <c r="L153" s="79">
        <v>153</v>
      </c>
      <c r="M153" s="79"/>
      <c r="N153" s="73"/>
      <c r="O153" s="81" t="s">
        <v>377</v>
      </c>
      <c r="P153">
        <v>1</v>
      </c>
      <c r="Q153" s="80" t="str">
        <f>REPLACE(INDEX(GroupVertices[Group],MATCH(Edges[[#This Row],[Vertex 1]],GroupVertices[Vertex],0)),1,1,"")</f>
        <v>1</v>
      </c>
      <c r="R153" s="80" t="str">
        <f>REPLACE(INDEX(GroupVertices[Group],MATCH(Edges[[#This Row],[Vertex 2]],GroupVertices[Vertex],0)),1,1,"")</f>
        <v>1</v>
      </c>
      <c r="S153" s="35"/>
      <c r="T153" s="35"/>
      <c r="U153" s="35"/>
      <c r="V153" s="35"/>
      <c r="W153" s="35"/>
      <c r="X153" s="35"/>
      <c r="Y153" s="35"/>
      <c r="Z153" s="35"/>
      <c r="AA153" s="35"/>
    </row>
    <row r="154" spans="1:27" ht="15">
      <c r="A154" s="65" t="s">
        <v>208</v>
      </c>
      <c r="B154" s="65" t="s">
        <v>352</v>
      </c>
      <c r="C154" s="66" t="s">
        <v>1612</v>
      </c>
      <c r="D154" s="67">
        <v>5</v>
      </c>
      <c r="E154" s="68"/>
      <c r="F154" s="69">
        <v>25</v>
      </c>
      <c r="G154" s="66"/>
      <c r="H154" s="70"/>
      <c r="I154" s="71"/>
      <c r="J154" s="71"/>
      <c r="K154" s="35" t="s">
        <v>65</v>
      </c>
      <c r="L154" s="79">
        <v>154</v>
      </c>
      <c r="M154" s="79"/>
      <c r="N154" s="73"/>
      <c r="O154" s="81" t="s">
        <v>377</v>
      </c>
      <c r="P154">
        <v>1</v>
      </c>
      <c r="Q154" s="80" t="str">
        <f>REPLACE(INDEX(GroupVertices[Group],MATCH(Edges[[#This Row],[Vertex 1]],GroupVertices[Vertex],0)),1,1,"")</f>
        <v>3</v>
      </c>
      <c r="R154" s="80" t="str">
        <f>REPLACE(INDEX(GroupVertices[Group],MATCH(Edges[[#This Row],[Vertex 2]],GroupVertices[Vertex],0)),1,1,"")</f>
        <v>1</v>
      </c>
      <c r="S154" s="35"/>
      <c r="T154" s="35"/>
      <c r="U154" s="35"/>
      <c r="V154" s="35"/>
      <c r="W154" s="35"/>
      <c r="X154" s="35"/>
      <c r="Y154" s="35"/>
      <c r="Z154" s="35"/>
      <c r="AA154" s="35"/>
    </row>
    <row r="155" spans="1:27" ht="15">
      <c r="A155" s="65" t="s">
        <v>212</v>
      </c>
      <c r="B155" s="65" t="s">
        <v>352</v>
      </c>
      <c r="C155" s="66" t="s">
        <v>1612</v>
      </c>
      <c r="D155" s="67">
        <v>5</v>
      </c>
      <c r="E155" s="68"/>
      <c r="F155" s="69">
        <v>25</v>
      </c>
      <c r="G155" s="66"/>
      <c r="H155" s="70"/>
      <c r="I155" s="71"/>
      <c r="J155" s="71"/>
      <c r="K155" s="35" t="s">
        <v>65</v>
      </c>
      <c r="L155" s="79">
        <v>155</v>
      </c>
      <c r="M155" s="79"/>
      <c r="N155" s="73"/>
      <c r="O155" s="81" t="s">
        <v>377</v>
      </c>
      <c r="P155">
        <v>1</v>
      </c>
      <c r="Q155" s="80" t="str">
        <f>REPLACE(INDEX(GroupVertices[Group],MATCH(Edges[[#This Row],[Vertex 1]],GroupVertices[Vertex],0)),1,1,"")</f>
        <v>1</v>
      </c>
      <c r="R155" s="80" t="str">
        <f>REPLACE(INDEX(GroupVertices[Group],MATCH(Edges[[#This Row],[Vertex 2]],GroupVertices[Vertex],0)),1,1,"")</f>
        <v>1</v>
      </c>
      <c r="S155" s="35"/>
      <c r="T155" s="35"/>
      <c r="U155" s="35"/>
      <c r="V155" s="35"/>
      <c r="W155" s="35"/>
      <c r="X155" s="35"/>
      <c r="Y155" s="35"/>
      <c r="Z155" s="35"/>
      <c r="AA155" s="35"/>
    </row>
    <row r="156" spans="1:27" ht="15">
      <c r="A156" s="65" t="s">
        <v>214</v>
      </c>
      <c r="B156" s="65" t="s">
        <v>352</v>
      </c>
      <c r="C156" s="66" t="s">
        <v>1612</v>
      </c>
      <c r="D156" s="67">
        <v>5</v>
      </c>
      <c r="E156" s="68"/>
      <c r="F156" s="69">
        <v>25</v>
      </c>
      <c r="G156" s="66"/>
      <c r="H156" s="70"/>
      <c r="I156" s="71"/>
      <c r="J156" s="71"/>
      <c r="K156" s="35" t="s">
        <v>65</v>
      </c>
      <c r="L156" s="79">
        <v>156</v>
      </c>
      <c r="M156" s="79"/>
      <c r="N156" s="73"/>
      <c r="O156" s="81" t="s">
        <v>377</v>
      </c>
      <c r="P156">
        <v>1</v>
      </c>
      <c r="Q156" s="80" t="str">
        <f>REPLACE(INDEX(GroupVertices[Group],MATCH(Edges[[#This Row],[Vertex 1]],GroupVertices[Vertex],0)),1,1,"")</f>
        <v>1</v>
      </c>
      <c r="R156" s="80" t="str">
        <f>REPLACE(INDEX(GroupVertices[Group],MATCH(Edges[[#This Row],[Vertex 2]],GroupVertices[Vertex],0)),1,1,"")</f>
        <v>1</v>
      </c>
      <c r="S156" s="35"/>
      <c r="T156" s="35"/>
      <c r="U156" s="35"/>
      <c r="V156" s="35"/>
      <c r="W156" s="35"/>
      <c r="X156" s="35"/>
      <c r="Y156" s="35"/>
      <c r="Z156" s="35"/>
      <c r="AA156" s="35"/>
    </row>
    <row r="157" spans="1:27" ht="15">
      <c r="A157" s="65" t="s">
        <v>215</v>
      </c>
      <c r="B157" s="65" t="s">
        <v>352</v>
      </c>
      <c r="C157" s="66" t="s">
        <v>1612</v>
      </c>
      <c r="D157" s="67">
        <v>5</v>
      </c>
      <c r="E157" s="68"/>
      <c r="F157" s="69">
        <v>25</v>
      </c>
      <c r="G157" s="66"/>
      <c r="H157" s="70"/>
      <c r="I157" s="71"/>
      <c r="J157" s="71"/>
      <c r="K157" s="35" t="s">
        <v>65</v>
      </c>
      <c r="L157" s="79">
        <v>157</v>
      </c>
      <c r="M157" s="79"/>
      <c r="N157" s="73"/>
      <c r="O157" s="81" t="s">
        <v>377</v>
      </c>
      <c r="P157">
        <v>1</v>
      </c>
      <c r="Q157" s="80" t="str">
        <f>REPLACE(INDEX(GroupVertices[Group],MATCH(Edges[[#This Row],[Vertex 1]],GroupVertices[Vertex],0)),1,1,"")</f>
        <v>1</v>
      </c>
      <c r="R157" s="80" t="str">
        <f>REPLACE(INDEX(GroupVertices[Group],MATCH(Edges[[#This Row],[Vertex 2]],GroupVertices[Vertex],0)),1,1,"")</f>
        <v>1</v>
      </c>
      <c r="S157" s="35"/>
      <c r="T157" s="35"/>
      <c r="U157" s="35"/>
      <c r="V157" s="35"/>
      <c r="W157" s="35"/>
      <c r="X157" s="35"/>
      <c r="Y157" s="35"/>
      <c r="Z157" s="35"/>
      <c r="AA157" s="35"/>
    </row>
    <row r="158" spans="1:27" ht="15">
      <c r="A158" s="65" t="s">
        <v>221</v>
      </c>
      <c r="B158" s="65" t="s">
        <v>352</v>
      </c>
      <c r="C158" s="66" t="s">
        <v>1612</v>
      </c>
      <c r="D158" s="67">
        <v>5</v>
      </c>
      <c r="E158" s="68"/>
      <c r="F158" s="69">
        <v>25</v>
      </c>
      <c r="G158" s="66"/>
      <c r="H158" s="70"/>
      <c r="I158" s="71"/>
      <c r="J158" s="71"/>
      <c r="K158" s="35" t="s">
        <v>65</v>
      </c>
      <c r="L158" s="79">
        <v>158</v>
      </c>
      <c r="M158" s="79"/>
      <c r="N158" s="73"/>
      <c r="O158" s="81" t="s">
        <v>377</v>
      </c>
      <c r="P158">
        <v>1</v>
      </c>
      <c r="Q158" s="80" t="str">
        <f>REPLACE(INDEX(GroupVertices[Group],MATCH(Edges[[#This Row],[Vertex 1]],GroupVertices[Vertex],0)),1,1,"")</f>
        <v>1</v>
      </c>
      <c r="R158" s="80" t="str">
        <f>REPLACE(INDEX(GroupVertices[Group],MATCH(Edges[[#This Row],[Vertex 2]],GroupVertices[Vertex],0)),1,1,"")</f>
        <v>1</v>
      </c>
      <c r="S158" s="35"/>
      <c r="T158" s="35"/>
      <c r="U158" s="35"/>
      <c r="V158" s="35"/>
      <c r="W158" s="35"/>
      <c r="X158" s="35"/>
      <c r="Y158" s="35"/>
      <c r="Z158" s="35"/>
      <c r="AA158" s="35"/>
    </row>
    <row r="159" spans="1:27" ht="15">
      <c r="A159" s="65" t="s">
        <v>205</v>
      </c>
      <c r="B159" s="65" t="s">
        <v>353</v>
      </c>
      <c r="C159" s="66" t="s">
        <v>1612</v>
      </c>
      <c r="D159" s="67">
        <v>5</v>
      </c>
      <c r="E159" s="68"/>
      <c r="F159" s="69">
        <v>25</v>
      </c>
      <c r="G159" s="66"/>
      <c r="H159" s="70"/>
      <c r="I159" s="71"/>
      <c r="J159" s="71"/>
      <c r="K159" s="35" t="s">
        <v>65</v>
      </c>
      <c r="L159" s="79">
        <v>159</v>
      </c>
      <c r="M159" s="79"/>
      <c r="N159" s="73"/>
      <c r="O159" s="81" t="s">
        <v>377</v>
      </c>
      <c r="P159">
        <v>1</v>
      </c>
      <c r="Q159" s="80" t="str">
        <f>REPLACE(INDEX(GroupVertices[Group],MATCH(Edges[[#This Row],[Vertex 1]],GroupVertices[Vertex],0)),1,1,"")</f>
        <v>1</v>
      </c>
      <c r="R159" s="80" t="str">
        <f>REPLACE(INDEX(GroupVertices[Group],MATCH(Edges[[#This Row],[Vertex 2]],GroupVertices[Vertex],0)),1,1,"")</f>
        <v>1</v>
      </c>
      <c r="S159" s="35"/>
      <c r="T159" s="35"/>
      <c r="U159" s="35"/>
      <c r="V159" s="35"/>
      <c r="W159" s="35"/>
      <c r="X159" s="35"/>
      <c r="Y159" s="35"/>
      <c r="Z159" s="35"/>
      <c r="AA159" s="35"/>
    </row>
    <row r="160" spans="1:27" ht="15">
      <c r="A160" s="65" t="s">
        <v>206</v>
      </c>
      <c r="B160" s="65" t="s">
        <v>353</v>
      </c>
      <c r="C160" s="66" t="s">
        <v>1612</v>
      </c>
      <c r="D160" s="67">
        <v>5</v>
      </c>
      <c r="E160" s="68"/>
      <c r="F160" s="69">
        <v>25</v>
      </c>
      <c r="G160" s="66"/>
      <c r="H160" s="70"/>
      <c r="I160" s="71"/>
      <c r="J160" s="71"/>
      <c r="K160" s="35" t="s">
        <v>65</v>
      </c>
      <c r="L160" s="79">
        <v>160</v>
      </c>
      <c r="M160" s="79"/>
      <c r="N160" s="73"/>
      <c r="O160" s="81" t="s">
        <v>377</v>
      </c>
      <c r="P160">
        <v>1</v>
      </c>
      <c r="Q160" s="80" t="str">
        <f>REPLACE(INDEX(GroupVertices[Group],MATCH(Edges[[#This Row],[Vertex 1]],GroupVertices[Vertex],0)),1,1,"")</f>
        <v>1</v>
      </c>
      <c r="R160" s="80" t="str">
        <f>REPLACE(INDEX(GroupVertices[Group],MATCH(Edges[[#This Row],[Vertex 2]],GroupVertices[Vertex],0)),1,1,"")</f>
        <v>1</v>
      </c>
      <c r="S160" s="35"/>
      <c r="T160" s="35"/>
      <c r="U160" s="35"/>
      <c r="V160" s="35"/>
      <c r="W160" s="35"/>
      <c r="X160" s="35"/>
      <c r="Y160" s="35"/>
      <c r="Z160" s="35"/>
      <c r="AA160" s="35"/>
    </row>
    <row r="161" spans="1:27" ht="15">
      <c r="A161" s="65" t="s">
        <v>203</v>
      </c>
      <c r="B161" s="65" t="s">
        <v>353</v>
      </c>
      <c r="C161" s="66" t="s">
        <v>1612</v>
      </c>
      <c r="D161" s="67">
        <v>5</v>
      </c>
      <c r="E161" s="68"/>
      <c r="F161" s="69">
        <v>25</v>
      </c>
      <c r="G161" s="66"/>
      <c r="H161" s="70"/>
      <c r="I161" s="71"/>
      <c r="J161" s="71"/>
      <c r="K161" s="35" t="s">
        <v>65</v>
      </c>
      <c r="L161" s="79">
        <v>161</v>
      </c>
      <c r="M161" s="79"/>
      <c r="N161" s="73"/>
      <c r="O161" s="81" t="s">
        <v>377</v>
      </c>
      <c r="P161">
        <v>1</v>
      </c>
      <c r="Q161" s="80" t="str">
        <f>REPLACE(INDEX(GroupVertices[Group],MATCH(Edges[[#This Row],[Vertex 1]],GroupVertices[Vertex],0)),1,1,"")</f>
        <v>1</v>
      </c>
      <c r="R161" s="80" t="str">
        <f>REPLACE(INDEX(GroupVertices[Group],MATCH(Edges[[#This Row],[Vertex 2]],GroupVertices[Vertex],0)),1,1,"")</f>
        <v>1</v>
      </c>
      <c r="S161" s="35"/>
      <c r="T161" s="35"/>
      <c r="U161" s="35"/>
      <c r="V161" s="35"/>
      <c r="W161" s="35"/>
      <c r="X161" s="35"/>
      <c r="Y161" s="35"/>
      <c r="Z161" s="35"/>
      <c r="AA161" s="35"/>
    </row>
    <row r="162" spans="1:27" ht="15">
      <c r="A162" s="65" t="s">
        <v>204</v>
      </c>
      <c r="B162" s="65" t="s">
        <v>353</v>
      </c>
      <c r="C162" s="66" t="s">
        <v>1612</v>
      </c>
      <c r="D162" s="67">
        <v>5</v>
      </c>
      <c r="E162" s="68"/>
      <c r="F162" s="69">
        <v>25</v>
      </c>
      <c r="G162" s="66"/>
      <c r="H162" s="70"/>
      <c r="I162" s="71"/>
      <c r="J162" s="71"/>
      <c r="K162" s="35" t="s">
        <v>65</v>
      </c>
      <c r="L162" s="79">
        <v>162</v>
      </c>
      <c r="M162" s="79"/>
      <c r="N162" s="73"/>
      <c r="O162" s="81" t="s">
        <v>377</v>
      </c>
      <c r="P162">
        <v>1</v>
      </c>
      <c r="Q162" s="80" t="str">
        <f>REPLACE(INDEX(GroupVertices[Group],MATCH(Edges[[#This Row],[Vertex 1]],GroupVertices[Vertex],0)),1,1,"")</f>
        <v>1</v>
      </c>
      <c r="R162" s="80" t="str">
        <f>REPLACE(INDEX(GroupVertices[Group],MATCH(Edges[[#This Row],[Vertex 2]],GroupVertices[Vertex],0)),1,1,"")</f>
        <v>1</v>
      </c>
      <c r="S162" s="35"/>
      <c r="T162" s="35"/>
      <c r="U162" s="35"/>
      <c r="V162" s="35"/>
      <c r="W162" s="35"/>
      <c r="X162" s="35"/>
      <c r="Y162" s="35"/>
      <c r="Z162" s="35"/>
      <c r="AA162" s="35"/>
    </row>
    <row r="163" spans="1:27" ht="15">
      <c r="A163" s="65" t="s">
        <v>212</v>
      </c>
      <c r="B163" s="65" t="s">
        <v>353</v>
      </c>
      <c r="C163" s="66" t="s">
        <v>1612</v>
      </c>
      <c r="D163" s="67">
        <v>5</v>
      </c>
      <c r="E163" s="68"/>
      <c r="F163" s="69">
        <v>25</v>
      </c>
      <c r="G163" s="66"/>
      <c r="H163" s="70"/>
      <c r="I163" s="71"/>
      <c r="J163" s="71"/>
      <c r="K163" s="35" t="s">
        <v>65</v>
      </c>
      <c r="L163" s="79">
        <v>163</v>
      </c>
      <c r="M163" s="79"/>
      <c r="N163" s="73"/>
      <c r="O163" s="81" t="s">
        <v>377</v>
      </c>
      <c r="P163">
        <v>1</v>
      </c>
      <c r="Q163" s="80" t="str">
        <f>REPLACE(INDEX(GroupVertices[Group],MATCH(Edges[[#This Row],[Vertex 1]],GroupVertices[Vertex],0)),1,1,"")</f>
        <v>1</v>
      </c>
      <c r="R163" s="80" t="str">
        <f>REPLACE(INDEX(GroupVertices[Group],MATCH(Edges[[#This Row],[Vertex 2]],GroupVertices[Vertex],0)),1,1,"")</f>
        <v>1</v>
      </c>
      <c r="S163" s="35"/>
      <c r="T163" s="35"/>
      <c r="U163" s="35"/>
      <c r="V163" s="35"/>
      <c r="W163" s="35"/>
      <c r="X163" s="35"/>
      <c r="Y163" s="35"/>
      <c r="Z163" s="35"/>
      <c r="AA163" s="35"/>
    </row>
    <row r="164" spans="1:27" ht="15">
      <c r="A164" s="65" t="s">
        <v>221</v>
      </c>
      <c r="B164" s="65" t="s">
        <v>353</v>
      </c>
      <c r="C164" s="66" t="s">
        <v>1612</v>
      </c>
      <c r="D164" s="67">
        <v>5</v>
      </c>
      <c r="E164" s="68"/>
      <c r="F164" s="69">
        <v>25</v>
      </c>
      <c r="G164" s="66"/>
      <c r="H164" s="70"/>
      <c r="I164" s="71"/>
      <c r="J164" s="71"/>
      <c r="K164" s="35" t="s">
        <v>65</v>
      </c>
      <c r="L164" s="79">
        <v>164</v>
      </c>
      <c r="M164" s="79"/>
      <c r="N164" s="73"/>
      <c r="O164" s="81" t="s">
        <v>377</v>
      </c>
      <c r="P164">
        <v>1</v>
      </c>
      <c r="Q164" s="80" t="str">
        <f>REPLACE(INDEX(GroupVertices[Group],MATCH(Edges[[#This Row],[Vertex 1]],GroupVertices[Vertex],0)),1,1,"")</f>
        <v>1</v>
      </c>
      <c r="R164" s="80" t="str">
        <f>REPLACE(INDEX(GroupVertices[Group],MATCH(Edges[[#This Row],[Vertex 2]],GroupVertices[Vertex],0)),1,1,"")</f>
        <v>1</v>
      </c>
      <c r="S164" s="35"/>
      <c r="T164" s="35"/>
      <c r="U164" s="35"/>
      <c r="V164" s="35"/>
      <c r="W164" s="35"/>
      <c r="X164" s="35"/>
      <c r="Y164" s="35"/>
      <c r="Z164" s="35"/>
      <c r="AA164" s="35"/>
    </row>
    <row r="165" spans="1:27" ht="15">
      <c r="A165" s="65" t="s">
        <v>221</v>
      </c>
      <c r="B165" s="65" t="s">
        <v>354</v>
      </c>
      <c r="C165" s="66" t="s">
        <v>1612</v>
      </c>
      <c r="D165" s="67">
        <v>5</v>
      </c>
      <c r="E165" s="68"/>
      <c r="F165" s="69">
        <v>25</v>
      </c>
      <c r="G165" s="66"/>
      <c r="H165" s="70"/>
      <c r="I165" s="71"/>
      <c r="J165" s="71"/>
      <c r="K165" s="35" t="s">
        <v>65</v>
      </c>
      <c r="L165" s="79">
        <v>165</v>
      </c>
      <c r="M165" s="79"/>
      <c r="N165" s="73"/>
      <c r="O165" s="81" t="s">
        <v>377</v>
      </c>
      <c r="P165">
        <v>1</v>
      </c>
      <c r="Q165" s="80" t="str">
        <f>REPLACE(INDEX(GroupVertices[Group],MATCH(Edges[[#This Row],[Vertex 1]],GroupVertices[Vertex],0)),1,1,"")</f>
        <v>1</v>
      </c>
      <c r="R165" s="80" t="str">
        <f>REPLACE(INDEX(GroupVertices[Group],MATCH(Edges[[#This Row],[Vertex 2]],GroupVertices[Vertex],0)),1,1,"")</f>
        <v>1</v>
      </c>
      <c r="S165" s="35"/>
      <c r="T165" s="35"/>
      <c r="U165" s="35"/>
      <c r="V165" s="35"/>
      <c r="W165" s="35"/>
      <c r="X165" s="35"/>
      <c r="Y165" s="35"/>
      <c r="Z165" s="35"/>
      <c r="AA165" s="35"/>
    </row>
    <row r="166" spans="1:27" ht="15">
      <c r="A166" s="65" t="s">
        <v>219</v>
      </c>
      <c r="B166" s="65" t="s">
        <v>355</v>
      </c>
      <c r="C166" s="66" t="s">
        <v>1612</v>
      </c>
      <c r="D166" s="67">
        <v>5</v>
      </c>
      <c r="E166" s="68"/>
      <c r="F166" s="69">
        <v>25</v>
      </c>
      <c r="G166" s="66"/>
      <c r="H166" s="70"/>
      <c r="I166" s="71"/>
      <c r="J166" s="71"/>
      <c r="K166" s="35" t="s">
        <v>65</v>
      </c>
      <c r="L166" s="79">
        <v>166</v>
      </c>
      <c r="M166" s="79"/>
      <c r="N166" s="73"/>
      <c r="O166" s="81" t="s">
        <v>377</v>
      </c>
      <c r="P166">
        <v>1</v>
      </c>
      <c r="Q166" s="80" t="str">
        <f>REPLACE(INDEX(GroupVertices[Group],MATCH(Edges[[#This Row],[Vertex 1]],GroupVertices[Vertex],0)),1,1,"")</f>
        <v>1</v>
      </c>
      <c r="R166" s="80" t="str">
        <f>REPLACE(INDEX(GroupVertices[Group],MATCH(Edges[[#This Row],[Vertex 2]],GroupVertices[Vertex],0)),1,1,"")</f>
        <v>1</v>
      </c>
      <c r="S166" s="35"/>
      <c r="T166" s="35"/>
      <c r="U166" s="35"/>
      <c r="V166" s="35"/>
      <c r="W166" s="35"/>
      <c r="X166" s="35"/>
      <c r="Y166" s="35"/>
      <c r="Z166" s="35"/>
      <c r="AA166" s="35"/>
    </row>
    <row r="167" spans="1:27" ht="15">
      <c r="A167" s="65" t="s">
        <v>222</v>
      </c>
      <c r="B167" s="65" t="s">
        <v>355</v>
      </c>
      <c r="C167" s="66" t="s">
        <v>1612</v>
      </c>
      <c r="D167" s="67">
        <v>5</v>
      </c>
      <c r="E167" s="68"/>
      <c r="F167" s="69">
        <v>25</v>
      </c>
      <c r="G167" s="66"/>
      <c r="H167" s="70"/>
      <c r="I167" s="71"/>
      <c r="J167" s="71"/>
      <c r="K167" s="35" t="s">
        <v>65</v>
      </c>
      <c r="L167" s="79">
        <v>167</v>
      </c>
      <c r="M167" s="79"/>
      <c r="N167" s="73"/>
      <c r="O167" s="81" t="s">
        <v>377</v>
      </c>
      <c r="P167">
        <v>1</v>
      </c>
      <c r="Q167" s="80" t="str">
        <f>REPLACE(INDEX(GroupVertices[Group],MATCH(Edges[[#This Row],[Vertex 1]],GroupVertices[Vertex],0)),1,1,"")</f>
        <v>1</v>
      </c>
      <c r="R167" s="80" t="str">
        <f>REPLACE(INDEX(GroupVertices[Group],MATCH(Edges[[#This Row],[Vertex 2]],GroupVertices[Vertex],0)),1,1,"")</f>
        <v>1</v>
      </c>
      <c r="S167" s="35"/>
      <c r="T167" s="35"/>
      <c r="U167" s="35"/>
      <c r="V167" s="35"/>
      <c r="W167" s="35"/>
      <c r="X167" s="35"/>
      <c r="Y167" s="35"/>
      <c r="Z167" s="35"/>
      <c r="AA167" s="35"/>
    </row>
    <row r="168" spans="1:27" ht="15">
      <c r="A168" s="65" t="s">
        <v>204</v>
      </c>
      <c r="B168" s="65" t="s">
        <v>356</v>
      </c>
      <c r="C168" s="66" t="s">
        <v>1612</v>
      </c>
      <c r="D168" s="67">
        <v>5</v>
      </c>
      <c r="E168" s="68"/>
      <c r="F168" s="69">
        <v>25</v>
      </c>
      <c r="G168" s="66"/>
      <c r="H168" s="70"/>
      <c r="I168" s="71"/>
      <c r="J168" s="71"/>
      <c r="K168" s="35" t="s">
        <v>65</v>
      </c>
      <c r="L168" s="79">
        <v>168</v>
      </c>
      <c r="M168" s="79"/>
      <c r="N168" s="73"/>
      <c r="O168" s="81" t="s">
        <v>377</v>
      </c>
      <c r="P168">
        <v>1</v>
      </c>
      <c r="Q168" s="80" t="str">
        <f>REPLACE(INDEX(GroupVertices[Group],MATCH(Edges[[#This Row],[Vertex 1]],GroupVertices[Vertex],0)),1,1,"")</f>
        <v>1</v>
      </c>
      <c r="R168" s="80" t="str">
        <f>REPLACE(INDEX(GroupVertices[Group],MATCH(Edges[[#This Row],[Vertex 2]],GroupVertices[Vertex],0)),1,1,"")</f>
        <v>1</v>
      </c>
      <c r="S168" s="35"/>
      <c r="T168" s="35"/>
      <c r="U168" s="35"/>
      <c r="V168" s="35"/>
      <c r="W168" s="35"/>
      <c r="X168" s="35"/>
      <c r="Y168" s="35"/>
      <c r="Z168" s="35"/>
      <c r="AA168" s="35"/>
    </row>
    <row r="169" spans="1:27" ht="15">
      <c r="A169" s="65" t="s">
        <v>212</v>
      </c>
      <c r="B169" s="65" t="s">
        <v>356</v>
      </c>
      <c r="C169" s="66" t="s">
        <v>1612</v>
      </c>
      <c r="D169" s="67">
        <v>5</v>
      </c>
      <c r="E169" s="68"/>
      <c r="F169" s="69">
        <v>25</v>
      </c>
      <c r="G169" s="66"/>
      <c r="H169" s="70"/>
      <c r="I169" s="71"/>
      <c r="J169" s="71"/>
      <c r="K169" s="35" t="s">
        <v>65</v>
      </c>
      <c r="L169" s="79">
        <v>169</v>
      </c>
      <c r="M169" s="79"/>
      <c r="N169" s="73"/>
      <c r="O169" s="81" t="s">
        <v>377</v>
      </c>
      <c r="P169">
        <v>1</v>
      </c>
      <c r="Q169" s="80" t="str">
        <f>REPLACE(INDEX(GroupVertices[Group],MATCH(Edges[[#This Row],[Vertex 1]],GroupVertices[Vertex],0)),1,1,"")</f>
        <v>1</v>
      </c>
      <c r="R169" s="80" t="str">
        <f>REPLACE(INDEX(GroupVertices[Group],MATCH(Edges[[#This Row],[Vertex 2]],GroupVertices[Vertex],0)),1,1,"")</f>
        <v>1</v>
      </c>
      <c r="S169" s="35"/>
      <c r="T169" s="35"/>
      <c r="U169" s="35"/>
      <c r="V169" s="35"/>
      <c r="W169" s="35"/>
      <c r="X169" s="35"/>
      <c r="Y169" s="35"/>
      <c r="Z169" s="35"/>
      <c r="AA169" s="35"/>
    </row>
    <row r="170" spans="1:27" ht="15">
      <c r="A170" s="65" t="s">
        <v>222</v>
      </c>
      <c r="B170" s="65" t="s">
        <v>356</v>
      </c>
      <c r="C170" s="66" t="s">
        <v>1612</v>
      </c>
      <c r="D170" s="67">
        <v>5</v>
      </c>
      <c r="E170" s="68"/>
      <c r="F170" s="69">
        <v>25</v>
      </c>
      <c r="G170" s="66"/>
      <c r="H170" s="70"/>
      <c r="I170" s="71"/>
      <c r="J170" s="71"/>
      <c r="K170" s="35" t="s">
        <v>65</v>
      </c>
      <c r="L170" s="79">
        <v>170</v>
      </c>
      <c r="M170" s="79"/>
      <c r="N170" s="73"/>
      <c r="O170" s="81" t="s">
        <v>377</v>
      </c>
      <c r="P170">
        <v>1</v>
      </c>
      <c r="Q170" s="80" t="str">
        <f>REPLACE(INDEX(GroupVertices[Group],MATCH(Edges[[#This Row],[Vertex 1]],GroupVertices[Vertex],0)),1,1,"")</f>
        <v>1</v>
      </c>
      <c r="R170" s="80" t="str">
        <f>REPLACE(INDEX(GroupVertices[Group],MATCH(Edges[[#This Row],[Vertex 2]],GroupVertices[Vertex],0)),1,1,"")</f>
        <v>1</v>
      </c>
      <c r="S170" s="35"/>
      <c r="T170" s="35"/>
      <c r="U170" s="35"/>
      <c r="V170" s="35"/>
      <c r="W170" s="35"/>
      <c r="X170" s="35"/>
      <c r="Y170" s="35"/>
      <c r="Z170" s="35"/>
      <c r="AA170" s="35"/>
    </row>
    <row r="171" spans="1:27" ht="15">
      <c r="A171" s="65" t="s">
        <v>223</v>
      </c>
      <c r="B171" s="65" t="s">
        <v>356</v>
      </c>
      <c r="C171" s="66" t="s">
        <v>1612</v>
      </c>
      <c r="D171" s="67">
        <v>5</v>
      </c>
      <c r="E171" s="68"/>
      <c r="F171" s="69">
        <v>25</v>
      </c>
      <c r="G171" s="66"/>
      <c r="H171" s="70"/>
      <c r="I171" s="71"/>
      <c r="J171" s="71"/>
      <c r="K171" s="35" t="s">
        <v>65</v>
      </c>
      <c r="L171" s="79">
        <v>171</v>
      </c>
      <c r="M171" s="79"/>
      <c r="N171" s="73"/>
      <c r="O171" s="81" t="s">
        <v>377</v>
      </c>
      <c r="P171">
        <v>1</v>
      </c>
      <c r="Q171" s="80" t="str">
        <f>REPLACE(INDEX(GroupVertices[Group],MATCH(Edges[[#This Row],[Vertex 1]],GroupVertices[Vertex],0)),1,1,"")</f>
        <v>1</v>
      </c>
      <c r="R171" s="80" t="str">
        <f>REPLACE(INDEX(GroupVertices[Group],MATCH(Edges[[#This Row],[Vertex 2]],GroupVertices[Vertex],0)),1,1,"")</f>
        <v>1</v>
      </c>
      <c r="S171" s="35"/>
      <c r="T171" s="35"/>
      <c r="U171" s="35"/>
      <c r="V171" s="35"/>
      <c r="W171" s="35"/>
      <c r="X171" s="35"/>
      <c r="Y171" s="35"/>
      <c r="Z171" s="35"/>
      <c r="AA171" s="35"/>
    </row>
    <row r="172" spans="1:27" ht="15">
      <c r="A172" s="65" t="s">
        <v>214</v>
      </c>
      <c r="B172" s="65" t="s">
        <v>357</v>
      </c>
      <c r="C172" s="66" t="s">
        <v>1612</v>
      </c>
      <c r="D172" s="67">
        <v>5</v>
      </c>
      <c r="E172" s="68"/>
      <c r="F172" s="69">
        <v>25</v>
      </c>
      <c r="G172" s="66"/>
      <c r="H172" s="70"/>
      <c r="I172" s="71"/>
      <c r="J172" s="71"/>
      <c r="K172" s="35" t="s">
        <v>65</v>
      </c>
      <c r="L172" s="79">
        <v>172</v>
      </c>
      <c r="M172" s="79"/>
      <c r="N172" s="73"/>
      <c r="O172" s="81" t="s">
        <v>377</v>
      </c>
      <c r="P172">
        <v>1</v>
      </c>
      <c r="Q172" s="80" t="str">
        <f>REPLACE(INDEX(GroupVertices[Group],MATCH(Edges[[#This Row],[Vertex 1]],GroupVertices[Vertex],0)),1,1,"")</f>
        <v>1</v>
      </c>
      <c r="R172" s="80" t="str">
        <f>REPLACE(INDEX(GroupVertices[Group],MATCH(Edges[[#This Row],[Vertex 2]],GroupVertices[Vertex],0)),1,1,"")</f>
        <v>1</v>
      </c>
      <c r="S172" s="35"/>
      <c r="T172" s="35"/>
      <c r="U172" s="35"/>
      <c r="V172" s="35"/>
      <c r="W172" s="35"/>
      <c r="X172" s="35"/>
      <c r="Y172" s="35"/>
      <c r="Z172" s="35"/>
      <c r="AA172" s="35"/>
    </row>
    <row r="173" spans="1:27" ht="15">
      <c r="A173" s="65" t="s">
        <v>223</v>
      </c>
      <c r="B173" s="65" t="s">
        <v>357</v>
      </c>
      <c r="C173" s="66" t="s">
        <v>1612</v>
      </c>
      <c r="D173" s="67">
        <v>5</v>
      </c>
      <c r="E173" s="68"/>
      <c r="F173" s="69">
        <v>25</v>
      </c>
      <c r="G173" s="66"/>
      <c r="H173" s="70"/>
      <c r="I173" s="71"/>
      <c r="J173" s="71"/>
      <c r="K173" s="35" t="s">
        <v>65</v>
      </c>
      <c r="L173" s="79">
        <v>173</v>
      </c>
      <c r="M173" s="79"/>
      <c r="N173" s="73"/>
      <c r="O173" s="81" t="s">
        <v>377</v>
      </c>
      <c r="P173">
        <v>1</v>
      </c>
      <c r="Q173" s="80" t="str">
        <f>REPLACE(INDEX(GroupVertices[Group],MATCH(Edges[[#This Row],[Vertex 1]],GroupVertices[Vertex],0)),1,1,"")</f>
        <v>1</v>
      </c>
      <c r="R173" s="80" t="str">
        <f>REPLACE(INDEX(GroupVertices[Group],MATCH(Edges[[#This Row],[Vertex 2]],GroupVertices[Vertex],0)),1,1,"")</f>
        <v>1</v>
      </c>
      <c r="S173" s="35"/>
      <c r="T173" s="35"/>
      <c r="U173" s="35"/>
      <c r="V173" s="35"/>
      <c r="W173" s="35"/>
      <c r="X173" s="35"/>
      <c r="Y173" s="35"/>
      <c r="Z173" s="35"/>
      <c r="AA173" s="35"/>
    </row>
    <row r="174" spans="1:27" ht="15">
      <c r="A174" s="65" t="s">
        <v>224</v>
      </c>
      <c r="B174" s="65" t="s">
        <v>358</v>
      </c>
      <c r="C174" s="66" t="s">
        <v>1612</v>
      </c>
      <c r="D174" s="67">
        <v>5</v>
      </c>
      <c r="E174" s="68"/>
      <c r="F174" s="69">
        <v>25</v>
      </c>
      <c r="G174" s="66"/>
      <c r="H174" s="70"/>
      <c r="I174" s="71"/>
      <c r="J174" s="71"/>
      <c r="K174" s="35" t="s">
        <v>65</v>
      </c>
      <c r="L174" s="79">
        <v>174</v>
      </c>
      <c r="M174" s="79"/>
      <c r="N174" s="73"/>
      <c r="O174" s="81" t="s">
        <v>377</v>
      </c>
      <c r="P174">
        <v>1</v>
      </c>
      <c r="Q174" s="80" t="str">
        <f>REPLACE(INDEX(GroupVertices[Group],MATCH(Edges[[#This Row],[Vertex 1]],GroupVertices[Vertex],0)),1,1,"")</f>
        <v>1</v>
      </c>
      <c r="R174" s="80" t="str">
        <f>REPLACE(INDEX(GroupVertices[Group],MATCH(Edges[[#This Row],[Vertex 2]],GroupVertices[Vertex],0)),1,1,"")</f>
        <v>1</v>
      </c>
      <c r="S174" s="35"/>
      <c r="T174" s="35"/>
      <c r="U174" s="35"/>
      <c r="V174" s="35"/>
      <c r="W174" s="35"/>
      <c r="X174" s="35"/>
      <c r="Y174" s="35"/>
      <c r="Z174" s="35"/>
      <c r="AA174" s="35"/>
    </row>
    <row r="175" spans="1:27" ht="15">
      <c r="A175" s="65" t="s">
        <v>224</v>
      </c>
      <c r="B175" s="65" t="s">
        <v>359</v>
      </c>
      <c r="C175" s="66" t="s">
        <v>1612</v>
      </c>
      <c r="D175" s="67">
        <v>5</v>
      </c>
      <c r="E175" s="68"/>
      <c r="F175" s="69">
        <v>25</v>
      </c>
      <c r="G175" s="66"/>
      <c r="H175" s="70"/>
      <c r="I175" s="71"/>
      <c r="J175" s="71"/>
      <c r="K175" s="35" t="s">
        <v>65</v>
      </c>
      <c r="L175" s="79">
        <v>175</v>
      </c>
      <c r="M175" s="79"/>
      <c r="N175" s="73"/>
      <c r="O175" s="81" t="s">
        <v>377</v>
      </c>
      <c r="P175">
        <v>1</v>
      </c>
      <c r="Q175" s="80" t="str">
        <f>REPLACE(INDEX(GroupVertices[Group],MATCH(Edges[[#This Row],[Vertex 1]],GroupVertices[Vertex],0)),1,1,"")</f>
        <v>1</v>
      </c>
      <c r="R175" s="80" t="str">
        <f>REPLACE(INDEX(GroupVertices[Group],MATCH(Edges[[#This Row],[Vertex 2]],GroupVertices[Vertex],0)),1,1,"")</f>
        <v>1</v>
      </c>
      <c r="S175" s="35"/>
      <c r="T175" s="35"/>
      <c r="U175" s="35"/>
      <c r="V175" s="35"/>
      <c r="W175" s="35"/>
      <c r="X175" s="35"/>
      <c r="Y175" s="35"/>
      <c r="Z175" s="35"/>
      <c r="AA175" s="35"/>
    </row>
    <row r="176" spans="1:27" ht="15">
      <c r="A176" s="65" t="s">
        <v>224</v>
      </c>
      <c r="B176" s="65" t="s">
        <v>360</v>
      </c>
      <c r="C176" s="66" t="s">
        <v>1612</v>
      </c>
      <c r="D176" s="67">
        <v>5</v>
      </c>
      <c r="E176" s="68"/>
      <c r="F176" s="69">
        <v>25</v>
      </c>
      <c r="G176" s="66"/>
      <c r="H176" s="70"/>
      <c r="I176" s="71"/>
      <c r="J176" s="71"/>
      <c r="K176" s="35" t="s">
        <v>65</v>
      </c>
      <c r="L176" s="79">
        <v>176</v>
      </c>
      <c r="M176" s="79"/>
      <c r="N176" s="73"/>
      <c r="O176" s="81" t="s">
        <v>377</v>
      </c>
      <c r="P176">
        <v>1</v>
      </c>
      <c r="Q176" s="80" t="str">
        <f>REPLACE(INDEX(GroupVertices[Group],MATCH(Edges[[#This Row],[Vertex 1]],GroupVertices[Vertex],0)),1,1,"")</f>
        <v>1</v>
      </c>
      <c r="R176" s="80" t="str">
        <f>REPLACE(INDEX(GroupVertices[Group],MATCH(Edges[[#This Row],[Vertex 2]],GroupVertices[Vertex],0)),1,1,"")</f>
        <v>1</v>
      </c>
      <c r="S176" s="35"/>
      <c r="T176" s="35"/>
      <c r="U176" s="35"/>
      <c r="V176" s="35"/>
      <c r="W176" s="35"/>
      <c r="X176" s="35"/>
      <c r="Y176" s="35"/>
      <c r="Z176" s="35"/>
      <c r="AA176" s="35"/>
    </row>
    <row r="177" spans="1:27" ht="15">
      <c r="A177" s="65" t="s">
        <v>219</v>
      </c>
      <c r="B177" s="65" t="s">
        <v>361</v>
      </c>
      <c r="C177" s="66" t="s">
        <v>1612</v>
      </c>
      <c r="D177" s="67">
        <v>5</v>
      </c>
      <c r="E177" s="68"/>
      <c r="F177" s="69">
        <v>25</v>
      </c>
      <c r="G177" s="66"/>
      <c r="H177" s="70"/>
      <c r="I177" s="71"/>
      <c r="J177" s="71"/>
      <c r="K177" s="35" t="s">
        <v>65</v>
      </c>
      <c r="L177" s="79">
        <v>177</v>
      </c>
      <c r="M177" s="79"/>
      <c r="N177" s="73"/>
      <c r="O177" s="81" t="s">
        <v>377</v>
      </c>
      <c r="P177">
        <v>1</v>
      </c>
      <c r="Q177" s="80" t="str">
        <f>REPLACE(INDEX(GroupVertices[Group],MATCH(Edges[[#This Row],[Vertex 1]],GroupVertices[Vertex],0)),1,1,"")</f>
        <v>1</v>
      </c>
      <c r="R177" s="80" t="str">
        <f>REPLACE(INDEX(GroupVertices[Group],MATCH(Edges[[#This Row],[Vertex 2]],GroupVertices[Vertex],0)),1,1,"")</f>
        <v>1</v>
      </c>
      <c r="S177" s="35"/>
      <c r="T177" s="35"/>
      <c r="U177" s="35"/>
      <c r="V177" s="35"/>
      <c r="W177" s="35"/>
      <c r="X177" s="35"/>
      <c r="Y177" s="35"/>
      <c r="Z177" s="35"/>
      <c r="AA177" s="35"/>
    </row>
    <row r="178" spans="1:27" ht="15">
      <c r="A178" s="65" t="s">
        <v>224</v>
      </c>
      <c r="B178" s="65" t="s">
        <v>361</v>
      </c>
      <c r="C178" s="66" t="s">
        <v>1612</v>
      </c>
      <c r="D178" s="67">
        <v>5</v>
      </c>
      <c r="E178" s="68"/>
      <c r="F178" s="69">
        <v>25</v>
      </c>
      <c r="G178" s="66"/>
      <c r="H178" s="70"/>
      <c r="I178" s="71"/>
      <c r="J178" s="71"/>
      <c r="K178" s="35" t="s">
        <v>65</v>
      </c>
      <c r="L178" s="79">
        <v>178</v>
      </c>
      <c r="M178" s="79"/>
      <c r="N178" s="73"/>
      <c r="O178" s="81" t="s">
        <v>377</v>
      </c>
      <c r="P178">
        <v>1</v>
      </c>
      <c r="Q178" s="80" t="str">
        <f>REPLACE(INDEX(GroupVertices[Group],MATCH(Edges[[#This Row],[Vertex 1]],GroupVertices[Vertex],0)),1,1,"")</f>
        <v>1</v>
      </c>
      <c r="R178" s="80" t="str">
        <f>REPLACE(INDEX(GroupVertices[Group],MATCH(Edges[[#This Row],[Vertex 2]],GroupVertices[Vertex],0)),1,1,"")</f>
        <v>1</v>
      </c>
      <c r="S178" s="35"/>
      <c r="T178" s="35"/>
      <c r="U178" s="35"/>
      <c r="V178" s="35"/>
      <c r="W178" s="35"/>
      <c r="X178" s="35"/>
      <c r="Y178" s="35"/>
      <c r="Z178" s="35"/>
      <c r="AA178" s="35"/>
    </row>
    <row r="179" spans="1:27" ht="15">
      <c r="A179" s="65" t="s">
        <v>225</v>
      </c>
      <c r="B179" s="65" t="s">
        <v>361</v>
      </c>
      <c r="C179" s="66" t="s">
        <v>1612</v>
      </c>
      <c r="D179" s="67">
        <v>5</v>
      </c>
      <c r="E179" s="68"/>
      <c r="F179" s="69">
        <v>25</v>
      </c>
      <c r="G179" s="66"/>
      <c r="H179" s="70"/>
      <c r="I179" s="71"/>
      <c r="J179" s="71"/>
      <c r="K179" s="35" t="s">
        <v>65</v>
      </c>
      <c r="L179" s="79">
        <v>179</v>
      </c>
      <c r="M179" s="79"/>
      <c r="N179" s="73"/>
      <c r="O179" s="81" t="s">
        <v>377</v>
      </c>
      <c r="P179">
        <v>1</v>
      </c>
      <c r="Q179" s="80" t="str">
        <f>REPLACE(INDEX(GroupVertices[Group],MATCH(Edges[[#This Row],[Vertex 1]],GroupVertices[Vertex],0)),1,1,"")</f>
        <v>1</v>
      </c>
      <c r="R179" s="80" t="str">
        <f>REPLACE(INDEX(GroupVertices[Group],MATCH(Edges[[#This Row],[Vertex 2]],GroupVertices[Vertex],0)),1,1,"")</f>
        <v>1</v>
      </c>
      <c r="S179" s="35"/>
      <c r="T179" s="35"/>
      <c r="U179" s="35"/>
      <c r="V179" s="35"/>
      <c r="W179" s="35"/>
      <c r="X179" s="35"/>
      <c r="Y179" s="35"/>
      <c r="Z179" s="35"/>
      <c r="AA179" s="35"/>
    </row>
    <row r="180" spans="1:27" ht="15">
      <c r="A180" s="65" t="s">
        <v>225</v>
      </c>
      <c r="B180" s="65" t="s">
        <v>362</v>
      </c>
      <c r="C180" s="66" t="s">
        <v>1612</v>
      </c>
      <c r="D180" s="67">
        <v>5</v>
      </c>
      <c r="E180" s="68"/>
      <c r="F180" s="69">
        <v>25</v>
      </c>
      <c r="G180" s="66"/>
      <c r="H180" s="70"/>
      <c r="I180" s="71"/>
      <c r="J180" s="71"/>
      <c r="K180" s="35" t="s">
        <v>65</v>
      </c>
      <c r="L180" s="79">
        <v>180</v>
      </c>
      <c r="M180" s="79"/>
      <c r="N180" s="73"/>
      <c r="O180" s="81" t="s">
        <v>377</v>
      </c>
      <c r="P180">
        <v>1</v>
      </c>
      <c r="Q180" s="80" t="str">
        <f>REPLACE(INDEX(GroupVertices[Group],MATCH(Edges[[#This Row],[Vertex 1]],GroupVertices[Vertex],0)),1,1,"")</f>
        <v>1</v>
      </c>
      <c r="R180" s="80" t="str">
        <f>REPLACE(INDEX(GroupVertices[Group],MATCH(Edges[[#This Row],[Vertex 2]],GroupVertices[Vertex],0)),1,1,"")</f>
        <v>1</v>
      </c>
      <c r="S180" s="35"/>
      <c r="T180" s="35"/>
      <c r="U180" s="35"/>
      <c r="V180" s="35"/>
      <c r="W180" s="35"/>
      <c r="X180" s="35"/>
      <c r="Y180" s="35"/>
      <c r="Z180" s="35"/>
      <c r="AA180" s="35"/>
    </row>
    <row r="181" spans="1:27" ht="15">
      <c r="A181" s="65" t="s">
        <v>226</v>
      </c>
      <c r="B181" s="65" t="s">
        <v>363</v>
      </c>
      <c r="C181" s="66" t="s">
        <v>1612</v>
      </c>
      <c r="D181" s="67">
        <v>5</v>
      </c>
      <c r="E181" s="68"/>
      <c r="F181" s="69">
        <v>25</v>
      </c>
      <c r="G181" s="66"/>
      <c r="H181" s="70"/>
      <c r="I181" s="71"/>
      <c r="J181" s="71"/>
      <c r="K181" s="35" t="s">
        <v>65</v>
      </c>
      <c r="L181" s="79">
        <v>181</v>
      </c>
      <c r="M181" s="79"/>
      <c r="N181" s="73"/>
      <c r="O181" s="81" t="s">
        <v>377</v>
      </c>
      <c r="P181">
        <v>1</v>
      </c>
      <c r="Q181" s="80" t="str">
        <f>REPLACE(INDEX(GroupVertices[Group],MATCH(Edges[[#This Row],[Vertex 1]],GroupVertices[Vertex],0)),1,1,"")</f>
        <v>8</v>
      </c>
      <c r="R181" s="80" t="str">
        <f>REPLACE(INDEX(GroupVertices[Group],MATCH(Edges[[#This Row],[Vertex 2]],GroupVertices[Vertex],0)),1,1,"")</f>
        <v>8</v>
      </c>
      <c r="S181" s="35"/>
      <c r="T181" s="35"/>
      <c r="U181" s="35"/>
      <c r="V181" s="35"/>
      <c r="W181" s="35"/>
      <c r="X181" s="35"/>
      <c r="Y181" s="35"/>
      <c r="Z181" s="35"/>
      <c r="AA181" s="35"/>
    </row>
    <row r="182" spans="1:27" ht="15">
      <c r="A182" s="65" t="s">
        <v>226</v>
      </c>
      <c r="B182" s="65" t="s">
        <v>363</v>
      </c>
      <c r="C182" s="66" t="s">
        <v>1612</v>
      </c>
      <c r="D182" s="67">
        <v>5</v>
      </c>
      <c r="E182" s="68"/>
      <c r="F182" s="69">
        <v>25</v>
      </c>
      <c r="G182" s="66"/>
      <c r="H182" s="70"/>
      <c r="I182" s="71"/>
      <c r="J182" s="71"/>
      <c r="K182" s="35" t="s">
        <v>65</v>
      </c>
      <c r="L182" s="79">
        <v>182</v>
      </c>
      <c r="M182" s="79"/>
      <c r="N182" s="73"/>
      <c r="O182" s="81" t="s">
        <v>378</v>
      </c>
      <c r="P182">
        <v>1</v>
      </c>
      <c r="Q182" s="80" t="str">
        <f>REPLACE(INDEX(GroupVertices[Group],MATCH(Edges[[#This Row],[Vertex 1]],GroupVertices[Vertex],0)),1,1,"")</f>
        <v>8</v>
      </c>
      <c r="R182" s="80" t="str">
        <f>REPLACE(INDEX(GroupVertices[Group],MATCH(Edges[[#This Row],[Vertex 2]],GroupVertices[Vertex],0)),1,1,"")</f>
        <v>8</v>
      </c>
      <c r="S182" s="35"/>
      <c r="T182" s="35"/>
      <c r="U182" s="35"/>
      <c r="V182" s="35"/>
      <c r="W182" s="35"/>
      <c r="X182" s="35"/>
      <c r="Y182" s="35"/>
      <c r="Z182" s="35"/>
      <c r="AA182" s="35"/>
    </row>
    <row r="183" spans="1:27" ht="15">
      <c r="A183" s="65" t="s">
        <v>226</v>
      </c>
      <c r="B183" s="65" t="s">
        <v>364</v>
      </c>
      <c r="C183" s="66" t="s">
        <v>1612</v>
      </c>
      <c r="D183" s="67">
        <v>5</v>
      </c>
      <c r="E183" s="68"/>
      <c r="F183" s="69">
        <v>25</v>
      </c>
      <c r="G183" s="66"/>
      <c r="H183" s="70"/>
      <c r="I183" s="71"/>
      <c r="J183" s="71"/>
      <c r="K183" s="35" t="s">
        <v>65</v>
      </c>
      <c r="L183" s="79">
        <v>183</v>
      </c>
      <c r="M183" s="79"/>
      <c r="N183" s="73"/>
      <c r="O183" s="81" t="s">
        <v>377</v>
      </c>
      <c r="P183">
        <v>1</v>
      </c>
      <c r="Q183" s="80" t="str">
        <f>REPLACE(INDEX(GroupVertices[Group],MATCH(Edges[[#This Row],[Vertex 1]],GroupVertices[Vertex],0)),1,1,"")</f>
        <v>8</v>
      </c>
      <c r="R183" s="80" t="str">
        <f>REPLACE(INDEX(GroupVertices[Group],MATCH(Edges[[#This Row],[Vertex 2]],GroupVertices[Vertex],0)),1,1,"")</f>
        <v>8</v>
      </c>
      <c r="S183" s="35"/>
      <c r="T183" s="35"/>
      <c r="U183" s="35"/>
      <c r="V183" s="35"/>
      <c r="W183" s="35"/>
      <c r="X183" s="35"/>
      <c r="Y183" s="35"/>
      <c r="Z183" s="35"/>
      <c r="AA183" s="35"/>
    </row>
    <row r="184" spans="1:27" ht="15">
      <c r="A184" s="65" t="s">
        <v>226</v>
      </c>
      <c r="B184" s="65" t="s">
        <v>364</v>
      </c>
      <c r="C184" s="66" t="s">
        <v>1612</v>
      </c>
      <c r="D184" s="67">
        <v>5</v>
      </c>
      <c r="E184" s="68"/>
      <c r="F184" s="69">
        <v>25</v>
      </c>
      <c r="G184" s="66"/>
      <c r="H184" s="70"/>
      <c r="I184" s="71"/>
      <c r="J184" s="71"/>
      <c r="K184" s="35" t="s">
        <v>65</v>
      </c>
      <c r="L184" s="79">
        <v>184</v>
      </c>
      <c r="M184" s="79"/>
      <c r="N184" s="73"/>
      <c r="O184" s="81" t="s">
        <v>378</v>
      </c>
      <c r="P184">
        <v>1</v>
      </c>
      <c r="Q184" s="80" t="str">
        <f>REPLACE(INDEX(GroupVertices[Group],MATCH(Edges[[#This Row],[Vertex 1]],GroupVertices[Vertex],0)),1,1,"")</f>
        <v>8</v>
      </c>
      <c r="R184" s="80" t="str">
        <f>REPLACE(INDEX(GroupVertices[Group],MATCH(Edges[[#This Row],[Vertex 2]],GroupVertices[Vertex],0)),1,1,"")</f>
        <v>8</v>
      </c>
      <c r="S184" s="35"/>
      <c r="T184" s="35"/>
      <c r="U184" s="35"/>
      <c r="V184" s="35"/>
      <c r="W184" s="35"/>
      <c r="X184" s="35"/>
      <c r="Y184" s="35"/>
      <c r="Z184" s="35"/>
      <c r="AA184" s="35"/>
    </row>
    <row r="185" spans="1:27" ht="15">
      <c r="A185" s="65" t="s">
        <v>195</v>
      </c>
      <c r="B185" s="65" t="s">
        <v>365</v>
      </c>
      <c r="C185" s="66" t="s">
        <v>1612</v>
      </c>
      <c r="D185" s="67">
        <v>5</v>
      </c>
      <c r="E185" s="68"/>
      <c r="F185" s="69">
        <v>25</v>
      </c>
      <c r="G185" s="66"/>
      <c r="H185" s="70"/>
      <c r="I185" s="71"/>
      <c r="J185" s="71"/>
      <c r="K185" s="35" t="s">
        <v>65</v>
      </c>
      <c r="L185" s="79">
        <v>185</v>
      </c>
      <c r="M185" s="79"/>
      <c r="N185" s="73"/>
      <c r="O185" s="81" t="s">
        <v>377</v>
      </c>
      <c r="P185">
        <v>1</v>
      </c>
      <c r="Q185" s="80" t="str">
        <f>REPLACE(INDEX(GroupVertices[Group],MATCH(Edges[[#This Row],[Vertex 1]],GroupVertices[Vertex],0)),1,1,"")</f>
        <v>2</v>
      </c>
      <c r="R185" s="80" t="str">
        <f>REPLACE(INDEX(GroupVertices[Group],MATCH(Edges[[#This Row],[Vertex 2]],GroupVertices[Vertex],0)),1,1,"")</f>
        <v>8</v>
      </c>
      <c r="S185" s="35"/>
      <c r="T185" s="35"/>
      <c r="U185" s="35"/>
      <c r="V185" s="35"/>
      <c r="W185" s="35"/>
      <c r="X185" s="35"/>
      <c r="Y185" s="35"/>
      <c r="Z185" s="35"/>
      <c r="AA185" s="35"/>
    </row>
    <row r="186" spans="1:27" ht="15">
      <c r="A186" s="65" t="s">
        <v>226</v>
      </c>
      <c r="B186" s="65" t="s">
        <v>365</v>
      </c>
      <c r="C186" s="66" t="s">
        <v>1612</v>
      </c>
      <c r="D186" s="67">
        <v>5</v>
      </c>
      <c r="E186" s="68"/>
      <c r="F186" s="69">
        <v>25</v>
      </c>
      <c r="G186" s="66"/>
      <c r="H186" s="70"/>
      <c r="I186" s="71"/>
      <c r="J186" s="71"/>
      <c r="K186" s="35" t="s">
        <v>65</v>
      </c>
      <c r="L186" s="79">
        <v>186</v>
      </c>
      <c r="M186" s="79"/>
      <c r="N186" s="73"/>
      <c r="O186" s="81" t="s">
        <v>377</v>
      </c>
      <c r="P186">
        <v>1</v>
      </c>
      <c r="Q186" s="80" t="str">
        <f>REPLACE(INDEX(GroupVertices[Group],MATCH(Edges[[#This Row],[Vertex 1]],GroupVertices[Vertex],0)),1,1,"")</f>
        <v>8</v>
      </c>
      <c r="R186" s="80" t="str">
        <f>REPLACE(INDEX(GroupVertices[Group],MATCH(Edges[[#This Row],[Vertex 2]],GroupVertices[Vertex],0)),1,1,"")</f>
        <v>8</v>
      </c>
      <c r="S186" s="35"/>
      <c r="T186" s="35"/>
      <c r="U186" s="35"/>
      <c r="V186" s="35"/>
      <c r="W186" s="35"/>
      <c r="X186" s="35"/>
      <c r="Y186" s="35"/>
      <c r="Z186" s="35"/>
      <c r="AA186" s="35"/>
    </row>
    <row r="187" spans="1:27" ht="15">
      <c r="A187" s="65" t="s">
        <v>226</v>
      </c>
      <c r="B187" s="65" t="s">
        <v>365</v>
      </c>
      <c r="C187" s="66" t="s">
        <v>1612</v>
      </c>
      <c r="D187" s="67">
        <v>5</v>
      </c>
      <c r="E187" s="68"/>
      <c r="F187" s="69">
        <v>25</v>
      </c>
      <c r="G187" s="66"/>
      <c r="H187" s="70"/>
      <c r="I187" s="71"/>
      <c r="J187" s="71"/>
      <c r="K187" s="35" t="s">
        <v>65</v>
      </c>
      <c r="L187" s="79">
        <v>187</v>
      </c>
      <c r="M187" s="79"/>
      <c r="N187" s="73"/>
      <c r="O187" s="81" t="s">
        <v>378</v>
      </c>
      <c r="P187">
        <v>1</v>
      </c>
      <c r="Q187" s="80" t="str">
        <f>REPLACE(INDEX(GroupVertices[Group],MATCH(Edges[[#This Row],[Vertex 1]],GroupVertices[Vertex],0)),1,1,"")</f>
        <v>8</v>
      </c>
      <c r="R187" s="80" t="str">
        <f>REPLACE(INDEX(GroupVertices[Group],MATCH(Edges[[#This Row],[Vertex 2]],GroupVertices[Vertex],0)),1,1,"")</f>
        <v>8</v>
      </c>
      <c r="S187" s="35"/>
      <c r="T187" s="35"/>
      <c r="U187" s="35"/>
      <c r="V187" s="35"/>
      <c r="W187" s="35"/>
      <c r="X187" s="35"/>
      <c r="Y187" s="35"/>
      <c r="Z187" s="35"/>
      <c r="AA187" s="35"/>
    </row>
    <row r="188" spans="1:27" ht="15">
      <c r="A188" s="65" t="s">
        <v>195</v>
      </c>
      <c r="B188" s="65" t="s">
        <v>366</v>
      </c>
      <c r="C188" s="66" t="s">
        <v>1612</v>
      </c>
      <c r="D188" s="67">
        <v>5</v>
      </c>
      <c r="E188" s="68"/>
      <c r="F188" s="69">
        <v>25</v>
      </c>
      <c r="G188" s="66"/>
      <c r="H188" s="70"/>
      <c r="I188" s="71"/>
      <c r="J188" s="71"/>
      <c r="K188" s="35" t="s">
        <v>65</v>
      </c>
      <c r="L188" s="79">
        <v>188</v>
      </c>
      <c r="M188" s="79"/>
      <c r="N188" s="73"/>
      <c r="O188" s="81" t="s">
        <v>377</v>
      </c>
      <c r="P188">
        <v>1</v>
      </c>
      <c r="Q188" s="80" t="str">
        <f>REPLACE(INDEX(GroupVertices[Group],MATCH(Edges[[#This Row],[Vertex 1]],GroupVertices[Vertex],0)),1,1,"")</f>
        <v>2</v>
      </c>
      <c r="R188" s="80" t="str">
        <f>REPLACE(INDEX(GroupVertices[Group],MATCH(Edges[[#This Row],[Vertex 2]],GroupVertices[Vertex],0)),1,1,"")</f>
        <v>8</v>
      </c>
      <c r="S188" s="35"/>
      <c r="T188" s="35"/>
      <c r="U188" s="35"/>
      <c r="V188" s="35"/>
      <c r="W188" s="35"/>
      <c r="X188" s="35"/>
      <c r="Y188" s="35"/>
      <c r="Z188" s="35"/>
      <c r="AA188" s="35"/>
    </row>
    <row r="189" spans="1:27" ht="15">
      <c r="A189" s="65" t="s">
        <v>226</v>
      </c>
      <c r="B189" s="65" t="s">
        <v>366</v>
      </c>
      <c r="C189" s="66" t="s">
        <v>1612</v>
      </c>
      <c r="D189" s="67">
        <v>5</v>
      </c>
      <c r="E189" s="68"/>
      <c r="F189" s="69">
        <v>25</v>
      </c>
      <c r="G189" s="66"/>
      <c r="H189" s="70"/>
      <c r="I189" s="71"/>
      <c r="J189" s="71"/>
      <c r="K189" s="35" t="s">
        <v>65</v>
      </c>
      <c r="L189" s="79">
        <v>189</v>
      </c>
      <c r="M189" s="79"/>
      <c r="N189" s="73"/>
      <c r="O189" s="81" t="s">
        <v>377</v>
      </c>
      <c r="P189">
        <v>1</v>
      </c>
      <c r="Q189" s="80" t="str">
        <f>REPLACE(INDEX(GroupVertices[Group],MATCH(Edges[[#This Row],[Vertex 1]],GroupVertices[Vertex],0)),1,1,"")</f>
        <v>8</v>
      </c>
      <c r="R189" s="80" t="str">
        <f>REPLACE(INDEX(GroupVertices[Group],MATCH(Edges[[#This Row],[Vertex 2]],GroupVertices[Vertex],0)),1,1,"")</f>
        <v>8</v>
      </c>
      <c r="S189" s="35"/>
      <c r="T189" s="35"/>
      <c r="U189" s="35"/>
      <c r="V189" s="35"/>
      <c r="W189" s="35"/>
      <c r="X189" s="35"/>
      <c r="Y189" s="35"/>
      <c r="Z189" s="35"/>
      <c r="AA189" s="35"/>
    </row>
    <row r="190" spans="1:27" ht="15">
      <c r="A190" s="65" t="s">
        <v>226</v>
      </c>
      <c r="B190" s="65" t="s">
        <v>366</v>
      </c>
      <c r="C190" s="66" t="s">
        <v>1612</v>
      </c>
      <c r="D190" s="67">
        <v>5</v>
      </c>
      <c r="E190" s="68"/>
      <c r="F190" s="69">
        <v>25</v>
      </c>
      <c r="G190" s="66"/>
      <c r="H190" s="70"/>
      <c r="I190" s="71"/>
      <c r="J190" s="71"/>
      <c r="K190" s="35" t="s">
        <v>65</v>
      </c>
      <c r="L190" s="79">
        <v>190</v>
      </c>
      <c r="M190" s="79"/>
      <c r="N190" s="73"/>
      <c r="O190" s="81" t="s">
        <v>378</v>
      </c>
      <c r="P190">
        <v>1</v>
      </c>
      <c r="Q190" s="80" t="str">
        <f>REPLACE(INDEX(GroupVertices[Group],MATCH(Edges[[#This Row],[Vertex 1]],GroupVertices[Vertex],0)),1,1,"")</f>
        <v>8</v>
      </c>
      <c r="R190" s="80" t="str">
        <f>REPLACE(INDEX(GroupVertices[Group],MATCH(Edges[[#This Row],[Vertex 2]],GroupVertices[Vertex],0)),1,1,"")</f>
        <v>8</v>
      </c>
      <c r="S190" s="35"/>
      <c r="T190" s="35"/>
      <c r="U190" s="35"/>
      <c r="V190" s="35"/>
      <c r="W190" s="35"/>
      <c r="X190" s="35"/>
      <c r="Y190" s="35"/>
      <c r="Z190" s="35"/>
      <c r="AA190" s="35"/>
    </row>
    <row r="191" spans="1:27" ht="15">
      <c r="A191" s="65" t="s">
        <v>195</v>
      </c>
      <c r="B191" s="65" t="s">
        <v>218</v>
      </c>
      <c r="C191" s="66" t="s">
        <v>1612</v>
      </c>
      <c r="D191" s="67">
        <v>5</v>
      </c>
      <c r="E191" s="68"/>
      <c r="F191" s="69">
        <v>25</v>
      </c>
      <c r="G191" s="66"/>
      <c r="H191" s="70"/>
      <c r="I191" s="71"/>
      <c r="J191" s="71"/>
      <c r="K191" s="35" t="s">
        <v>66</v>
      </c>
      <c r="L191" s="79">
        <v>191</v>
      </c>
      <c r="M191" s="79"/>
      <c r="N191" s="73"/>
      <c r="O191" s="81" t="s">
        <v>377</v>
      </c>
      <c r="P191">
        <v>1</v>
      </c>
      <c r="Q191" s="80" t="str">
        <f>REPLACE(INDEX(GroupVertices[Group],MATCH(Edges[[#This Row],[Vertex 1]],GroupVertices[Vertex],0)),1,1,"")</f>
        <v>2</v>
      </c>
      <c r="R191" s="80" t="str">
        <f>REPLACE(INDEX(GroupVertices[Group],MATCH(Edges[[#This Row],[Vertex 2]],GroupVertices[Vertex],0)),1,1,"")</f>
        <v>2</v>
      </c>
      <c r="S191" s="35"/>
      <c r="T191" s="35"/>
      <c r="U191" s="35"/>
      <c r="V191" s="35"/>
      <c r="W191" s="35"/>
      <c r="X191" s="35"/>
      <c r="Y191" s="35"/>
      <c r="Z191" s="35"/>
      <c r="AA191" s="35"/>
    </row>
    <row r="192" spans="1:27" ht="15">
      <c r="A192" s="65" t="s">
        <v>195</v>
      </c>
      <c r="B192" s="65" t="s">
        <v>226</v>
      </c>
      <c r="C192" s="66" t="s">
        <v>1612</v>
      </c>
      <c r="D192" s="67">
        <v>5</v>
      </c>
      <c r="E192" s="68"/>
      <c r="F192" s="69">
        <v>25</v>
      </c>
      <c r="G192" s="66"/>
      <c r="H192" s="70"/>
      <c r="I192" s="71"/>
      <c r="J192" s="71"/>
      <c r="K192" s="35" t="s">
        <v>66</v>
      </c>
      <c r="L192" s="79">
        <v>192</v>
      </c>
      <c r="M192" s="79"/>
      <c r="N192" s="73"/>
      <c r="O192" s="81" t="s">
        <v>377</v>
      </c>
      <c r="P192">
        <v>1</v>
      </c>
      <c r="Q192" s="80" t="str">
        <f>REPLACE(INDEX(GroupVertices[Group],MATCH(Edges[[#This Row],[Vertex 1]],GroupVertices[Vertex],0)),1,1,"")</f>
        <v>2</v>
      </c>
      <c r="R192" s="80" t="str">
        <f>REPLACE(INDEX(GroupVertices[Group],MATCH(Edges[[#This Row],[Vertex 2]],GroupVertices[Vertex],0)),1,1,"")</f>
        <v>8</v>
      </c>
      <c r="S192" s="35"/>
      <c r="T192" s="35"/>
      <c r="U192" s="35"/>
      <c r="V192" s="35"/>
      <c r="W192" s="35"/>
      <c r="X192" s="35"/>
      <c r="Y192" s="35"/>
      <c r="Z192" s="35"/>
      <c r="AA192" s="35"/>
    </row>
    <row r="193" spans="1:27" ht="15">
      <c r="A193" s="65" t="s">
        <v>210</v>
      </c>
      <c r="B193" s="65" t="s">
        <v>195</v>
      </c>
      <c r="C193" s="66" t="s">
        <v>1612</v>
      </c>
      <c r="D193" s="67">
        <v>5</v>
      </c>
      <c r="E193" s="68"/>
      <c r="F193" s="69">
        <v>25</v>
      </c>
      <c r="G193" s="66"/>
      <c r="H193" s="70"/>
      <c r="I193" s="71"/>
      <c r="J193" s="71"/>
      <c r="K193" s="35" t="s">
        <v>65</v>
      </c>
      <c r="L193" s="79">
        <v>193</v>
      </c>
      <c r="M193" s="79"/>
      <c r="N193" s="73"/>
      <c r="O193" s="81" t="s">
        <v>377</v>
      </c>
      <c r="P193">
        <v>1</v>
      </c>
      <c r="Q193" s="80" t="str">
        <f>REPLACE(INDEX(GroupVertices[Group],MATCH(Edges[[#This Row],[Vertex 1]],GroupVertices[Vertex],0)),1,1,"")</f>
        <v>2</v>
      </c>
      <c r="R193" s="80" t="str">
        <f>REPLACE(INDEX(GroupVertices[Group],MATCH(Edges[[#This Row],[Vertex 2]],GroupVertices[Vertex],0)),1,1,"")</f>
        <v>2</v>
      </c>
      <c r="S193" s="35"/>
      <c r="T193" s="35"/>
      <c r="U193" s="35"/>
      <c r="V193" s="35"/>
      <c r="W193" s="35"/>
      <c r="X193" s="35"/>
      <c r="Y193" s="35"/>
      <c r="Z193" s="35"/>
      <c r="AA193" s="35"/>
    </row>
    <row r="194" spans="1:27" ht="15">
      <c r="A194" s="65" t="s">
        <v>213</v>
      </c>
      <c r="B194" s="65" t="s">
        <v>195</v>
      </c>
      <c r="C194" s="66" t="s">
        <v>1612</v>
      </c>
      <c r="D194" s="67">
        <v>5</v>
      </c>
      <c r="E194" s="68"/>
      <c r="F194" s="69">
        <v>25</v>
      </c>
      <c r="G194" s="66"/>
      <c r="H194" s="70"/>
      <c r="I194" s="71"/>
      <c r="J194" s="71"/>
      <c r="K194" s="35" t="s">
        <v>65</v>
      </c>
      <c r="L194" s="79">
        <v>194</v>
      </c>
      <c r="M194" s="79"/>
      <c r="N194" s="73"/>
      <c r="O194" s="81" t="s">
        <v>377</v>
      </c>
      <c r="P194">
        <v>1</v>
      </c>
      <c r="Q194" s="80" t="str">
        <f>REPLACE(INDEX(GroupVertices[Group],MATCH(Edges[[#This Row],[Vertex 1]],GroupVertices[Vertex],0)),1,1,"")</f>
        <v>2</v>
      </c>
      <c r="R194" s="80" t="str">
        <f>REPLACE(INDEX(GroupVertices[Group],MATCH(Edges[[#This Row],[Vertex 2]],GroupVertices[Vertex],0)),1,1,"")</f>
        <v>2</v>
      </c>
      <c r="S194" s="35"/>
      <c r="T194" s="35"/>
      <c r="U194" s="35"/>
      <c r="V194" s="35"/>
      <c r="W194" s="35"/>
      <c r="X194" s="35"/>
      <c r="Y194" s="35"/>
      <c r="Z194" s="35"/>
      <c r="AA194" s="35"/>
    </row>
    <row r="195" spans="1:27" ht="15">
      <c r="A195" s="65" t="s">
        <v>226</v>
      </c>
      <c r="B195" s="65" t="s">
        <v>195</v>
      </c>
      <c r="C195" s="66" t="s">
        <v>1612</v>
      </c>
      <c r="D195" s="67">
        <v>5</v>
      </c>
      <c r="E195" s="68"/>
      <c r="F195" s="69">
        <v>25</v>
      </c>
      <c r="G195" s="66"/>
      <c r="H195" s="70"/>
      <c r="I195" s="71"/>
      <c r="J195" s="71"/>
      <c r="K195" s="35" t="s">
        <v>66</v>
      </c>
      <c r="L195" s="79">
        <v>195</v>
      </c>
      <c r="M195" s="79"/>
      <c r="N195" s="73"/>
      <c r="O195" s="81" t="s">
        <v>377</v>
      </c>
      <c r="P195">
        <v>1</v>
      </c>
      <c r="Q195" s="80" t="str">
        <f>REPLACE(INDEX(GroupVertices[Group],MATCH(Edges[[#This Row],[Vertex 1]],GroupVertices[Vertex],0)),1,1,"")</f>
        <v>8</v>
      </c>
      <c r="R195" s="80" t="str">
        <f>REPLACE(INDEX(GroupVertices[Group],MATCH(Edges[[#This Row],[Vertex 2]],GroupVertices[Vertex],0)),1,1,"")</f>
        <v>2</v>
      </c>
      <c r="S195" s="35"/>
      <c r="T195" s="35"/>
      <c r="U195" s="35"/>
      <c r="V195" s="35"/>
      <c r="W195" s="35"/>
      <c r="X195" s="35"/>
      <c r="Y195" s="35"/>
      <c r="Z195" s="35"/>
      <c r="AA195" s="35"/>
    </row>
    <row r="196" spans="1:27" ht="15">
      <c r="A196" s="65" t="s">
        <v>220</v>
      </c>
      <c r="B196" s="65" t="s">
        <v>195</v>
      </c>
      <c r="C196" s="66" t="s">
        <v>1612</v>
      </c>
      <c r="D196" s="67">
        <v>5</v>
      </c>
      <c r="E196" s="68"/>
      <c r="F196" s="69">
        <v>25</v>
      </c>
      <c r="G196" s="66"/>
      <c r="H196" s="70"/>
      <c r="I196" s="71"/>
      <c r="J196" s="71"/>
      <c r="K196" s="35" t="s">
        <v>65</v>
      </c>
      <c r="L196" s="79">
        <v>196</v>
      </c>
      <c r="M196" s="79"/>
      <c r="N196" s="73"/>
      <c r="O196" s="81" t="s">
        <v>377</v>
      </c>
      <c r="P196">
        <v>1</v>
      </c>
      <c r="Q196" s="80" t="str">
        <f>REPLACE(INDEX(GroupVertices[Group],MATCH(Edges[[#This Row],[Vertex 1]],GroupVertices[Vertex],0)),1,1,"")</f>
        <v>2</v>
      </c>
      <c r="R196" s="80" t="str">
        <f>REPLACE(INDEX(GroupVertices[Group],MATCH(Edges[[#This Row],[Vertex 2]],GroupVertices[Vertex],0)),1,1,"")</f>
        <v>2</v>
      </c>
      <c r="S196" s="35"/>
      <c r="T196" s="35"/>
      <c r="U196" s="35"/>
      <c r="V196" s="35"/>
      <c r="W196" s="35"/>
      <c r="X196" s="35"/>
      <c r="Y196" s="35"/>
      <c r="Z196" s="35"/>
      <c r="AA196" s="35"/>
    </row>
    <row r="197" spans="1:27" ht="15">
      <c r="A197" s="65" t="s">
        <v>205</v>
      </c>
      <c r="B197" s="65" t="s">
        <v>195</v>
      </c>
      <c r="C197" s="66" t="s">
        <v>1612</v>
      </c>
      <c r="D197" s="67">
        <v>5</v>
      </c>
      <c r="E197" s="68"/>
      <c r="F197" s="69">
        <v>25</v>
      </c>
      <c r="G197" s="66"/>
      <c r="H197" s="70"/>
      <c r="I197" s="71"/>
      <c r="J197" s="71"/>
      <c r="K197" s="35" t="s">
        <v>65</v>
      </c>
      <c r="L197" s="79">
        <v>197</v>
      </c>
      <c r="M197" s="79"/>
      <c r="N197" s="73"/>
      <c r="O197" s="81" t="s">
        <v>379</v>
      </c>
      <c r="P197">
        <v>1</v>
      </c>
      <c r="Q197" s="80" t="str">
        <f>REPLACE(INDEX(GroupVertices[Group],MATCH(Edges[[#This Row],[Vertex 1]],GroupVertices[Vertex],0)),1,1,"")</f>
        <v>1</v>
      </c>
      <c r="R197" s="80" t="str">
        <f>REPLACE(INDEX(GroupVertices[Group],MATCH(Edges[[#This Row],[Vertex 2]],GroupVertices[Vertex],0)),1,1,"")</f>
        <v>2</v>
      </c>
      <c r="S197" s="35"/>
      <c r="T197" s="35"/>
      <c r="U197" s="35"/>
      <c r="V197" s="35"/>
      <c r="W197" s="35"/>
      <c r="X197" s="35"/>
      <c r="Y197" s="35"/>
      <c r="Z197" s="35"/>
      <c r="AA197" s="35"/>
    </row>
    <row r="198" spans="1:27" ht="15">
      <c r="A198" s="65" t="s">
        <v>198</v>
      </c>
      <c r="B198" s="65" t="s">
        <v>195</v>
      </c>
      <c r="C198" s="66" t="s">
        <v>1612</v>
      </c>
      <c r="D198" s="67">
        <v>5</v>
      </c>
      <c r="E198" s="68"/>
      <c r="F198" s="69">
        <v>25</v>
      </c>
      <c r="G198" s="66"/>
      <c r="H198" s="70"/>
      <c r="I198" s="71"/>
      <c r="J198" s="71"/>
      <c r="K198" s="35" t="s">
        <v>65</v>
      </c>
      <c r="L198" s="79">
        <v>198</v>
      </c>
      <c r="M198" s="79"/>
      <c r="N198" s="73"/>
      <c r="O198" s="81" t="s">
        <v>379</v>
      </c>
      <c r="P198">
        <v>1</v>
      </c>
      <c r="Q198" s="80" t="str">
        <f>REPLACE(INDEX(GroupVertices[Group],MATCH(Edges[[#This Row],[Vertex 1]],GroupVertices[Vertex],0)),1,1,"")</f>
        <v>2</v>
      </c>
      <c r="R198" s="80" t="str">
        <f>REPLACE(INDEX(GroupVertices[Group],MATCH(Edges[[#This Row],[Vertex 2]],GroupVertices[Vertex],0)),1,1,"")</f>
        <v>2</v>
      </c>
      <c r="S198" s="35"/>
      <c r="T198" s="35"/>
      <c r="U198" s="35"/>
      <c r="V198" s="35"/>
      <c r="W198" s="35"/>
      <c r="X198" s="35"/>
      <c r="Y198" s="35"/>
      <c r="Z198" s="35"/>
      <c r="AA198" s="35"/>
    </row>
    <row r="199" spans="1:27" ht="15">
      <c r="A199" s="65" t="s">
        <v>199</v>
      </c>
      <c r="B199" s="65" t="s">
        <v>195</v>
      </c>
      <c r="C199" s="66" t="s">
        <v>1612</v>
      </c>
      <c r="D199" s="67">
        <v>5</v>
      </c>
      <c r="E199" s="68"/>
      <c r="F199" s="69">
        <v>25</v>
      </c>
      <c r="G199" s="66"/>
      <c r="H199" s="70"/>
      <c r="I199" s="71"/>
      <c r="J199" s="71"/>
      <c r="K199" s="35" t="s">
        <v>65</v>
      </c>
      <c r="L199" s="79">
        <v>199</v>
      </c>
      <c r="M199" s="79"/>
      <c r="N199" s="73"/>
      <c r="O199" s="81" t="s">
        <v>379</v>
      </c>
      <c r="P199">
        <v>1</v>
      </c>
      <c r="Q199" s="80" t="str">
        <f>REPLACE(INDEX(GroupVertices[Group],MATCH(Edges[[#This Row],[Vertex 1]],GroupVertices[Vertex],0)),1,1,"")</f>
        <v>1</v>
      </c>
      <c r="R199" s="80" t="str">
        <f>REPLACE(INDEX(GroupVertices[Group],MATCH(Edges[[#This Row],[Vertex 2]],GroupVertices[Vertex],0)),1,1,"")</f>
        <v>2</v>
      </c>
      <c r="S199" s="35"/>
      <c r="T199" s="35"/>
      <c r="U199" s="35"/>
      <c r="V199" s="35"/>
      <c r="W199" s="35"/>
      <c r="X199" s="35"/>
      <c r="Y199" s="35"/>
      <c r="Z199" s="35"/>
      <c r="AA199" s="35"/>
    </row>
    <row r="200" spans="1:27" ht="15">
      <c r="A200" s="65" t="s">
        <v>206</v>
      </c>
      <c r="B200" s="65" t="s">
        <v>195</v>
      </c>
      <c r="C200" s="66" t="s">
        <v>1612</v>
      </c>
      <c r="D200" s="67">
        <v>5</v>
      </c>
      <c r="E200" s="68"/>
      <c r="F200" s="69">
        <v>25</v>
      </c>
      <c r="G200" s="66"/>
      <c r="H200" s="70"/>
      <c r="I200" s="71"/>
      <c r="J200" s="71"/>
      <c r="K200" s="35" t="s">
        <v>65</v>
      </c>
      <c r="L200" s="79">
        <v>200</v>
      </c>
      <c r="M200" s="79"/>
      <c r="N200" s="73"/>
      <c r="O200" s="81" t="s">
        <v>379</v>
      </c>
      <c r="P200">
        <v>1</v>
      </c>
      <c r="Q200" s="80" t="str">
        <f>REPLACE(INDEX(GroupVertices[Group],MATCH(Edges[[#This Row],[Vertex 1]],GroupVertices[Vertex],0)),1,1,"")</f>
        <v>1</v>
      </c>
      <c r="R200" s="80" t="str">
        <f>REPLACE(INDEX(GroupVertices[Group],MATCH(Edges[[#This Row],[Vertex 2]],GroupVertices[Vertex],0)),1,1,"")</f>
        <v>2</v>
      </c>
      <c r="S200" s="35"/>
      <c r="T200" s="35"/>
      <c r="U200" s="35"/>
      <c r="V200" s="35"/>
      <c r="W200" s="35"/>
      <c r="X200" s="35"/>
      <c r="Y200" s="35"/>
      <c r="Z200" s="35"/>
      <c r="AA200" s="35"/>
    </row>
    <row r="201" spans="1:27" ht="15">
      <c r="A201" s="65" t="s">
        <v>203</v>
      </c>
      <c r="B201" s="65" t="s">
        <v>195</v>
      </c>
      <c r="C201" s="66" t="s">
        <v>1612</v>
      </c>
      <c r="D201" s="67">
        <v>5</v>
      </c>
      <c r="E201" s="68"/>
      <c r="F201" s="69">
        <v>25</v>
      </c>
      <c r="G201" s="66"/>
      <c r="H201" s="70"/>
      <c r="I201" s="71"/>
      <c r="J201" s="71"/>
      <c r="K201" s="35" t="s">
        <v>65</v>
      </c>
      <c r="L201" s="79">
        <v>201</v>
      </c>
      <c r="M201" s="79"/>
      <c r="N201" s="73"/>
      <c r="O201" s="81" t="s">
        <v>379</v>
      </c>
      <c r="P201">
        <v>1</v>
      </c>
      <c r="Q201" s="80" t="str">
        <f>REPLACE(INDEX(GroupVertices[Group],MATCH(Edges[[#This Row],[Vertex 1]],GroupVertices[Vertex],0)),1,1,"")</f>
        <v>1</v>
      </c>
      <c r="R201" s="80" t="str">
        <f>REPLACE(INDEX(GroupVertices[Group],MATCH(Edges[[#This Row],[Vertex 2]],GroupVertices[Vertex],0)),1,1,"")</f>
        <v>2</v>
      </c>
      <c r="S201" s="35"/>
      <c r="T201" s="35"/>
      <c r="U201" s="35"/>
      <c r="V201" s="35"/>
      <c r="W201" s="35"/>
      <c r="X201" s="35"/>
      <c r="Y201" s="35"/>
      <c r="Z201" s="35"/>
      <c r="AA201" s="35"/>
    </row>
    <row r="202" spans="1:27" ht="15">
      <c r="A202" s="65" t="s">
        <v>210</v>
      </c>
      <c r="B202" s="65" t="s">
        <v>195</v>
      </c>
      <c r="C202" s="66" t="s">
        <v>1612</v>
      </c>
      <c r="D202" s="67">
        <v>5</v>
      </c>
      <c r="E202" s="68"/>
      <c r="F202" s="69">
        <v>25</v>
      </c>
      <c r="G202" s="66"/>
      <c r="H202" s="70"/>
      <c r="I202" s="71"/>
      <c r="J202" s="71"/>
      <c r="K202" s="35" t="s">
        <v>65</v>
      </c>
      <c r="L202" s="79">
        <v>202</v>
      </c>
      <c r="M202" s="79"/>
      <c r="N202" s="73"/>
      <c r="O202" s="81" t="s">
        <v>379</v>
      </c>
      <c r="P202">
        <v>1</v>
      </c>
      <c r="Q202" s="80" t="str">
        <f>REPLACE(INDEX(GroupVertices[Group],MATCH(Edges[[#This Row],[Vertex 1]],GroupVertices[Vertex],0)),1,1,"")</f>
        <v>2</v>
      </c>
      <c r="R202" s="80" t="str">
        <f>REPLACE(INDEX(GroupVertices[Group],MATCH(Edges[[#This Row],[Vertex 2]],GroupVertices[Vertex],0)),1,1,"")</f>
        <v>2</v>
      </c>
      <c r="S202" s="35"/>
      <c r="T202" s="35"/>
      <c r="U202" s="35"/>
      <c r="V202" s="35"/>
      <c r="W202" s="35"/>
      <c r="X202" s="35"/>
      <c r="Y202" s="35"/>
      <c r="Z202" s="35"/>
      <c r="AA202" s="35"/>
    </row>
    <row r="203" spans="1:27" ht="15">
      <c r="A203" s="65" t="s">
        <v>213</v>
      </c>
      <c r="B203" s="65" t="s">
        <v>195</v>
      </c>
      <c r="C203" s="66" t="s">
        <v>1612</v>
      </c>
      <c r="D203" s="67">
        <v>5</v>
      </c>
      <c r="E203" s="68"/>
      <c r="F203" s="69">
        <v>25</v>
      </c>
      <c r="G203" s="66"/>
      <c r="H203" s="70"/>
      <c r="I203" s="71"/>
      <c r="J203" s="71"/>
      <c r="K203" s="35" t="s">
        <v>65</v>
      </c>
      <c r="L203" s="79">
        <v>203</v>
      </c>
      <c r="M203" s="79"/>
      <c r="N203" s="73"/>
      <c r="O203" s="81" t="s">
        <v>379</v>
      </c>
      <c r="P203">
        <v>1</v>
      </c>
      <c r="Q203" s="80" t="str">
        <f>REPLACE(INDEX(GroupVertices[Group],MATCH(Edges[[#This Row],[Vertex 1]],GroupVertices[Vertex],0)),1,1,"")</f>
        <v>2</v>
      </c>
      <c r="R203" s="80" t="str">
        <f>REPLACE(INDEX(GroupVertices[Group],MATCH(Edges[[#This Row],[Vertex 2]],GroupVertices[Vertex],0)),1,1,"")</f>
        <v>2</v>
      </c>
      <c r="S203" s="35"/>
      <c r="T203" s="35"/>
      <c r="U203" s="35"/>
      <c r="V203" s="35"/>
      <c r="W203" s="35"/>
      <c r="X203" s="35"/>
      <c r="Y203" s="35"/>
      <c r="Z203" s="35"/>
      <c r="AA203" s="35"/>
    </row>
    <row r="204" spans="1:27" ht="15">
      <c r="A204" s="65" t="s">
        <v>226</v>
      </c>
      <c r="B204" s="65" t="s">
        <v>195</v>
      </c>
      <c r="C204" s="66" t="s">
        <v>1612</v>
      </c>
      <c r="D204" s="67">
        <v>5</v>
      </c>
      <c r="E204" s="68"/>
      <c r="F204" s="69">
        <v>25</v>
      </c>
      <c r="G204" s="66"/>
      <c r="H204" s="70"/>
      <c r="I204" s="71"/>
      <c r="J204" s="71"/>
      <c r="K204" s="35" t="s">
        <v>66</v>
      </c>
      <c r="L204" s="79">
        <v>204</v>
      </c>
      <c r="M204" s="79"/>
      <c r="N204" s="73"/>
      <c r="O204" s="81" t="s">
        <v>379</v>
      </c>
      <c r="P204">
        <v>1</v>
      </c>
      <c r="Q204" s="80" t="str">
        <f>REPLACE(INDEX(GroupVertices[Group],MATCH(Edges[[#This Row],[Vertex 1]],GroupVertices[Vertex],0)),1,1,"")</f>
        <v>8</v>
      </c>
      <c r="R204" s="80" t="str">
        <f>REPLACE(INDEX(GroupVertices[Group],MATCH(Edges[[#This Row],[Vertex 2]],GroupVertices[Vertex],0)),1,1,"")</f>
        <v>2</v>
      </c>
      <c r="S204" s="35"/>
      <c r="T204" s="35"/>
      <c r="U204" s="35"/>
      <c r="V204" s="35"/>
      <c r="W204" s="35"/>
      <c r="X204" s="35"/>
      <c r="Y204" s="35"/>
      <c r="Z204" s="35"/>
      <c r="AA204" s="35"/>
    </row>
    <row r="205" spans="1:27" ht="15">
      <c r="A205" s="65" t="s">
        <v>214</v>
      </c>
      <c r="B205" s="65" t="s">
        <v>195</v>
      </c>
      <c r="C205" s="66" t="s">
        <v>1612</v>
      </c>
      <c r="D205" s="67">
        <v>5</v>
      </c>
      <c r="E205" s="68"/>
      <c r="F205" s="69">
        <v>25</v>
      </c>
      <c r="G205" s="66"/>
      <c r="H205" s="70"/>
      <c r="I205" s="71"/>
      <c r="J205" s="71"/>
      <c r="K205" s="35" t="s">
        <v>65</v>
      </c>
      <c r="L205" s="79">
        <v>205</v>
      </c>
      <c r="M205" s="79"/>
      <c r="N205" s="73"/>
      <c r="O205" s="81" t="s">
        <v>379</v>
      </c>
      <c r="P205">
        <v>1</v>
      </c>
      <c r="Q205" s="80" t="str">
        <f>REPLACE(INDEX(GroupVertices[Group],MATCH(Edges[[#This Row],[Vertex 1]],GroupVertices[Vertex],0)),1,1,"")</f>
        <v>1</v>
      </c>
      <c r="R205" s="80" t="str">
        <f>REPLACE(INDEX(GroupVertices[Group],MATCH(Edges[[#This Row],[Vertex 2]],GroupVertices[Vertex],0)),1,1,"")</f>
        <v>2</v>
      </c>
      <c r="S205" s="35"/>
      <c r="T205" s="35"/>
      <c r="U205" s="35"/>
      <c r="V205" s="35"/>
      <c r="W205" s="35"/>
      <c r="X205" s="35"/>
      <c r="Y205" s="35"/>
      <c r="Z205" s="35"/>
      <c r="AA205" s="35"/>
    </row>
    <row r="206" spans="1:27" ht="15">
      <c r="A206" s="65" t="s">
        <v>227</v>
      </c>
      <c r="B206" s="65" t="s">
        <v>195</v>
      </c>
      <c r="C206" s="66" t="s">
        <v>1612</v>
      </c>
      <c r="D206" s="67">
        <v>5</v>
      </c>
      <c r="E206" s="68"/>
      <c r="F206" s="69">
        <v>25</v>
      </c>
      <c r="G206" s="66"/>
      <c r="H206" s="70"/>
      <c r="I206" s="71"/>
      <c r="J206" s="71"/>
      <c r="K206" s="35" t="s">
        <v>65</v>
      </c>
      <c r="L206" s="79">
        <v>206</v>
      </c>
      <c r="M206" s="79"/>
      <c r="N206" s="73"/>
      <c r="O206" s="81" t="s">
        <v>379</v>
      </c>
      <c r="P206">
        <v>1</v>
      </c>
      <c r="Q206" s="80" t="str">
        <f>REPLACE(INDEX(GroupVertices[Group],MATCH(Edges[[#This Row],[Vertex 1]],GroupVertices[Vertex],0)),1,1,"")</f>
        <v>1</v>
      </c>
      <c r="R206" s="80" t="str">
        <f>REPLACE(INDEX(GroupVertices[Group],MATCH(Edges[[#This Row],[Vertex 2]],GroupVertices[Vertex],0)),1,1,"")</f>
        <v>2</v>
      </c>
      <c r="S206" s="35"/>
      <c r="T206" s="35"/>
      <c r="U206" s="35"/>
      <c r="V206" s="35"/>
      <c r="W206" s="35"/>
      <c r="X206" s="35"/>
      <c r="Y206" s="35"/>
      <c r="Z206" s="35"/>
      <c r="AA206" s="35"/>
    </row>
    <row r="207" spans="1:27" ht="15">
      <c r="A207" s="65" t="s">
        <v>215</v>
      </c>
      <c r="B207" s="65" t="s">
        <v>195</v>
      </c>
      <c r="C207" s="66" t="s">
        <v>1612</v>
      </c>
      <c r="D207" s="67">
        <v>5</v>
      </c>
      <c r="E207" s="68"/>
      <c r="F207" s="69">
        <v>25</v>
      </c>
      <c r="G207" s="66"/>
      <c r="H207" s="70"/>
      <c r="I207" s="71"/>
      <c r="J207" s="71"/>
      <c r="K207" s="35" t="s">
        <v>65</v>
      </c>
      <c r="L207" s="79">
        <v>207</v>
      </c>
      <c r="M207" s="79"/>
      <c r="N207" s="73"/>
      <c r="O207" s="81" t="s">
        <v>379</v>
      </c>
      <c r="P207">
        <v>1</v>
      </c>
      <c r="Q207" s="80" t="str">
        <f>REPLACE(INDEX(GroupVertices[Group],MATCH(Edges[[#This Row],[Vertex 1]],GroupVertices[Vertex],0)),1,1,"")</f>
        <v>1</v>
      </c>
      <c r="R207" s="80" t="str">
        <f>REPLACE(INDEX(GroupVertices[Group],MATCH(Edges[[#This Row],[Vertex 2]],GroupVertices[Vertex],0)),1,1,"")</f>
        <v>2</v>
      </c>
      <c r="S207" s="35"/>
      <c r="T207" s="35"/>
      <c r="U207" s="35"/>
      <c r="V207" s="35"/>
      <c r="W207" s="35"/>
      <c r="X207" s="35"/>
      <c r="Y207" s="35"/>
      <c r="Z207" s="35"/>
      <c r="AA207" s="35"/>
    </row>
    <row r="208" spans="1:27" ht="15">
      <c r="A208" s="65" t="s">
        <v>216</v>
      </c>
      <c r="B208" s="65" t="s">
        <v>195</v>
      </c>
      <c r="C208" s="66" t="s">
        <v>1612</v>
      </c>
      <c r="D208" s="67">
        <v>5</v>
      </c>
      <c r="E208" s="68"/>
      <c r="F208" s="69">
        <v>25</v>
      </c>
      <c r="G208" s="66"/>
      <c r="H208" s="70"/>
      <c r="I208" s="71"/>
      <c r="J208" s="71"/>
      <c r="K208" s="35" t="s">
        <v>65</v>
      </c>
      <c r="L208" s="79">
        <v>208</v>
      </c>
      <c r="M208" s="79"/>
      <c r="N208" s="73"/>
      <c r="O208" s="81" t="s">
        <v>379</v>
      </c>
      <c r="P208">
        <v>1</v>
      </c>
      <c r="Q208" s="80" t="str">
        <f>REPLACE(INDEX(GroupVertices[Group],MATCH(Edges[[#This Row],[Vertex 1]],GroupVertices[Vertex],0)),1,1,"")</f>
        <v>2</v>
      </c>
      <c r="R208" s="80" t="str">
        <f>REPLACE(INDEX(GroupVertices[Group],MATCH(Edges[[#This Row],[Vertex 2]],GroupVertices[Vertex],0)),1,1,"")</f>
        <v>2</v>
      </c>
      <c r="S208" s="35"/>
      <c r="T208" s="35"/>
      <c r="U208" s="35"/>
      <c r="V208" s="35"/>
      <c r="W208" s="35"/>
      <c r="X208" s="35"/>
      <c r="Y208" s="35"/>
      <c r="Z208" s="35"/>
      <c r="AA208" s="35"/>
    </row>
    <row r="209" spans="1:27" ht="15">
      <c r="A209" s="65" t="s">
        <v>218</v>
      </c>
      <c r="B209" s="65" t="s">
        <v>195</v>
      </c>
      <c r="C209" s="66" t="s">
        <v>1612</v>
      </c>
      <c r="D209" s="67">
        <v>5</v>
      </c>
      <c r="E209" s="68"/>
      <c r="F209" s="69">
        <v>25</v>
      </c>
      <c r="G209" s="66"/>
      <c r="H209" s="70"/>
      <c r="I209" s="71"/>
      <c r="J209" s="71"/>
      <c r="K209" s="35" t="s">
        <v>66</v>
      </c>
      <c r="L209" s="79">
        <v>209</v>
      </c>
      <c r="M209" s="79"/>
      <c r="N209" s="73"/>
      <c r="O209" s="81" t="s">
        <v>379</v>
      </c>
      <c r="P209">
        <v>1</v>
      </c>
      <c r="Q209" s="80" t="str">
        <f>REPLACE(INDEX(GroupVertices[Group],MATCH(Edges[[#This Row],[Vertex 1]],GroupVertices[Vertex],0)),1,1,"")</f>
        <v>2</v>
      </c>
      <c r="R209" s="80" t="str">
        <f>REPLACE(INDEX(GroupVertices[Group],MATCH(Edges[[#This Row],[Vertex 2]],GroupVertices[Vertex],0)),1,1,"")</f>
        <v>2</v>
      </c>
      <c r="S209" s="35"/>
      <c r="T209" s="35"/>
      <c r="U209" s="35"/>
      <c r="V209" s="35"/>
      <c r="W209" s="35"/>
      <c r="X209" s="35"/>
      <c r="Y209" s="35"/>
      <c r="Z209" s="35"/>
      <c r="AA209" s="35"/>
    </row>
    <row r="210" spans="1:27" ht="15">
      <c r="A210" s="65" t="s">
        <v>228</v>
      </c>
      <c r="B210" s="65" t="s">
        <v>195</v>
      </c>
      <c r="C210" s="66" t="s">
        <v>1612</v>
      </c>
      <c r="D210" s="67">
        <v>5</v>
      </c>
      <c r="E210" s="68"/>
      <c r="F210" s="69">
        <v>25</v>
      </c>
      <c r="G210" s="66"/>
      <c r="H210" s="70"/>
      <c r="I210" s="71"/>
      <c r="J210" s="71"/>
      <c r="K210" s="35" t="s">
        <v>65</v>
      </c>
      <c r="L210" s="79">
        <v>210</v>
      </c>
      <c r="M210" s="79"/>
      <c r="N210" s="73"/>
      <c r="O210" s="81" t="s">
        <v>379</v>
      </c>
      <c r="P210">
        <v>1</v>
      </c>
      <c r="Q210" s="80" t="str">
        <f>REPLACE(INDEX(GroupVertices[Group],MATCH(Edges[[#This Row],[Vertex 1]],GroupVertices[Vertex],0)),1,1,"")</f>
        <v>1</v>
      </c>
      <c r="R210" s="80" t="str">
        <f>REPLACE(INDEX(GroupVertices[Group],MATCH(Edges[[#This Row],[Vertex 2]],GroupVertices[Vertex],0)),1,1,"")</f>
        <v>2</v>
      </c>
      <c r="S210" s="35"/>
      <c r="T210" s="35"/>
      <c r="U210" s="35"/>
      <c r="V210" s="35"/>
      <c r="W210" s="35"/>
      <c r="X210" s="35"/>
      <c r="Y210" s="35"/>
      <c r="Z210" s="35"/>
      <c r="AA210" s="35"/>
    </row>
    <row r="211" spans="1:27" ht="15">
      <c r="A211" s="65" t="s">
        <v>220</v>
      </c>
      <c r="B211" s="65" t="s">
        <v>195</v>
      </c>
      <c r="C211" s="66" t="s">
        <v>1612</v>
      </c>
      <c r="D211" s="67">
        <v>5</v>
      </c>
      <c r="E211" s="68"/>
      <c r="F211" s="69">
        <v>25</v>
      </c>
      <c r="G211" s="66"/>
      <c r="H211" s="70"/>
      <c r="I211" s="71"/>
      <c r="J211" s="71"/>
      <c r="K211" s="35" t="s">
        <v>65</v>
      </c>
      <c r="L211" s="79">
        <v>211</v>
      </c>
      <c r="M211" s="79"/>
      <c r="N211" s="73"/>
      <c r="O211" s="81" t="s">
        <v>379</v>
      </c>
      <c r="P211">
        <v>1</v>
      </c>
      <c r="Q211" s="80" t="str">
        <f>REPLACE(INDEX(GroupVertices[Group],MATCH(Edges[[#This Row],[Vertex 1]],GroupVertices[Vertex],0)),1,1,"")</f>
        <v>2</v>
      </c>
      <c r="R211" s="80" t="str">
        <f>REPLACE(INDEX(GroupVertices[Group],MATCH(Edges[[#This Row],[Vertex 2]],GroupVertices[Vertex],0)),1,1,"")</f>
        <v>2</v>
      </c>
      <c r="S211" s="35"/>
      <c r="T211" s="35"/>
      <c r="U211" s="35"/>
      <c r="V211" s="35"/>
      <c r="W211" s="35"/>
      <c r="X211" s="35"/>
      <c r="Y211" s="35"/>
      <c r="Z211" s="35"/>
      <c r="AA211" s="35"/>
    </row>
    <row r="212" spans="1:27" ht="15">
      <c r="A212" s="65" t="s">
        <v>221</v>
      </c>
      <c r="B212" s="65" t="s">
        <v>195</v>
      </c>
      <c r="C212" s="66" t="s">
        <v>1612</v>
      </c>
      <c r="D212" s="67">
        <v>5</v>
      </c>
      <c r="E212" s="68"/>
      <c r="F212" s="69">
        <v>25</v>
      </c>
      <c r="G212" s="66"/>
      <c r="H212" s="70"/>
      <c r="I212" s="71"/>
      <c r="J212" s="71"/>
      <c r="K212" s="35" t="s">
        <v>65</v>
      </c>
      <c r="L212" s="79">
        <v>212</v>
      </c>
      <c r="M212" s="79"/>
      <c r="N212" s="73"/>
      <c r="O212" s="81" t="s">
        <v>379</v>
      </c>
      <c r="P212">
        <v>1</v>
      </c>
      <c r="Q212" s="80" t="str">
        <f>REPLACE(INDEX(GroupVertices[Group],MATCH(Edges[[#This Row],[Vertex 1]],GroupVertices[Vertex],0)),1,1,"")</f>
        <v>1</v>
      </c>
      <c r="R212" s="80" t="str">
        <f>REPLACE(INDEX(GroupVertices[Group],MATCH(Edges[[#This Row],[Vertex 2]],GroupVertices[Vertex],0)),1,1,"")</f>
        <v>2</v>
      </c>
      <c r="S212" s="35"/>
      <c r="T212" s="35"/>
      <c r="U212" s="35"/>
      <c r="V212" s="35"/>
      <c r="W212" s="35"/>
      <c r="X212" s="35"/>
      <c r="Y212" s="35"/>
      <c r="Z212" s="35"/>
      <c r="AA212" s="35"/>
    </row>
    <row r="213" spans="1:27" ht="15">
      <c r="A213" s="65" t="s">
        <v>222</v>
      </c>
      <c r="B213" s="65" t="s">
        <v>195</v>
      </c>
      <c r="C213" s="66" t="s">
        <v>1612</v>
      </c>
      <c r="D213" s="67">
        <v>5</v>
      </c>
      <c r="E213" s="68"/>
      <c r="F213" s="69">
        <v>25</v>
      </c>
      <c r="G213" s="66"/>
      <c r="H213" s="70"/>
      <c r="I213" s="71"/>
      <c r="J213" s="71"/>
      <c r="K213" s="35" t="s">
        <v>65</v>
      </c>
      <c r="L213" s="79">
        <v>213</v>
      </c>
      <c r="M213" s="79"/>
      <c r="N213" s="73"/>
      <c r="O213" s="81" t="s">
        <v>379</v>
      </c>
      <c r="P213">
        <v>1</v>
      </c>
      <c r="Q213" s="80" t="str">
        <f>REPLACE(INDEX(GroupVertices[Group],MATCH(Edges[[#This Row],[Vertex 1]],GroupVertices[Vertex],0)),1,1,"")</f>
        <v>1</v>
      </c>
      <c r="R213" s="80" t="str">
        <f>REPLACE(INDEX(GroupVertices[Group],MATCH(Edges[[#This Row],[Vertex 2]],GroupVertices[Vertex],0)),1,1,"")</f>
        <v>2</v>
      </c>
      <c r="S213" s="35"/>
      <c r="T213" s="35"/>
      <c r="U213" s="35"/>
      <c r="V213" s="35"/>
      <c r="W213" s="35"/>
      <c r="X213" s="35"/>
      <c r="Y213" s="35"/>
      <c r="Z213" s="35"/>
      <c r="AA213" s="35"/>
    </row>
    <row r="214" spans="1:27" ht="15">
      <c r="A214" s="65" t="s">
        <v>223</v>
      </c>
      <c r="B214" s="65" t="s">
        <v>195</v>
      </c>
      <c r="C214" s="66" t="s">
        <v>1612</v>
      </c>
      <c r="D214" s="67">
        <v>5</v>
      </c>
      <c r="E214" s="68"/>
      <c r="F214" s="69">
        <v>25</v>
      </c>
      <c r="G214" s="66"/>
      <c r="H214" s="70"/>
      <c r="I214" s="71"/>
      <c r="J214" s="71"/>
      <c r="K214" s="35" t="s">
        <v>65</v>
      </c>
      <c r="L214" s="79">
        <v>214</v>
      </c>
      <c r="M214" s="79"/>
      <c r="N214" s="73"/>
      <c r="O214" s="81" t="s">
        <v>379</v>
      </c>
      <c r="P214">
        <v>1</v>
      </c>
      <c r="Q214" s="80" t="str">
        <f>REPLACE(INDEX(GroupVertices[Group],MATCH(Edges[[#This Row],[Vertex 1]],GroupVertices[Vertex],0)),1,1,"")</f>
        <v>1</v>
      </c>
      <c r="R214" s="80" t="str">
        <f>REPLACE(INDEX(GroupVertices[Group],MATCH(Edges[[#This Row],[Vertex 2]],GroupVertices[Vertex],0)),1,1,"")</f>
        <v>2</v>
      </c>
      <c r="S214" s="35"/>
      <c r="T214" s="35"/>
      <c r="U214" s="35"/>
      <c r="V214" s="35"/>
      <c r="W214" s="35"/>
      <c r="X214" s="35"/>
      <c r="Y214" s="35"/>
      <c r="Z214" s="35"/>
      <c r="AA214" s="35"/>
    </row>
    <row r="215" spans="1:27" ht="15">
      <c r="A215" s="65" t="s">
        <v>229</v>
      </c>
      <c r="B215" s="65" t="s">
        <v>195</v>
      </c>
      <c r="C215" s="66" t="s">
        <v>1612</v>
      </c>
      <c r="D215" s="67">
        <v>5</v>
      </c>
      <c r="E215" s="68"/>
      <c r="F215" s="69">
        <v>25</v>
      </c>
      <c r="G215" s="66"/>
      <c r="H215" s="70"/>
      <c r="I215" s="71"/>
      <c r="J215" s="71"/>
      <c r="K215" s="35" t="s">
        <v>65</v>
      </c>
      <c r="L215" s="79">
        <v>215</v>
      </c>
      <c r="M215" s="79"/>
      <c r="N215" s="73"/>
      <c r="O215" s="81" t="s">
        <v>379</v>
      </c>
      <c r="P215">
        <v>1</v>
      </c>
      <c r="Q215" s="80" t="str">
        <f>REPLACE(INDEX(GroupVertices[Group],MATCH(Edges[[#This Row],[Vertex 1]],GroupVertices[Vertex],0)),1,1,"")</f>
        <v>1</v>
      </c>
      <c r="R215" s="80" t="str">
        <f>REPLACE(INDEX(GroupVertices[Group],MATCH(Edges[[#This Row],[Vertex 2]],GroupVertices[Vertex],0)),1,1,"")</f>
        <v>2</v>
      </c>
      <c r="S215" s="35"/>
      <c r="T215" s="35"/>
      <c r="U215" s="35"/>
      <c r="V215" s="35"/>
      <c r="W215" s="35"/>
      <c r="X215" s="35"/>
      <c r="Y215" s="35"/>
      <c r="Z215" s="35"/>
      <c r="AA215" s="35"/>
    </row>
    <row r="216" spans="1:27" ht="15">
      <c r="A216" s="65" t="s">
        <v>230</v>
      </c>
      <c r="B216" s="65" t="s">
        <v>195</v>
      </c>
      <c r="C216" s="66" t="s">
        <v>1612</v>
      </c>
      <c r="D216" s="67">
        <v>5</v>
      </c>
      <c r="E216" s="68"/>
      <c r="F216" s="69">
        <v>25</v>
      </c>
      <c r="G216" s="66"/>
      <c r="H216" s="70"/>
      <c r="I216" s="71"/>
      <c r="J216" s="71"/>
      <c r="K216" s="35" t="s">
        <v>65</v>
      </c>
      <c r="L216" s="79">
        <v>216</v>
      </c>
      <c r="M216" s="79"/>
      <c r="N216" s="73"/>
      <c r="O216" s="81" t="s">
        <v>379</v>
      </c>
      <c r="P216">
        <v>1</v>
      </c>
      <c r="Q216" s="80" t="str">
        <f>REPLACE(INDEX(GroupVertices[Group],MATCH(Edges[[#This Row],[Vertex 1]],GroupVertices[Vertex],0)),1,1,"")</f>
        <v>2</v>
      </c>
      <c r="R216" s="80" t="str">
        <f>REPLACE(INDEX(GroupVertices[Group],MATCH(Edges[[#This Row],[Vertex 2]],GroupVertices[Vertex],0)),1,1,"")</f>
        <v>2</v>
      </c>
      <c r="S216" s="35"/>
      <c r="T216" s="35"/>
      <c r="U216" s="35"/>
      <c r="V216" s="35"/>
      <c r="W216" s="35"/>
      <c r="X216" s="35"/>
      <c r="Y216" s="35"/>
      <c r="Z216" s="35"/>
      <c r="AA216" s="35"/>
    </row>
    <row r="217" spans="1:27" ht="15">
      <c r="A217" s="65" t="s">
        <v>224</v>
      </c>
      <c r="B217" s="65" t="s">
        <v>195</v>
      </c>
      <c r="C217" s="66" t="s">
        <v>1612</v>
      </c>
      <c r="D217" s="67">
        <v>5</v>
      </c>
      <c r="E217" s="68"/>
      <c r="F217" s="69">
        <v>25</v>
      </c>
      <c r="G217" s="66"/>
      <c r="H217" s="70"/>
      <c r="I217" s="71"/>
      <c r="J217" s="71"/>
      <c r="K217" s="35" t="s">
        <v>65</v>
      </c>
      <c r="L217" s="79">
        <v>217</v>
      </c>
      <c r="M217" s="79"/>
      <c r="N217" s="73"/>
      <c r="O217" s="81" t="s">
        <v>379</v>
      </c>
      <c r="P217">
        <v>1</v>
      </c>
      <c r="Q217" s="80" t="str">
        <f>REPLACE(INDEX(GroupVertices[Group],MATCH(Edges[[#This Row],[Vertex 1]],GroupVertices[Vertex],0)),1,1,"")</f>
        <v>1</v>
      </c>
      <c r="R217" s="80" t="str">
        <f>REPLACE(INDEX(GroupVertices[Group],MATCH(Edges[[#This Row],[Vertex 2]],GroupVertices[Vertex],0)),1,1,"")</f>
        <v>2</v>
      </c>
      <c r="S217" s="35"/>
      <c r="T217" s="35"/>
      <c r="U217" s="35"/>
      <c r="V217" s="35"/>
      <c r="W217" s="35"/>
      <c r="X217" s="35"/>
      <c r="Y217" s="35"/>
      <c r="Z217" s="35"/>
      <c r="AA217" s="35"/>
    </row>
    <row r="218" spans="1:27" ht="15">
      <c r="A218" s="65" t="s">
        <v>226</v>
      </c>
      <c r="B218" s="65" t="s">
        <v>195</v>
      </c>
      <c r="C218" s="66" t="s">
        <v>1612</v>
      </c>
      <c r="D218" s="67">
        <v>5</v>
      </c>
      <c r="E218" s="68"/>
      <c r="F218" s="69">
        <v>25</v>
      </c>
      <c r="G218" s="66"/>
      <c r="H218" s="70"/>
      <c r="I218" s="71"/>
      <c r="J218" s="71"/>
      <c r="K218" s="35" t="s">
        <v>66</v>
      </c>
      <c r="L218" s="79">
        <v>218</v>
      </c>
      <c r="M218" s="79"/>
      <c r="N218" s="73"/>
      <c r="O218" s="81" t="s">
        <v>378</v>
      </c>
      <c r="P218">
        <v>1</v>
      </c>
      <c r="Q218" s="80" t="str">
        <f>REPLACE(INDEX(GroupVertices[Group],MATCH(Edges[[#This Row],[Vertex 1]],GroupVertices[Vertex],0)),1,1,"")</f>
        <v>8</v>
      </c>
      <c r="R218" s="80" t="str">
        <f>REPLACE(INDEX(GroupVertices[Group],MATCH(Edges[[#This Row],[Vertex 2]],GroupVertices[Vertex],0)),1,1,"")</f>
        <v>2</v>
      </c>
      <c r="S218" s="35"/>
      <c r="T218" s="35"/>
      <c r="U218" s="35"/>
      <c r="V218" s="35"/>
      <c r="W218" s="35"/>
      <c r="X218" s="35"/>
      <c r="Y218" s="35"/>
      <c r="Z218" s="35"/>
      <c r="AA218" s="35"/>
    </row>
    <row r="219" spans="1:27" ht="15">
      <c r="A219" s="65" t="s">
        <v>205</v>
      </c>
      <c r="B219" s="65" t="s">
        <v>221</v>
      </c>
      <c r="C219" s="66" t="s">
        <v>1612</v>
      </c>
      <c r="D219" s="67">
        <v>5</v>
      </c>
      <c r="E219" s="68"/>
      <c r="F219" s="69">
        <v>25</v>
      </c>
      <c r="G219" s="66"/>
      <c r="H219" s="70"/>
      <c r="I219" s="71"/>
      <c r="J219" s="71"/>
      <c r="K219" s="35" t="s">
        <v>66</v>
      </c>
      <c r="L219" s="79">
        <v>219</v>
      </c>
      <c r="M219" s="79"/>
      <c r="N219" s="73"/>
      <c r="O219" s="81" t="s">
        <v>377</v>
      </c>
      <c r="P219">
        <v>1</v>
      </c>
      <c r="Q219" s="80" t="str">
        <f>REPLACE(INDEX(GroupVertices[Group],MATCH(Edges[[#This Row],[Vertex 1]],GroupVertices[Vertex],0)),1,1,"")</f>
        <v>1</v>
      </c>
      <c r="R219" s="80" t="str">
        <f>REPLACE(INDEX(GroupVertices[Group],MATCH(Edges[[#This Row],[Vertex 2]],GroupVertices[Vertex],0)),1,1,"")</f>
        <v>1</v>
      </c>
      <c r="S219" s="35"/>
      <c r="T219" s="35"/>
      <c r="U219" s="35"/>
      <c r="V219" s="35"/>
      <c r="W219" s="35"/>
      <c r="X219" s="35"/>
      <c r="Y219" s="35"/>
      <c r="Z219" s="35"/>
      <c r="AA219" s="35"/>
    </row>
    <row r="220" spans="1:27" ht="15">
      <c r="A220" s="65" t="s">
        <v>205</v>
      </c>
      <c r="B220" s="65" t="s">
        <v>206</v>
      </c>
      <c r="C220" s="66" t="s">
        <v>1612</v>
      </c>
      <c r="D220" s="67">
        <v>5</v>
      </c>
      <c r="E220" s="68"/>
      <c r="F220" s="69">
        <v>25</v>
      </c>
      <c r="G220" s="66"/>
      <c r="H220" s="70"/>
      <c r="I220" s="71"/>
      <c r="J220" s="71"/>
      <c r="K220" s="35" t="s">
        <v>66</v>
      </c>
      <c r="L220" s="79">
        <v>220</v>
      </c>
      <c r="M220" s="79"/>
      <c r="N220" s="73"/>
      <c r="O220" s="81" t="s">
        <v>377</v>
      </c>
      <c r="P220">
        <v>1</v>
      </c>
      <c r="Q220" s="80" t="str">
        <f>REPLACE(INDEX(GroupVertices[Group],MATCH(Edges[[#This Row],[Vertex 1]],GroupVertices[Vertex],0)),1,1,"")</f>
        <v>1</v>
      </c>
      <c r="R220" s="80" t="str">
        <f>REPLACE(INDEX(GroupVertices[Group],MATCH(Edges[[#This Row],[Vertex 2]],GroupVertices[Vertex],0)),1,1,"")</f>
        <v>1</v>
      </c>
      <c r="S220" s="35"/>
      <c r="T220" s="35"/>
      <c r="U220" s="35"/>
      <c r="V220" s="35"/>
      <c r="W220" s="35"/>
      <c r="X220" s="35"/>
      <c r="Y220" s="35"/>
      <c r="Z220" s="35"/>
      <c r="AA220" s="35"/>
    </row>
    <row r="221" spans="1:27" ht="15">
      <c r="A221" s="65" t="s">
        <v>205</v>
      </c>
      <c r="B221" s="65" t="s">
        <v>226</v>
      </c>
      <c r="C221" s="66" t="s">
        <v>1612</v>
      </c>
      <c r="D221" s="67">
        <v>5</v>
      </c>
      <c r="E221" s="68"/>
      <c r="F221" s="69">
        <v>25</v>
      </c>
      <c r="G221" s="66"/>
      <c r="H221" s="70"/>
      <c r="I221" s="71"/>
      <c r="J221" s="71"/>
      <c r="K221" s="35" t="s">
        <v>66</v>
      </c>
      <c r="L221" s="79">
        <v>221</v>
      </c>
      <c r="M221" s="79"/>
      <c r="N221" s="73"/>
      <c r="O221" s="81" t="s">
        <v>377</v>
      </c>
      <c r="P221">
        <v>1</v>
      </c>
      <c r="Q221" s="80" t="str">
        <f>REPLACE(INDEX(GroupVertices[Group],MATCH(Edges[[#This Row],[Vertex 1]],GroupVertices[Vertex],0)),1,1,"")</f>
        <v>1</v>
      </c>
      <c r="R221" s="80" t="str">
        <f>REPLACE(INDEX(GroupVertices[Group],MATCH(Edges[[#This Row],[Vertex 2]],GroupVertices[Vertex],0)),1,1,"")</f>
        <v>8</v>
      </c>
      <c r="S221" s="35"/>
      <c r="T221" s="35"/>
      <c r="U221" s="35"/>
      <c r="V221" s="35"/>
      <c r="W221" s="35"/>
      <c r="X221" s="35"/>
      <c r="Y221" s="35"/>
      <c r="Z221" s="35"/>
      <c r="AA221" s="35"/>
    </row>
    <row r="222" spans="1:27" ht="15">
      <c r="A222" s="65" t="s">
        <v>205</v>
      </c>
      <c r="B222" s="65" t="s">
        <v>230</v>
      </c>
      <c r="C222" s="66" t="s">
        <v>1612</v>
      </c>
      <c r="D222" s="67">
        <v>5</v>
      </c>
      <c r="E222" s="68"/>
      <c r="F222" s="69">
        <v>25</v>
      </c>
      <c r="G222" s="66"/>
      <c r="H222" s="70"/>
      <c r="I222" s="71"/>
      <c r="J222" s="71"/>
      <c r="K222" s="35" t="s">
        <v>66</v>
      </c>
      <c r="L222" s="79">
        <v>222</v>
      </c>
      <c r="M222" s="79"/>
      <c r="N222" s="73"/>
      <c r="O222" s="81" t="s">
        <v>377</v>
      </c>
      <c r="P222">
        <v>1</v>
      </c>
      <c r="Q222" s="80" t="str">
        <f>REPLACE(INDEX(GroupVertices[Group],MATCH(Edges[[#This Row],[Vertex 1]],GroupVertices[Vertex],0)),1,1,"")</f>
        <v>1</v>
      </c>
      <c r="R222" s="80" t="str">
        <f>REPLACE(INDEX(GroupVertices[Group],MATCH(Edges[[#This Row],[Vertex 2]],GroupVertices[Vertex],0)),1,1,"")</f>
        <v>2</v>
      </c>
      <c r="S222" s="35"/>
      <c r="T222" s="35"/>
      <c r="U222" s="35"/>
      <c r="V222" s="35"/>
      <c r="W222" s="35"/>
      <c r="X222" s="35"/>
      <c r="Y222" s="35"/>
      <c r="Z222" s="35"/>
      <c r="AA222" s="35"/>
    </row>
    <row r="223" spans="1:27" ht="15">
      <c r="A223" s="65" t="s">
        <v>205</v>
      </c>
      <c r="B223" s="65" t="s">
        <v>229</v>
      </c>
      <c r="C223" s="66" t="s">
        <v>1612</v>
      </c>
      <c r="D223" s="67">
        <v>5</v>
      </c>
      <c r="E223" s="68"/>
      <c r="F223" s="69">
        <v>25</v>
      </c>
      <c r="G223" s="66"/>
      <c r="H223" s="70"/>
      <c r="I223" s="71"/>
      <c r="J223" s="71"/>
      <c r="K223" s="35" t="s">
        <v>66</v>
      </c>
      <c r="L223" s="79">
        <v>223</v>
      </c>
      <c r="M223" s="79"/>
      <c r="N223" s="73"/>
      <c r="O223" s="81" t="s">
        <v>377</v>
      </c>
      <c r="P223">
        <v>1</v>
      </c>
      <c r="Q223" s="80" t="str">
        <f>REPLACE(INDEX(GroupVertices[Group],MATCH(Edges[[#This Row],[Vertex 1]],GroupVertices[Vertex],0)),1,1,"")</f>
        <v>1</v>
      </c>
      <c r="R223" s="80" t="str">
        <f>REPLACE(INDEX(GroupVertices[Group],MATCH(Edges[[#This Row],[Vertex 2]],GroupVertices[Vertex],0)),1,1,"")</f>
        <v>1</v>
      </c>
      <c r="S223" s="35"/>
      <c r="T223" s="35"/>
      <c r="U223" s="35"/>
      <c r="V223" s="35"/>
      <c r="W223" s="35"/>
      <c r="X223" s="35"/>
      <c r="Y223" s="35"/>
      <c r="Z223" s="35"/>
      <c r="AA223" s="35"/>
    </row>
    <row r="224" spans="1:27" ht="15">
      <c r="A224" s="65" t="s">
        <v>205</v>
      </c>
      <c r="B224" s="65" t="s">
        <v>231</v>
      </c>
      <c r="C224" s="66" t="s">
        <v>1612</v>
      </c>
      <c r="D224" s="67">
        <v>5</v>
      </c>
      <c r="E224" s="68"/>
      <c r="F224" s="69">
        <v>25</v>
      </c>
      <c r="G224" s="66"/>
      <c r="H224" s="70"/>
      <c r="I224" s="71"/>
      <c r="J224" s="71"/>
      <c r="K224" s="35" t="s">
        <v>66</v>
      </c>
      <c r="L224" s="79">
        <v>224</v>
      </c>
      <c r="M224" s="79"/>
      <c r="N224" s="73"/>
      <c r="O224" s="81" t="s">
        <v>377</v>
      </c>
      <c r="P224">
        <v>1</v>
      </c>
      <c r="Q224" s="80" t="str">
        <f>REPLACE(INDEX(GroupVertices[Group],MATCH(Edges[[#This Row],[Vertex 1]],GroupVertices[Vertex],0)),1,1,"")</f>
        <v>1</v>
      </c>
      <c r="R224" s="80" t="str">
        <f>REPLACE(INDEX(GroupVertices[Group],MATCH(Edges[[#This Row],[Vertex 2]],GroupVertices[Vertex],0)),1,1,"")</f>
        <v>1</v>
      </c>
      <c r="S224" s="35"/>
      <c r="T224" s="35"/>
      <c r="U224" s="35"/>
      <c r="V224" s="35"/>
      <c r="W224" s="35"/>
      <c r="X224" s="35"/>
      <c r="Y224" s="35"/>
      <c r="Z224" s="35"/>
      <c r="AA224" s="35"/>
    </row>
    <row r="225" spans="1:27" ht="15">
      <c r="A225" s="65" t="s">
        <v>205</v>
      </c>
      <c r="B225" s="65" t="s">
        <v>204</v>
      </c>
      <c r="C225" s="66" t="s">
        <v>1612</v>
      </c>
      <c r="D225" s="67">
        <v>5</v>
      </c>
      <c r="E225" s="68"/>
      <c r="F225" s="69">
        <v>25</v>
      </c>
      <c r="G225" s="66"/>
      <c r="H225" s="70"/>
      <c r="I225" s="71"/>
      <c r="J225" s="71"/>
      <c r="K225" s="35" t="s">
        <v>66</v>
      </c>
      <c r="L225" s="79">
        <v>225</v>
      </c>
      <c r="M225" s="79"/>
      <c r="N225" s="73"/>
      <c r="O225" s="81" t="s">
        <v>377</v>
      </c>
      <c r="P225">
        <v>1</v>
      </c>
      <c r="Q225" s="80" t="str">
        <f>REPLACE(INDEX(GroupVertices[Group],MATCH(Edges[[#This Row],[Vertex 1]],GroupVertices[Vertex],0)),1,1,"")</f>
        <v>1</v>
      </c>
      <c r="R225" s="80" t="str">
        <f>REPLACE(INDEX(GroupVertices[Group],MATCH(Edges[[#This Row],[Vertex 2]],GroupVertices[Vertex],0)),1,1,"")</f>
        <v>1</v>
      </c>
      <c r="S225" s="35"/>
      <c r="T225" s="35"/>
      <c r="U225" s="35"/>
      <c r="V225" s="35"/>
      <c r="W225" s="35"/>
      <c r="X225" s="35"/>
      <c r="Y225" s="35"/>
      <c r="Z225" s="35"/>
      <c r="AA225" s="35"/>
    </row>
    <row r="226" spans="1:27" ht="15">
      <c r="A226" s="65" t="s">
        <v>205</v>
      </c>
      <c r="B226" s="65" t="s">
        <v>203</v>
      </c>
      <c r="C226" s="66" t="s">
        <v>1612</v>
      </c>
      <c r="D226" s="67">
        <v>5</v>
      </c>
      <c r="E226" s="68"/>
      <c r="F226" s="69">
        <v>25</v>
      </c>
      <c r="G226" s="66"/>
      <c r="H226" s="70"/>
      <c r="I226" s="71"/>
      <c r="J226" s="71"/>
      <c r="K226" s="35" t="s">
        <v>66</v>
      </c>
      <c r="L226" s="79">
        <v>226</v>
      </c>
      <c r="M226" s="79"/>
      <c r="N226" s="73"/>
      <c r="O226" s="81" t="s">
        <v>377</v>
      </c>
      <c r="P226">
        <v>1</v>
      </c>
      <c r="Q226" s="80" t="str">
        <f>REPLACE(INDEX(GroupVertices[Group],MATCH(Edges[[#This Row],[Vertex 1]],GroupVertices[Vertex],0)),1,1,"")</f>
        <v>1</v>
      </c>
      <c r="R226" s="80" t="str">
        <f>REPLACE(INDEX(GroupVertices[Group],MATCH(Edges[[#This Row],[Vertex 2]],GroupVertices[Vertex],0)),1,1,"")</f>
        <v>1</v>
      </c>
      <c r="S226" s="35"/>
      <c r="T226" s="35"/>
      <c r="U226" s="35"/>
      <c r="V226" s="35"/>
      <c r="W226" s="35"/>
      <c r="X226" s="35"/>
      <c r="Y226" s="35"/>
      <c r="Z226" s="35"/>
      <c r="AA226" s="35"/>
    </row>
    <row r="227" spans="1:27" ht="15">
      <c r="A227" s="65" t="s">
        <v>206</v>
      </c>
      <c r="B227" s="65" t="s">
        <v>205</v>
      </c>
      <c r="C227" s="66" t="s">
        <v>1612</v>
      </c>
      <c r="D227" s="67">
        <v>5</v>
      </c>
      <c r="E227" s="68"/>
      <c r="F227" s="69">
        <v>25</v>
      </c>
      <c r="G227" s="66"/>
      <c r="H227" s="70"/>
      <c r="I227" s="71"/>
      <c r="J227" s="71"/>
      <c r="K227" s="35" t="s">
        <v>66</v>
      </c>
      <c r="L227" s="79">
        <v>227</v>
      </c>
      <c r="M227" s="79"/>
      <c r="N227" s="73"/>
      <c r="O227" s="81" t="s">
        <v>377</v>
      </c>
      <c r="P227">
        <v>1</v>
      </c>
      <c r="Q227" s="80" t="str">
        <f>REPLACE(INDEX(GroupVertices[Group],MATCH(Edges[[#This Row],[Vertex 1]],GroupVertices[Vertex],0)),1,1,"")</f>
        <v>1</v>
      </c>
      <c r="R227" s="80" t="str">
        <f>REPLACE(INDEX(GroupVertices[Group],MATCH(Edges[[#This Row],[Vertex 2]],GroupVertices[Vertex],0)),1,1,"")</f>
        <v>1</v>
      </c>
      <c r="S227" s="35"/>
      <c r="T227" s="35"/>
      <c r="U227" s="35"/>
      <c r="V227" s="35"/>
      <c r="W227" s="35"/>
      <c r="X227" s="35"/>
      <c r="Y227" s="35"/>
      <c r="Z227" s="35"/>
      <c r="AA227" s="35"/>
    </row>
    <row r="228" spans="1:27" ht="15">
      <c r="A228" s="65" t="s">
        <v>203</v>
      </c>
      <c r="B228" s="65" t="s">
        <v>205</v>
      </c>
      <c r="C228" s="66" t="s">
        <v>1612</v>
      </c>
      <c r="D228" s="67">
        <v>5</v>
      </c>
      <c r="E228" s="68"/>
      <c r="F228" s="69">
        <v>25</v>
      </c>
      <c r="G228" s="66"/>
      <c r="H228" s="70"/>
      <c r="I228" s="71"/>
      <c r="J228" s="71"/>
      <c r="K228" s="35" t="s">
        <v>66</v>
      </c>
      <c r="L228" s="79">
        <v>228</v>
      </c>
      <c r="M228" s="79"/>
      <c r="N228" s="73"/>
      <c r="O228" s="81" t="s">
        <v>377</v>
      </c>
      <c r="P228">
        <v>1</v>
      </c>
      <c r="Q228" s="80" t="str">
        <f>REPLACE(INDEX(GroupVertices[Group],MATCH(Edges[[#This Row],[Vertex 1]],GroupVertices[Vertex],0)),1,1,"")</f>
        <v>1</v>
      </c>
      <c r="R228" s="80" t="str">
        <f>REPLACE(INDEX(GroupVertices[Group],MATCH(Edges[[#This Row],[Vertex 2]],GroupVertices[Vertex],0)),1,1,"")</f>
        <v>1</v>
      </c>
      <c r="S228" s="35"/>
      <c r="T228" s="35"/>
      <c r="U228" s="35"/>
      <c r="V228" s="35"/>
      <c r="W228" s="35"/>
      <c r="X228" s="35"/>
      <c r="Y228" s="35"/>
      <c r="Z228" s="35"/>
      <c r="AA228" s="35"/>
    </row>
    <row r="229" spans="1:27" ht="15">
      <c r="A229" s="65" t="s">
        <v>204</v>
      </c>
      <c r="B229" s="65" t="s">
        <v>205</v>
      </c>
      <c r="C229" s="66" t="s">
        <v>1612</v>
      </c>
      <c r="D229" s="67">
        <v>5</v>
      </c>
      <c r="E229" s="68"/>
      <c r="F229" s="69">
        <v>25</v>
      </c>
      <c r="G229" s="66"/>
      <c r="H229" s="70"/>
      <c r="I229" s="71"/>
      <c r="J229" s="71"/>
      <c r="K229" s="35" t="s">
        <v>66</v>
      </c>
      <c r="L229" s="79">
        <v>229</v>
      </c>
      <c r="M229" s="79"/>
      <c r="N229" s="73"/>
      <c r="O229" s="81" t="s">
        <v>377</v>
      </c>
      <c r="P229">
        <v>1</v>
      </c>
      <c r="Q229" s="80" t="str">
        <f>REPLACE(INDEX(GroupVertices[Group],MATCH(Edges[[#This Row],[Vertex 1]],GroupVertices[Vertex],0)),1,1,"")</f>
        <v>1</v>
      </c>
      <c r="R229" s="80" t="str">
        <f>REPLACE(INDEX(GroupVertices[Group],MATCH(Edges[[#This Row],[Vertex 2]],GroupVertices[Vertex],0)),1,1,"")</f>
        <v>1</v>
      </c>
      <c r="S229" s="35"/>
      <c r="T229" s="35"/>
      <c r="U229" s="35"/>
      <c r="V229" s="35"/>
      <c r="W229" s="35"/>
      <c r="X229" s="35"/>
      <c r="Y229" s="35"/>
      <c r="Z229" s="35"/>
      <c r="AA229" s="35"/>
    </row>
    <row r="230" spans="1:27" ht="15">
      <c r="A230" s="65" t="s">
        <v>226</v>
      </c>
      <c r="B230" s="65" t="s">
        <v>205</v>
      </c>
      <c r="C230" s="66" t="s">
        <v>1612</v>
      </c>
      <c r="D230" s="67">
        <v>5</v>
      </c>
      <c r="E230" s="68"/>
      <c r="F230" s="69">
        <v>25</v>
      </c>
      <c r="G230" s="66"/>
      <c r="H230" s="70"/>
      <c r="I230" s="71"/>
      <c r="J230" s="71"/>
      <c r="K230" s="35" t="s">
        <v>66</v>
      </c>
      <c r="L230" s="79">
        <v>230</v>
      </c>
      <c r="M230" s="79"/>
      <c r="N230" s="73"/>
      <c r="O230" s="81" t="s">
        <v>377</v>
      </c>
      <c r="P230">
        <v>1</v>
      </c>
      <c r="Q230" s="80" t="str">
        <f>REPLACE(INDEX(GroupVertices[Group],MATCH(Edges[[#This Row],[Vertex 1]],GroupVertices[Vertex],0)),1,1,"")</f>
        <v>8</v>
      </c>
      <c r="R230" s="80" t="str">
        <f>REPLACE(INDEX(GroupVertices[Group],MATCH(Edges[[#This Row],[Vertex 2]],GroupVertices[Vertex],0)),1,1,"")</f>
        <v>1</v>
      </c>
      <c r="S230" s="35"/>
      <c r="T230" s="35"/>
      <c r="U230" s="35"/>
      <c r="V230" s="35"/>
      <c r="W230" s="35"/>
      <c r="X230" s="35"/>
      <c r="Y230" s="35"/>
      <c r="Z230" s="35"/>
      <c r="AA230" s="35"/>
    </row>
    <row r="231" spans="1:27" ht="15">
      <c r="A231" s="65" t="s">
        <v>222</v>
      </c>
      <c r="B231" s="65" t="s">
        <v>205</v>
      </c>
      <c r="C231" s="66" t="s">
        <v>1612</v>
      </c>
      <c r="D231" s="67">
        <v>5</v>
      </c>
      <c r="E231" s="68"/>
      <c r="F231" s="69">
        <v>25</v>
      </c>
      <c r="G231" s="66"/>
      <c r="H231" s="70"/>
      <c r="I231" s="71"/>
      <c r="J231" s="71"/>
      <c r="K231" s="35" t="s">
        <v>65</v>
      </c>
      <c r="L231" s="79">
        <v>231</v>
      </c>
      <c r="M231" s="79"/>
      <c r="N231" s="73"/>
      <c r="O231" s="81" t="s">
        <v>377</v>
      </c>
      <c r="P231">
        <v>1</v>
      </c>
      <c r="Q231" s="80" t="str">
        <f>REPLACE(INDEX(GroupVertices[Group],MATCH(Edges[[#This Row],[Vertex 1]],GroupVertices[Vertex],0)),1,1,"")</f>
        <v>1</v>
      </c>
      <c r="R231" s="80" t="str">
        <f>REPLACE(INDEX(GroupVertices[Group],MATCH(Edges[[#This Row],[Vertex 2]],GroupVertices[Vertex],0)),1,1,"")</f>
        <v>1</v>
      </c>
      <c r="S231" s="35"/>
      <c r="T231" s="35"/>
      <c r="U231" s="35"/>
      <c r="V231" s="35"/>
      <c r="W231" s="35"/>
      <c r="X231" s="35"/>
      <c r="Y231" s="35"/>
      <c r="Z231" s="35"/>
      <c r="AA231" s="35"/>
    </row>
    <row r="232" spans="1:27" ht="15">
      <c r="A232" s="65" t="s">
        <v>196</v>
      </c>
      <c r="B232" s="65" t="s">
        <v>205</v>
      </c>
      <c r="C232" s="66" t="s">
        <v>1612</v>
      </c>
      <c r="D232" s="67">
        <v>5</v>
      </c>
      <c r="E232" s="68"/>
      <c r="F232" s="69">
        <v>25</v>
      </c>
      <c r="G232" s="66"/>
      <c r="H232" s="70"/>
      <c r="I232" s="71"/>
      <c r="J232" s="71"/>
      <c r="K232" s="35" t="s">
        <v>65</v>
      </c>
      <c r="L232" s="79">
        <v>232</v>
      </c>
      <c r="M232" s="79"/>
      <c r="N232" s="73"/>
      <c r="O232" s="81" t="s">
        <v>379</v>
      </c>
      <c r="P232">
        <v>1</v>
      </c>
      <c r="Q232" s="80" t="str">
        <f>REPLACE(INDEX(GroupVertices[Group],MATCH(Edges[[#This Row],[Vertex 1]],GroupVertices[Vertex],0)),1,1,"")</f>
        <v>1</v>
      </c>
      <c r="R232" s="80" t="str">
        <f>REPLACE(INDEX(GroupVertices[Group],MATCH(Edges[[#This Row],[Vertex 2]],GroupVertices[Vertex],0)),1,1,"")</f>
        <v>1</v>
      </c>
      <c r="S232" s="35"/>
      <c r="T232" s="35"/>
      <c r="U232" s="35"/>
      <c r="V232" s="35"/>
      <c r="W232" s="35"/>
      <c r="X232" s="35"/>
      <c r="Y232" s="35"/>
      <c r="Z232" s="35"/>
      <c r="AA232" s="35"/>
    </row>
    <row r="233" spans="1:27" ht="15">
      <c r="A233" s="65" t="s">
        <v>201</v>
      </c>
      <c r="B233" s="65" t="s">
        <v>205</v>
      </c>
      <c r="C233" s="66" t="s">
        <v>1612</v>
      </c>
      <c r="D233" s="67">
        <v>5</v>
      </c>
      <c r="E233" s="68"/>
      <c r="F233" s="69">
        <v>25</v>
      </c>
      <c r="G233" s="66"/>
      <c r="H233" s="70"/>
      <c r="I233" s="71"/>
      <c r="J233" s="71"/>
      <c r="K233" s="35" t="s">
        <v>65</v>
      </c>
      <c r="L233" s="79">
        <v>233</v>
      </c>
      <c r="M233" s="79"/>
      <c r="N233" s="73"/>
      <c r="O233" s="81" t="s">
        <v>379</v>
      </c>
      <c r="P233">
        <v>1</v>
      </c>
      <c r="Q233" s="80" t="str">
        <f>REPLACE(INDEX(GroupVertices[Group],MATCH(Edges[[#This Row],[Vertex 1]],GroupVertices[Vertex],0)),1,1,"")</f>
        <v>5</v>
      </c>
      <c r="R233" s="80" t="str">
        <f>REPLACE(INDEX(GroupVertices[Group],MATCH(Edges[[#This Row],[Vertex 2]],GroupVertices[Vertex],0)),1,1,"")</f>
        <v>1</v>
      </c>
      <c r="S233" s="35"/>
      <c r="T233" s="35"/>
      <c r="U233" s="35"/>
      <c r="V233" s="35"/>
      <c r="W233" s="35"/>
      <c r="X233" s="35"/>
      <c r="Y233" s="35"/>
      <c r="Z233" s="35"/>
      <c r="AA233" s="35"/>
    </row>
    <row r="234" spans="1:27" ht="15">
      <c r="A234" s="65" t="s">
        <v>206</v>
      </c>
      <c r="B234" s="65" t="s">
        <v>205</v>
      </c>
      <c r="C234" s="66" t="s">
        <v>1612</v>
      </c>
      <c r="D234" s="67">
        <v>5</v>
      </c>
      <c r="E234" s="68"/>
      <c r="F234" s="69">
        <v>25</v>
      </c>
      <c r="G234" s="66"/>
      <c r="H234" s="70"/>
      <c r="I234" s="71"/>
      <c r="J234" s="71"/>
      <c r="K234" s="35" t="s">
        <v>66</v>
      </c>
      <c r="L234" s="79">
        <v>234</v>
      </c>
      <c r="M234" s="79"/>
      <c r="N234" s="73"/>
      <c r="O234" s="81" t="s">
        <v>379</v>
      </c>
      <c r="P234">
        <v>1</v>
      </c>
      <c r="Q234" s="80" t="str">
        <f>REPLACE(INDEX(GroupVertices[Group],MATCH(Edges[[#This Row],[Vertex 1]],GroupVertices[Vertex],0)),1,1,"")</f>
        <v>1</v>
      </c>
      <c r="R234" s="80" t="str">
        <f>REPLACE(INDEX(GroupVertices[Group],MATCH(Edges[[#This Row],[Vertex 2]],GroupVertices[Vertex],0)),1,1,"")</f>
        <v>1</v>
      </c>
      <c r="S234" s="35"/>
      <c r="T234" s="35"/>
      <c r="U234" s="35"/>
      <c r="V234" s="35"/>
      <c r="W234" s="35"/>
      <c r="X234" s="35"/>
      <c r="Y234" s="35"/>
      <c r="Z234" s="35"/>
      <c r="AA234" s="35"/>
    </row>
    <row r="235" spans="1:27" ht="15">
      <c r="A235" s="65" t="s">
        <v>203</v>
      </c>
      <c r="B235" s="65" t="s">
        <v>205</v>
      </c>
      <c r="C235" s="66" t="s">
        <v>1612</v>
      </c>
      <c r="D235" s="67">
        <v>5</v>
      </c>
      <c r="E235" s="68"/>
      <c r="F235" s="69">
        <v>25</v>
      </c>
      <c r="G235" s="66"/>
      <c r="H235" s="70"/>
      <c r="I235" s="71"/>
      <c r="J235" s="71"/>
      <c r="K235" s="35" t="s">
        <v>66</v>
      </c>
      <c r="L235" s="79">
        <v>235</v>
      </c>
      <c r="M235" s="79"/>
      <c r="N235" s="73"/>
      <c r="O235" s="81" t="s">
        <v>379</v>
      </c>
      <c r="P235">
        <v>1</v>
      </c>
      <c r="Q235" s="80" t="str">
        <f>REPLACE(INDEX(GroupVertices[Group],MATCH(Edges[[#This Row],[Vertex 1]],GroupVertices[Vertex],0)),1,1,"")</f>
        <v>1</v>
      </c>
      <c r="R235" s="80" t="str">
        <f>REPLACE(INDEX(GroupVertices[Group],MATCH(Edges[[#This Row],[Vertex 2]],GroupVertices[Vertex],0)),1,1,"")</f>
        <v>1</v>
      </c>
      <c r="S235" s="35"/>
      <c r="T235" s="35"/>
      <c r="U235" s="35"/>
      <c r="V235" s="35"/>
      <c r="W235" s="35"/>
      <c r="X235" s="35"/>
      <c r="Y235" s="35"/>
      <c r="Z235" s="35"/>
      <c r="AA235" s="35"/>
    </row>
    <row r="236" spans="1:27" ht="15">
      <c r="A236" s="65" t="s">
        <v>204</v>
      </c>
      <c r="B236" s="65" t="s">
        <v>205</v>
      </c>
      <c r="C236" s="66" t="s">
        <v>1612</v>
      </c>
      <c r="D236" s="67">
        <v>5</v>
      </c>
      <c r="E236" s="68"/>
      <c r="F236" s="69">
        <v>25</v>
      </c>
      <c r="G236" s="66"/>
      <c r="H236" s="70"/>
      <c r="I236" s="71"/>
      <c r="J236" s="71"/>
      <c r="K236" s="35" t="s">
        <v>66</v>
      </c>
      <c r="L236" s="79">
        <v>236</v>
      </c>
      <c r="M236" s="79"/>
      <c r="N236" s="73"/>
      <c r="O236" s="81" t="s">
        <v>379</v>
      </c>
      <c r="P236">
        <v>1</v>
      </c>
      <c r="Q236" s="80" t="str">
        <f>REPLACE(INDEX(GroupVertices[Group],MATCH(Edges[[#This Row],[Vertex 1]],GroupVertices[Vertex],0)),1,1,"")</f>
        <v>1</v>
      </c>
      <c r="R236" s="80" t="str">
        <f>REPLACE(INDEX(GroupVertices[Group],MATCH(Edges[[#This Row],[Vertex 2]],GroupVertices[Vertex],0)),1,1,"")</f>
        <v>1</v>
      </c>
      <c r="S236" s="35"/>
      <c r="T236" s="35"/>
      <c r="U236" s="35"/>
      <c r="V236" s="35"/>
      <c r="W236" s="35"/>
      <c r="X236" s="35"/>
      <c r="Y236" s="35"/>
      <c r="Z236" s="35"/>
      <c r="AA236" s="35"/>
    </row>
    <row r="237" spans="1:27" ht="15">
      <c r="A237" s="65" t="s">
        <v>212</v>
      </c>
      <c r="B237" s="65" t="s">
        <v>205</v>
      </c>
      <c r="C237" s="66" t="s">
        <v>1612</v>
      </c>
      <c r="D237" s="67">
        <v>5</v>
      </c>
      <c r="E237" s="68"/>
      <c r="F237" s="69">
        <v>25</v>
      </c>
      <c r="G237" s="66"/>
      <c r="H237" s="70"/>
      <c r="I237" s="71"/>
      <c r="J237" s="71"/>
      <c r="K237" s="35" t="s">
        <v>65</v>
      </c>
      <c r="L237" s="79">
        <v>237</v>
      </c>
      <c r="M237" s="79"/>
      <c r="N237" s="73"/>
      <c r="O237" s="81" t="s">
        <v>379</v>
      </c>
      <c r="P237">
        <v>1</v>
      </c>
      <c r="Q237" s="80" t="str">
        <f>REPLACE(INDEX(GroupVertices[Group],MATCH(Edges[[#This Row],[Vertex 1]],GroupVertices[Vertex],0)),1,1,"")</f>
        <v>1</v>
      </c>
      <c r="R237" s="80" t="str">
        <f>REPLACE(INDEX(GroupVertices[Group],MATCH(Edges[[#This Row],[Vertex 2]],GroupVertices[Vertex],0)),1,1,"")</f>
        <v>1</v>
      </c>
      <c r="S237" s="35"/>
      <c r="T237" s="35"/>
      <c r="U237" s="35"/>
      <c r="V237" s="35"/>
      <c r="W237" s="35"/>
      <c r="X237" s="35"/>
      <c r="Y237" s="35"/>
      <c r="Z237" s="35"/>
      <c r="AA237" s="35"/>
    </row>
    <row r="238" spans="1:27" ht="15">
      <c r="A238" s="65" t="s">
        <v>226</v>
      </c>
      <c r="B238" s="65" t="s">
        <v>205</v>
      </c>
      <c r="C238" s="66" t="s">
        <v>1612</v>
      </c>
      <c r="D238" s="67">
        <v>5</v>
      </c>
      <c r="E238" s="68"/>
      <c r="F238" s="69">
        <v>25</v>
      </c>
      <c r="G238" s="66"/>
      <c r="H238" s="70"/>
      <c r="I238" s="71"/>
      <c r="J238" s="71"/>
      <c r="K238" s="35" t="s">
        <v>66</v>
      </c>
      <c r="L238" s="79">
        <v>238</v>
      </c>
      <c r="M238" s="79"/>
      <c r="N238" s="73"/>
      <c r="O238" s="81" t="s">
        <v>379</v>
      </c>
      <c r="P238">
        <v>1</v>
      </c>
      <c r="Q238" s="80" t="str">
        <f>REPLACE(INDEX(GroupVertices[Group],MATCH(Edges[[#This Row],[Vertex 1]],GroupVertices[Vertex],0)),1,1,"")</f>
        <v>8</v>
      </c>
      <c r="R238" s="80" t="str">
        <f>REPLACE(INDEX(GroupVertices[Group],MATCH(Edges[[#This Row],[Vertex 2]],GroupVertices[Vertex],0)),1,1,"")</f>
        <v>1</v>
      </c>
      <c r="S238" s="35"/>
      <c r="T238" s="35"/>
      <c r="U238" s="35"/>
      <c r="V238" s="35"/>
      <c r="W238" s="35"/>
      <c r="X238" s="35"/>
      <c r="Y238" s="35"/>
      <c r="Z238" s="35"/>
      <c r="AA238" s="35"/>
    </row>
    <row r="239" spans="1:27" ht="15">
      <c r="A239" s="65" t="s">
        <v>214</v>
      </c>
      <c r="B239" s="65" t="s">
        <v>205</v>
      </c>
      <c r="C239" s="66" t="s">
        <v>1612</v>
      </c>
      <c r="D239" s="67">
        <v>5</v>
      </c>
      <c r="E239" s="68"/>
      <c r="F239" s="69">
        <v>25</v>
      </c>
      <c r="G239" s="66"/>
      <c r="H239" s="70"/>
      <c r="I239" s="71"/>
      <c r="J239" s="71"/>
      <c r="K239" s="35" t="s">
        <v>65</v>
      </c>
      <c r="L239" s="79">
        <v>239</v>
      </c>
      <c r="M239" s="79"/>
      <c r="N239" s="73"/>
      <c r="O239" s="81" t="s">
        <v>379</v>
      </c>
      <c r="P239">
        <v>1</v>
      </c>
      <c r="Q239" s="80" t="str">
        <f>REPLACE(INDEX(GroupVertices[Group],MATCH(Edges[[#This Row],[Vertex 1]],GroupVertices[Vertex],0)),1,1,"")</f>
        <v>1</v>
      </c>
      <c r="R239" s="80" t="str">
        <f>REPLACE(INDEX(GroupVertices[Group],MATCH(Edges[[#This Row],[Vertex 2]],GroupVertices[Vertex],0)),1,1,"")</f>
        <v>1</v>
      </c>
      <c r="S239" s="35"/>
      <c r="T239" s="35"/>
      <c r="U239" s="35"/>
      <c r="V239" s="35"/>
      <c r="W239" s="35"/>
      <c r="X239" s="35"/>
      <c r="Y239" s="35"/>
      <c r="Z239" s="35"/>
      <c r="AA239" s="35"/>
    </row>
    <row r="240" spans="1:27" ht="15">
      <c r="A240" s="65" t="s">
        <v>227</v>
      </c>
      <c r="B240" s="65" t="s">
        <v>205</v>
      </c>
      <c r="C240" s="66" t="s">
        <v>1612</v>
      </c>
      <c r="D240" s="67">
        <v>5</v>
      </c>
      <c r="E240" s="68"/>
      <c r="F240" s="69">
        <v>25</v>
      </c>
      <c r="G240" s="66"/>
      <c r="H240" s="70"/>
      <c r="I240" s="71"/>
      <c r="J240" s="71"/>
      <c r="K240" s="35" t="s">
        <v>65</v>
      </c>
      <c r="L240" s="79">
        <v>240</v>
      </c>
      <c r="M240" s="79"/>
      <c r="N240" s="73"/>
      <c r="O240" s="81" t="s">
        <v>379</v>
      </c>
      <c r="P240">
        <v>1</v>
      </c>
      <c r="Q240" s="80" t="str">
        <f>REPLACE(INDEX(GroupVertices[Group],MATCH(Edges[[#This Row],[Vertex 1]],GroupVertices[Vertex],0)),1,1,"")</f>
        <v>1</v>
      </c>
      <c r="R240" s="80" t="str">
        <f>REPLACE(INDEX(GroupVertices[Group],MATCH(Edges[[#This Row],[Vertex 2]],GroupVertices[Vertex],0)),1,1,"")</f>
        <v>1</v>
      </c>
      <c r="S240" s="35"/>
      <c r="T240" s="35"/>
      <c r="U240" s="35"/>
      <c r="V240" s="35"/>
      <c r="W240" s="35"/>
      <c r="X240" s="35"/>
      <c r="Y240" s="35"/>
      <c r="Z240" s="35"/>
      <c r="AA240" s="35"/>
    </row>
    <row r="241" spans="1:27" ht="15">
      <c r="A241" s="65" t="s">
        <v>215</v>
      </c>
      <c r="B241" s="65" t="s">
        <v>205</v>
      </c>
      <c r="C241" s="66" t="s">
        <v>1612</v>
      </c>
      <c r="D241" s="67">
        <v>5</v>
      </c>
      <c r="E241" s="68"/>
      <c r="F241" s="69">
        <v>25</v>
      </c>
      <c r="G241" s="66"/>
      <c r="H241" s="70"/>
      <c r="I241" s="71"/>
      <c r="J241" s="71"/>
      <c r="K241" s="35" t="s">
        <v>65</v>
      </c>
      <c r="L241" s="79">
        <v>241</v>
      </c>
      <c r="M241" s="79"/>
      <c r="N241" s="73"/>
      <c r="O241" s="81" t="s">
        <v>379</v>
      </c>
      <c r="P241">
        <v>1</v>
      </c>
      <c r="Q241" s="80" t="str">
        <f>REPLACE(INDEX(GroupVertices[Group],MATCH(Edges[[#This Row],[Vertex 1]],GroupVertices[Vertex],0)),1,1,"")</f>
        <v>1</v>
      </c>
      <c r="R241" s="80" t="str">
        <f>REPLACE(INDEX(GroupVertices[Group],MATCH(Edges[[#This Row],[Vertex 2]],GroupVertices[Vertex],0)),1,1,"")</f>
        <v>1</v>
      </c>
      <c r="S241" s="35"/>
      <c r="T241" s="35"/>
      <c r="U241" s="35"/>
      <c r="V241" s="35"/>
      <c r="W241" s="35"/>
      <c r="X241" s="35"/>
      <c r="Y241" s="35"/>
      <c r="Z241" s="35"/>
      <c r="AA241" s="35"/>
    </row>
    <row r="242" spans="1:27" ht="15">
      <c r="A242" s="65" t="s">
        <v>228</v>
      </c>
      <c r="B242" s="65" t="s">
        <v>205</v>
      </c>
      <c r="C242" s="66" t="s">
        <v>1612</v>
      </c>
      <c r="D242" s="67">
        <v>5</v>
      </c>
      <c r="E242" s="68"/>
      <c r="F242" s="69">
        <v>25</v>
      </c>
      <c r="G242" s="66"/>
      <c r="H242" s="70"/>
      <c r="I242" s="71"/>
      <c r="J242" s="71"/>
      <c r="K242" s="35" t="s">
        <v>65</v>
      </c>
      <c r="L242" s="79">
        <v>242</v>
      </c>
      <c r="M242" s="79"/>
      <c r="N242" s="73"/>
      <c r="O242" s="81" t="s">
        <v>379</v>
      </c>
      <c r="P242">
        <v>1</v>
      </c>
      <c r="Q242" s="80" t="str">
        <f>REPLACE(INDEX(GroupVertices[Group],MATCH(Edges[[#This Row],[Vertex 1]],GroupVertices[Vertex],0)),1,1,"")</f>
        <v>1</v>
      </c>
      <c r="R242" s="80" t="str">
        <f>REPLACE(INDEX(GroupVertices[Group],MATCH(Edges[[#This Row],[Vertex 2]],GroupVertices[Vertex],0)),1,1,"")</f>
        <v>1</v>
      </c>
      <c r="S242" s="35"/>
      <c r="T242" s="35"/>
      <c r="U242" s="35"/>
      <c r="V242" s="35"/>
      <c r="W242" s="35"/>
      <c r="X242" s="35"/>
      <c r="Y242" s="35"/>
      <c r="Z242" s="35"/>
      <c r="AA242" s="35"/>
    </row>
    <row r="243" spans="1:27" ht="15">
      <c r="A243" s="65" t="s">
        <v>231</v>
      </c>
      <c r="B243" s="65" t="s">
        <v>205</v>
      </c>
      <c r="C243" s="66" t="s">
        <v>1612</v>
      </c>
      <c r="D243" s="67">
        <v>5</v>
      </c>
      <c r="E243" s="68"/>
      <c r="F243" s="69">
        <v>25</v>
      </c>
      <c r="G243" s="66"/>
      <c r="H243" s="70"/>
      <c r="I243" s="71"/>
      <c r="J243" s="71"/>
      <c r="K243" s="35" t="s">
        <v>66</v>
      </c>
      <c r="L243" s="79">
        <v>243</v>
      </c>
      <c r="M243" s="79"/>
      <c r="N243" s="73"/>
      <c r="O243" s="81" t="s">
        <v>379</v>
      </c>
      <c r="P243">
        <v>1</v>
      </c>
      <c r="Q243" s="80" t="str">
        <f>REPLACE(INDEX(GroupVertices[Group],MATCH(Edges[[#This Row],[Vertex 1]],GroupVertices[Vertex],0)),1,1,"")</f>
        <v>1</v>
      </c>
      <c r="R243" s="80" t="str">
        <f>REPLACE(INDEX(GroupVertices[Group],MATCH(Edges[[#This Row],[Vertex 2]],GroupVertices[Vertex],0)),1,1,"")</f>
        <v>1</v>
      </c>
      <c r="S243" s="35"/>
      <c r="T243" s="35"/>
      <c r="U243" s="35"/>
      <c r="V243" s="35"/>
      <c r="W243" s="35"/>
      <c r="X243" s="35"/>
      <c r="Y243" s="35"/>
      <c r="Z243" s="35"/>
      <c r="AA243" s="35"/>
    </row>
    <row r="244" spans="1:27" ht="15">
      <c r="A244" s="65" t="s">
        <v>232</v>
      </c>
      <c r="B244" s="65" t="s">
        <v>205</v>
      </c>
      <c r="C244" s="66" t="s">
        <v>1612</v>
      </c>
      <c r="D244" s="67">
        <v>5</v>
      </c>
      <c r="E244" s="68"/>
      <c r="F244" s="69">
        <v>25</v>
      </c>
      <c r="G244" s="66"/>
      <c r="H244" s="70"/>
      <c r="I244" s="71"/>
      <c r="J244" s="71"/>
      <c r="K244" s="35" t="s">
        <v>65</v>
      </c>
      <c r="L244" s="79">
        <v>244</v>
      </c>
      <c r="M244" s="79"/>
      <c r="N244" s="73"/>
      <c r="O244" s="81" t="s">
        <v>379</v>
      </c>
      <c r="P244">
        <v>1</v>
      </c>
      <c r="Q244" s="80" t="str">
        <f>REPLACE(INDEX(GroupVertices[Group],MATCH(Edges[[#This Row],[Vertex 1]],GroupVertices[Vertex],0)),1,1,"")</f>
        <v>1</v>
      </c>
      <c r="R244" s="80" t="str">
        <f>REPLACE(INDEX(GroupVertices[Group],MATCH(Edges[[#This Row],[Vertex 2]],GroupVertices[Vertex],0)),1,1,"")</f>
        <v>1</v>
      </c>
      <c r="S244" s="35"/>
      <c r="T244" s="35"/>
      <c r="U244" s="35"/>
      <c r="V244" s="35"/>
      <c r="W244" s="35"/>
      <c r="X244" s="35"/>
      <c r="Y244" s="35"/>
      <c r="Z244" s="35"/>
      <c r="AA244" s="35"/>
    </row>
    <row r="245" spans="1:27" ht="15">
      <c r="A245" s="65" t="s">
        <v>219</v>
      </c>
      <c r="B245" s="65" t="s">
        <v>205</v>
      </c>
      <c r="C245" s="66" t="s">
        <v>1612</v>
      </c>
      <c r="D245" s="67">
        <v>5</v>
      </c>
      <c r="E245" s="68"/>
      <c r="F245" s="69">
        <v>25</v>
      </c>
      <c r="G245" s="66"/>
      <c r="H245" s="70"/>
      <c r="I245" s="71"/>
      <c r="J245" s="71"/>
      <c r="K245" s="35" t="s">
        <v>65</v>
      </c>
      <c r="L245" s="79">
        <v>245</v>
      </c>
      <c r="M245" s="79"/>
      <c r="N245" s="73"/>
      <c r="O245" s="81" t="s">
        <v>379</v>
      </c>
      <c r="P245">
        <v>1</v>
      </c>
      <c r="Q245" s="80" t="str">
        <f>REPLACE(INDEX(GroupVertices[Group],MATCH(Edges[[#This Row],[Vertex 1]],GroupVertices[Vertex],0)),1,1,"")</f>
        <v>1</v>
      </c>
      <c r="R245" s="80" t="str">
        <f>REPLACE(INDEX(GroupVertices[Group],MATCH(Edges[[#This Row],[Vertex 2]],GroupVertices[Vertex],0)),1,1,"")</f>
        <v>1</v>
      </c>
      <c r="S245" s="35"/>
      <c r="T245" s="35"/>
      <c r="U245" s="35"/>
      <c r="V245" s="35"/>
      <c r="W245" s="35"/>
      <c r="X245" s="35"/>
      <c r="Y245" s="35"/>
      <c r="Z245" s="35"/>
      <c r="AA245" s="35"/>
    </row>
    <row r="246" spans="1:27" ht="15">
      <c r="A246" s="65" t="s">
        <v>221</v>
      </c>
      <c r="B246" s="65" t="s">
        <v>205</v>
      </c>
      <c r="C246" s="66" t="s">
        <v>1612</v>
      </c>
      <c r="D246" s="67">
        <v>5</v>
      </c>
      <c r="E246" s="68"/>
      <c r="F246" s="69">
        <v>25</v>
      </c>
      <c r="G246" s="66"/>
      <c r="H246" s="70"/>
      <c r="I246" s="71"/>
      <c r="J246" s="71"/>
      <c r="K246" s="35" t="s">
        <v>66</v>
      </c>
      <c r="L246" s="79">
        <v>246</v>
      </c>
      <c r="M246" s="79"/>
      <c r="N246" s="73"/>
      <c r="O246" s="81" t="s">
        <v>379</v>
      </c>
      <c r="P246">
        <v>1</v>
      </c>
      <c r="Q246" s="80" t="str">
        <f>REPLACE(INDEX(GroupVertices[Group],MATCH(Edges[[#This Row],[Vertex 1]],GroupVertices[Vertex],0)),1,1,"")</f>
        <v>1</v>
      </c>
      <c r="R246" s="80" t="str">
        <f>REPLACE(INDEX(GroupVertices[Group],MATCH(Edges[[#This Row],[Vertex 2]],GroupVertices[Vertex],0)),1,1,"")</f>
        <v>1</v>
      </c>
      <c r="S246" s="35"/>
      <c r="T246" s="35"/>
      <c r="U246" s="35"/>
      <c r="V246" s="35"/>
      <c r="W246" s="35"/>
      <c r="X246" s="35"/>
      <c r="Y246" s="35"/>
      <c r="Z246" s="35"/>
      <c r="AA246" s="35"/>
    </row>
    <row r="247" spans="1:27" ht="15">
      <c r="A247" s="65" t="s">
        <v>222</v>
      </c>
      <c r="B247" s="65" t="s">
        <v>205</v>
      </c>
      <c r="C247" s="66" t="s">
        <v>1612</v>
      </c>
      <c r="D247" s="67">
        <v>5</v>
      </c>
      <c r="E247" s="68"/>
      <c r="F247" s="69">
        <v>25</v>
      </c>
      <c r="G247" s="66"/>
      <c r="H247" s="70"/>
      <c r="I247" s="71"/>
      <c r="J247" s="71"/>
      <c r="K247" s="35" t="s">
        <v>65</v>
      </c>
      <c r="L247" s="79">
        <v>247</v>
      </c>
      <c r="M247" s="79"/>
      <c r="N247" s="73"/>
      <c r="O247" s="81" t="s">
        <v>379</v>
      </c>
      <c r="P247">
        <v>1</v>
      </c>
      <c r="Q247" s="80" t="str">
        <f>REPLACE(INDEX(GroupVertices[Group],MATCH(Edges[[#This Row],[Vertex 1]],GroupVertices[Vertex],0)),1,1,"")</f>
        <v>1</v>
      </c>
      <c r="R247" s="80" t="str">
        <f>REPLACE(INDEX(GroupVertices[Group],MATCH(Edges[[#This Row],[Vertex 2]],GroupVertices[Vertex],0)),1,1,"")</f>
        <v>1</v>
      </c>
      <c r="S247" s="35"/>
      <c r="T247" s="35"/>
      <c r="U247" s="35"/>
      <c r="V247" s="35"/>
      <c r="W247" s="35"/>
      <c r="X247" s="35"/>
      <c r="Y247" s="35"/>
      <c r="Z247" s="35"/>
      <c r="AA247" s="35"/>
    </row>
    <row r="248" spans="1:27" ht="15">
      <c r="A248" s="65" t="s">
        <v>223</v>
      </c>
      <c r="B248" s="65" t="s">
        <v>205</v>
      </c>
      <c r="C248" s="66" t="s">
        <v>1612</v>
      </c>
      <c r="D248" s="67">
        <v>5</v>
      </c>
      <c r="E248" s="68"/>
      <c r="F248" s="69">
        <v>25</v>
      </c>
      <c r="G248" s="66"/>
      <c r="H248" s="70"/>
      <c r="I248" s="71"/>
      <c r="J248" s="71"/>
      <c r="K248" s="35" t="s">
        <v>65</v>
      </c>
      <c r="L248" s="79">
        <v>248</v>
      </c>
      <c r="M248" s="79"/>
      <c r="N248" s="73"/>
      <c r="O248" s="81" t="s">
        <v>379</v>
      </c>
      <c r="P248">
        <v>1</v>
      </c>
      <c r="Q248" s="80" t="str">
        <f>REPLACE(INDEX(GroupVertices[Group],MATCH(Edges[[#This Row],[Vertex 1]],GroupVertices[Vertex],0)),1,1,"")</f>
        <v>1</v>
      </c>
      <c r="R248" s="80" t="str">
        <f>REPLACE(INDEX(GroupVertices[Group],MATCH(Edges[[#This Row],[Vertex 2]],GroupVertices[Vertex],0)),1,1,"")</f>
        <v>1</v>
      </c>
      <c r="S248" s="35"/>
      <c r="T248" s="35"/>
      <c r="U248" s="35"/>
      <c r="V248" s="35"/>
      <c r="W248" s="35"/>
      <c r="X248" s="35"/>
      <c r="Y248" s="35"/>
      <c r="Z248" s="35"/>
      <c r="AA248" s="35"/>
    </row>
    <row r="249" spans="1:27" ht="15">
      <c r="A249" s="65" t="s">
        <v>229</v>
      </c>
      <c r="B249" s="65" t="s">
        <v>205</v>
      </c>
      <c r="C249" s="66" t="s">
        <v>1612</v>
      </c>
      <c r="D249" s="67">
        <v>5</v>
      </c>
      <c r="E249" s="68"/>
      <c r="F249" s="69">
        <v>25</v>
      </c>
      <c r="G249" s="66"/>
      <c r="H249" s="70"/>
      <c r="I249" s="71"/>
      <c r="J249" s="71"/>
      <c r="K249" s="35" t="s">
        <v>66</v>
      </c>
      <c r="L249" s="79">
        <v>249</v>
      </c>
      <c r="M249" s="79"/>
      <c r="N249" s="73"/>
      <c r="O249" s="81" t="s">
        <v>379</v>
      </c>
      <c r="P249">
        <v>1</v>
      </c>
      <c r="Q249" s="80" t="str">
        <f>REPLACE(INDEX(GroupVertices[Group],MATCH(Edges[[#This Row],[Vertex 1]],GroupVertices[Vertex],0)),1,1,"")</f>
        <v>1</v>
      </c>
      <c r="R249" s="80" t="str">
        <f>REPLACE(INDEX(GroupVertices[Group],MATCH(Edges[[#This Row],[Vertex 2]],GroupVertices[Vertex],0)),1,1,"")</f>
        <v>1</v>
      </c>
      <c r="S249" s="35"/>
      <c r="T249" s="35"/>
      <c r="U249" s="35"/>
      <c r="V249" s="35"/>
      <c r="W249" s="35"/>
      <c r="X249" s="35"/>
      <c r="Y249" s="35"/>
      <c r="Z249" s="35"/>
      <c r="AA249" s="35"/>
    </row>
    <row r="250" spans="1:27" ht="15">
      <c r="A250" s="65" t="s">
        <v>230</v>
      </c>
      <c r="B250" s="65" t="s">
        <v>205</v>
      </c>
      <c r="C250" s="66" t="s">
        <v>1612</v>
      </c>
      <c r="D250" s="67">
        <v>5</v>
      </c>
      <c r="E250" s="68"/>
      <c r="F250" s="69">
        <v>25</v>
      </c>
      <c r="G250" s="66"/>
      <c r="H250" s="70"/>
      <c r="I250" s="71"/>
      <c r="J250" s="71"/>
      <c r="K250" s="35" t="s">
        <v>66</v>
      </c>
      <c r="L250" s="79">
        <v>250</v>
      </c>
      <c r="M250" s="79"/>
      <c r="N250" s="73"/>
      <c r="O250" s="81" t="s">
        <v>379</v>
      </c>
      <c r="P250">
        <v>1</v>
      </c>
      <c r="Q250" s="80" t="str">
        <f>REPLACE(INDEX(GroupVertices[Group],MATCH(Edges[[#This Row],[Vertex 1]],GroupVertices[Vertex],0)),1,1,"")</f>
        <v>2</v>
      </c>
      <c r="R250" s="80" t="str">
        <f>REPLACE(INDEX(GroupVertices[Group],MATCH(Edges[[#This Row],[Vertex 2]],GroupVertices[Vertex],0)),1,1,"")</f>
        <v>1</v>
      </c>
      <c r="S250" s="35"/>
      <c r="T250" s="35"/>
      <c r="U250" s="35"/>
      <c r="V250" s="35"/>
      <c r="W250" s="35"/>
      <c r="X250" s="35"/>
      <c r="Y250" s="35"/>
      <c r="Z250" s="35"/>
      <c r="AA250" s="35"/>
    </row>
    <row r="251" spans="1:27" ht="15">
      <c r="A251" s="65" t="s">
        <v>224</v>
      </c>
      <c r="B251" s="65" t="s">
        <v>205</v>
      </c>
      <c r="C251" s="66" t="s">
        <v>1612</v>
      </c>
      <c r="D251" s="67">
        <v>5</v>
      </c>
      <c r="E251" s="68"/>
      <c r="F251" s="69">
        <v>25</v>
      </c>
      <c r="G251" s="66"/>
      <c r="H251" s="70"/>
      <c r="I251" s="71"/>
      <c r="J251" s="71"/>
      <c r="K251" s="35" t="s">
        <v>65</v>
      </c>
      <c r="L251" s="79">
        <v>251</v>
      </c>
      <c r="M251" s="79"/>
      <c r="N251" s="73"/>
      <c r="O251" s="81" t="s">
        <v>379</v>
      </c>
      <c r="P251">
        <v>1</v>
      </c>
      <c r="Q251" s="80" t="str">
        <f>REPLACE(INDEX(GroupVertices[Group],MATCH(Edges[[#This Row],[Vertex 1]],GroupVertices[Vertex],0)),1,1,"")</f>
        <v>1</v>
      </c>
      <c r="R251" s="80" t="str">
        <f>REPLACE(INDEX(GroupVertices[Group],MATCH(Edges[[#This Row],[Vertex 2]],GroupVertices[Vertex],0)),1,1,"")</f>
        <v>1</v>
      </c>
      <c r="S251" s="35"/>
      <c r="T251" s="35"/>
      <c r="U251" s="35"/>
      <c r="V251" s="35"/>
      <c r="W251" s="35"/>
      <c r="X251" s="35"/>
      <c r="Y251" s="35"/>
      <c r="Z251" s="35"/>
      <c r="AA251" s="35"/>
    </row>
    <row r="252" spans="1:27" ht="15">
      <c r="A252" s="65" t="s">
        <v>225</v>
      </c>
      <c r="B252" s="65" t="s">
        <v>205</v>
      </c>
      <c r="C252" s="66" t="s">
        <v>1612</v>
      </c>
      <c r="D252" s="67">
        <v>5</v>
      </c>
      <c r="E252" s="68"/>
      <c r="F252" s="69">
        <v>25</v>
      </c>
      <c r="G252" s="66"/>
      <c r="H252" s="70"/>
      <c r="I252" s="71"/>
      <c r="J252" s="71"/>
      <c r="K252" s="35" t="s">
        <v>65</v>
      </c>
      <c r="L252" s="79">
        <v>252</v>
      </c>
      <c r="M252" s="79"/>
      <c r="N252" s="73"/>
      <c r="O252" s="81" t="s">
        <v>379</v>
      </c>
      <c r="P252">
        <v>1</v>
      </c>
      <c r="Q252" s="80" t="str">
        <f>REPLACE(INDEX(GroupVertices[Group],MATCH(Edges[[#This Row],[Vertex 1]],GroupVertices[Vertex],0)),1,1,"")</f>
        <v>1</v>
      </c>
      <c r="R252" s="80" t="str">
        <f>REPLACE(INDEX(GroupVertices[Group],MATCH(Edges[[#This Row],[Vertex 2]],GroupVertices[Vertex],0)),1,1,"")</f>
        <v>1</v>
      </c>
      <c r="S252" s="35"/>
      <c r="T252" s="35"/>
      <c r="U252" s="35"/>
      <c r="V252" s="35"/>
      <c r="W252" s="35"/>
      <c r="X252" s="35"/>
      <c r="Y252" s="35"/>
      <c r="Z252" s="35"/>
      <c r="AA252" s="35"/>
    </row>
    <row r="253" spans="1:27" ht="15">
      <c r="A253" s="65" t="s">
        <v>226</v>
      </c>
      <c r="B253" s="65" t="s">
        <v>205</v>
      </c>
      <c r="C253" s="66" t="s">
        <v>1612</v>
      </c>
      <c r="D253" s="67">
        <v>5</v>
      </c>
      <c r="E253" s="68"/>
      <c r="F253" s="69">
        <v>25</v>
      </c>
      <c r="G253" s="66"/>
      <c r="H253" s="70"/>
      <c r="I253" s="71"/>
      <c r="J253" s="71"/>
      <c r="K253" s="35" t="s">
        <v>66</v>
      </c>
      <c r="L253" s="79">
        <v>253</v>
      </c>
      <c r="M253" s="79"/>
      <c r="N253" s="73"/>
      <c r="O253" s="81" t="s">
        <v>378</v>
      </c>
      <c r="P253">
        <v>1</v>
      </c>
      <c r="Q253" s="80" t="str">
        <f>REPLACE(INDEX(GroupVertices[Group],MATCH(Edges[[#This Row],[Vertex 1]],GroupVertices[Vertex],0)),1,1,"")</f>
        <v>8</v>
      </c>
      <c r="R253" s="80" t="str">
        <f>REPLACE(INDEX(GroupVertices[Group],MATCH(Edges[[#This Row],[Vertex 2]],GroupVertices[Vertex],0)),1,1,"")</f>
        <v>1</v>
      </c>
      <c r="S253" s="35"/>
      <c r="T253" s="35"/>
      <c r="U253" s="35"/>
      <c r="V253" s="35"/>
      <c r="W253" s="35"/>
      <c r="X253" s="35"/>
      <c r="Y253" s="35"/>
      <c r="Z253" s="35"/>
      <c r="AA253" s="35"/>
    </row>
    <row r="254" spans="1:27" ht="15">
      <c r="A254" s="65" t="s">
        <v>226</v>
      </c>
      <c r="B254" s="65" t="s">
        <v>367</v>
      </c>
      <c r="C254" s="66" t="s">
        <v>1612</v>
      </c>
      <c r="D254" s="67">
        <v>5</v>
      </c>
      <c r="E254" s="68"/>
      <c r="F254" s="69">
        <v>25</v>
      </c>
      <c r="G254" s="66"/>
      <c r="H254" s="70"/>
      <c r="I254" s="71"/>
      <c r="J254" s="71"/>
      <c r="K254" s="35" t="s">
        <v>65</v>
      </c>
      <c r="L254" s="79">
        <v>254</v>
      </c>
      <c r="M254" s="79"/>
      <c r="N254" s="73"/>
      <c r="O254" s="81" t="s">
        <v>377</v>
      </c>
      <c r="P254">
        <v>1</v>
      </c>
      <c r="Q254" s="80" t="str">
        <f>REPLACE(INDEX(GroupVertices[Group],MATCH(Edges[[#This Row],[Vertex 1]],GroupVertices[Vertex],0)),1,1,"")</f>
        <v>8</v>
      </c>
      <c r="R254" s="80" t="str">
        <f>REPLACE(INDEX(GroupVertices[Group],MATCH(Edges[[#This Row],[Vertex 2]],GroupVertices[Vertex],0)),1,1,"")</f>
        <v>8</v>
      </c>
      <c r="S254" s="35"/>
      <c r="T254" s="35"/>
      <c r="U254" s="35"/>
      <c r="V254" s="35"/>
      <c r="W254" s="35"/>
      <c r="X254" s="35"/>
      <c r="Y254" s="35"/>
      <c r="Z254" s="35"/>
      <c r="AA254" s="35"/>
    </row>
    <row r="255" spans="1:27" ht="15">
      <c r="A255" s="65" t="s">
        <v>226</v>
      </c>
      <c r="B255" s="65" t="s">
        <v>367</v>
      </c>
      <c r="C255" s="66" t="s">
        <v>1612</v>
      </c>
      <c r="D255" s="67">
        <v>5</v>
      </c>
      <c r="E255" s="68"/>
      <c r="F255" s="69">
        <v>25</v>
      </c>
      <c r="G255" s="66"/>
      <c r="H255" s="70"/>
      <c r="I255" s="71"/>
      <c r="J255" s="71"/>
      <c r="K255" s="35" t="s">
        <v>65</v>
      </c>
      <c r="L255" s="79">
        <v>255</v>
      </c>
      <c r="M255" s="79"/>
      <c r="N255" s="73"/>
      <c r="O255" s="81" t="s">
        <v>378</v>
      </c>
      <c r="P255">
        <v>1</v>
      </c>
      <c r="Q255" s="80" t="str">
        <f>REPLACE(INDEX(GroupVertices[Group],MATCH(Edges[[#This Row],[Vertex 1]],GroupVertices[Vertex],0)),1,1,"")</f>
        <v>8</v>
      </c>
      <c r="R255" s="80" t="str">
        <f>REPLACE(INDEX(GroupVertices[Group],MATCH(Edges[[#This Row],[Vertex 2]],GroupVertices[Vertex],0)),1,1,"")</f>
        <v>8</v>
      </c>
      <c r="S255" s="35"/>
      <c r="T255" s="35"/>
      <c r="U255" s="35"/>
      <c r="V255" s="35"/>
      <c r="W255" s="35"/>
      <c r="X255" s="35"/>
      <c r="Y255" s="35"/>
      <c r="Z255" s="35"/>
      <c r="AA255" s="35"/>
    </row>
    <row r="256" spans="1:27" ht="15">
      <c r="A256" s="65" t="s">
        <v>226</v>
      </c>
      <c r="B256" s="65" t="s">
        <v>368</v>
      </c>
      <c r="C256" s="66" t="s">
        <v>1612</v>
      </c>
      <c r="D256" s="67">
        <v>5</v>
      </c>
      <c r="E256" s="68"/>
      <c r="F256" s="69">
        <v>25</v>
      </c>
      <c r="G256" s="66"/>
      <c r="H256" s="70"/>
      <c r="I256" s="71"/>
      <c r="J256" s="71"/>
      <c r="K256" s="35" t="s">
        <v>65</v>
      </c>
      <c r="L256" s="79">
        <v>256</v>
      </c>
      <c r="M256" s="79"/>
      <c r="N256" s="73"/>
      <c r="O256" s="81" t="s">
        <v>377</v>
      </c>
      <c r="P256">
        <v>1</v>
      </c>
      <c r="Q256" s="80" t="str">
        <f>REPLACE(INDEX(GroupVertices[Group],MATCH(Edges[[#This Row],[Vertex 1]],GroupVertices[Vertex],0)),1,1,"")</f>
        <v>8</v>
      </c>
      <c r="R256" s="80" t="str">
        <f>REPLACE(INDEX(GroupVertices[Group],MATCH(Edges[[#This Row],[Vertex 2]],GroupVertices[Vertex],0)),1,1,"")</f>
        <v>8</v>
      </c>
      <c r="S256" s="35"/>
      <c r="T256" s="35"/>
      <c r="U256" s="35"/>
      <c r="V256" s="35"/>
      <c r="W256" s="35"/>
      <c r="X256" s="35"/>
      <c r="Y256" s="35"/>
      <c r="Z256" s="35"/>
      <c r="AA256" s="35"/>
    </row>
    <row r="257" spans="1:27" ht="15">
      <c r="A257" s="65" t="s">
        <v>226</v>
      </c>
      <c r="B257" s="65" t="s">
        <v>368</v>
      </c>
      <c r="C257" s="66" t="s">
        <v>1612</v>
      </c>
      <c r="D257" s="67">
        <v>5</v>
      </c>
      <c r="E257" s="68"/>
      <c r="F257" s="69">
        <v>25</v>
      </c>
      <c r="G257" s="66"/>
      <c r="H257" s="70"/>
      <c r="I257" s="71"/>
      <c r="J257" s="71"/>
      <c r="K257" s="35" t="s">
        <v>65</v>
      </c>
      <c r="L257" s="79">
        <v>257</v>
      </c>
      <c r="M257" s="79"/>
      <c r="N257" s="73"/>
      <c r="O257" s="81" t="s">
        <v>378</v>
      </c>
      <c r="P257">
        <v>1</v>
      </c>
      <c r="Q257" s="80" t="str">
        <f>REPLACE(INDEX(GroupVertices[Group],MATCH(Edges[[#This Row],[Vertex 1]],GroupVertices[Vertex],0)),1,1,"")</f>
        <v>8</v>
      </c>
      <c r="R257" s="80" t="str">
        <f>REPLACE(INDEX(GroupVertices[Group],MATCH(Edges[[#This Row],[Vertex 2]],GroupVertices[Vertex],0)),1,1,"")</f>
        <v>8</v>
      </c>
      <c r="S257" s="35"/>
      <c r="T257" s="35"/>
      <c r="U257" s="35"/>
      <c r="V257" s="35"/>
      <c r="W257" s="35"/>
      <c r="X257" s="35"/>
      <c r="Y257" s="35"/>
      <c r="Z257" s="35"/>
      <c r="AA257" s="35"/>
    </row>
    <row r="258" spans="1:27" ht="15">
      <c r="A258" s="65" t="s">
        <v>196</v>
      </c>
      <c r="B258" s="65" t="s">
        <v>227</v>
      </c>
      <c r="C258" s="66" t="s">
        <v>1612</v>
      </c>
      <c r="D258" s="67">
        <v>5</v>
      </c>
      <c r="E258" s="68"/>
      <c r="F258" s="69">
        <v>25</v>
      </c>
      <c r="G258" s="66"/>
      <c r="H258" s="70"/>
      <c r="I258" s="71"/>
      <c r="J258" s="71"/>
      <c r="K258" s="35" t="s">
        <v>66</v>
      </c>
      <c r="L258" s="79">
        <v>258</v>
      </c>
      <c r="M258" s="79"/>
      <c r="N258" s="73"/>
      <c r="O258" s="81" t="s">
        <v>377</v>
      </c>
      <c r="P258">
        <v>1</v>
      </c>
      <c r="Q258" s="80" t="str">
        <f>REPLACE(INDEX(GroupVertices[Group],MATCH(Edges[[#This Row],[Vertex 1]],GroupVertices[Vertex],0)),1,1,"")</f>
        <v>1</v>
      </c>
      <c r="R258" s="80" t="str">
        <f>REPLACE(INDEX(GroupVertices[Group],MATCH(Edges[[#This Row],[Vertex 2]],GroupVertices[Vertex],0)),1,1,"")</f>
        <v>1</v>
      </c>
      <c r="S258" s="35"/>
      <c r="T258" s="35"/>
      <c r="U258" s="35"/>
      <c r="V258" s="35"/>
      <c r="W258" s="35"/>
      <c r="X258" s="35"/>
      <c r="Y258" s="35"/>
      <c r="Z258" s="35"/>
      <c r="AA258" s="35"/>
    </row>
    <row r="259" spans="1:27" ht="15">
      <c r="A259" s="65" t="s">
        <v>196</v>
      </c>
      <c r="B259" s="65" t="s">
        <v>199</v>
      </c>
      <c r="C259" s="66" t="s">
        <v>1612</v>
      </c>
      <c r="D259" s="67">
        <v>5</v>
      </c>
      <c r="E259" s="68"/>
      <c r="F259" s="69">
        <v>25</v>
      </c>
      <c r="G259" s="66"/>
      <c r="H259" s="70"/>
      <c r="I259" s="71"/>
      <c r="J259" s="71"/>
      <c r="K259" s="35" t="s">
        <v>66</v>
      </c>
      <c r="L259" s="79">
        <v>259</v>
      </c>
      <c r="M259" s="79"/>
      <c r="N259" s="73"/>
      <c r="O259" s="81" t="s">
        <v>377</v>
      </c>
      <c r="P259">
        <v>1</v>
      </c>
      <c r="Q259" s="80" t="str">
        <f>REPLACE(INDEX(GroupVertices[Group],MATCH(Edges[[#This Row],[Vertex 1]],GroupVertices[Vertex],0)),1,1,"")</f>
        <v>1</v>
      </c>
      <c r="R259" s="80" t="str">
        <f>REPLACE(INDEX(GroupVertices[Group],MATCH(Edges[[#This Row],[Vertex 2]],GroupVertices[Vertex],0)),1,1,"")</f>
        <v>1</v>
      </c>
      <c r="S259" s="35"/>
      <c r="T259" s="35"/>
      <c r="U259" s="35"/>
      <c r="V259" s="35"/>
      <c r="W259" s="35"/>
      <c r="X259" s="35"/>
      <c r="Y259" s="35"/>
      <c r="Z259" s="35"/>
      <c r="AA259" s="35"/>
    </row>
    <row r="260" spans="1:27" ht="15">
      <c r="A260" s="65" t="s">
        <v>196</v>
      </c>
      <c r="B260" s="65" t="s">
        <v>231</v>
      </c>
      <c r="C260" s="66" t="s">
        <v>1612</v>
      </c>
      <c r="D260" s="67">
        <v>5</v>
      </c>
      <c r="E260" s="68"/>
      <c r="F260" s="69">
        <v>25</v>
      </c>
      <c r="G260" s="66"/>
      <c r="H260" s="70"/>
      <c r="I260" s="71"/>
      <c r="J260" s="71"/>
      <c r="K260" s="35" t="s">
        <v>66</v>
      </c>
      <c r="L260" s="79">
        <v>260</v>
      </c>
      <c r="M260" s="79"/>
      <c r="N260" s="73"/>
      <c r="O260" s="81" t="s">
        <v>377</v>
      </c>
      <c r="P260">
        <v>1</v>
      </c>
      <c r="Q260" s="80" t="str">
        <f>REPLACE(INDEX(GroupVertices[Group],MATCH(Edges[[#This Row],[Vertex 1]],GroupVertices[Vertex],0)),1,1,"")</f>
        <v>1</v>
      </c>
      <c r="R260" s="80" t="str">
        <f>REPLACE(INDEX(GroupVertices[Group],MATCH(Edges[[#This Row],[Vertex 2]],GroupVertices[Vertex],0)),1,1,"")</f>
        <v>1</v>
      </c>
      <c r="S260" s="35"/>
      <c r="T260" s="35"/>
      <c r="U260" s="35"/>
      <c r="V260" s="35"/>
      <c r="W260" s="35"/>
      <c r="X260" s="35"/>
      <c r="Y260" s="35"/>
      <c r="Z260" s="35"/>
      <c r="AA260" s="35"/>
    </row>
    <row r="261" spans="1:27" ht="15">
      <c r="A261" s="65" t="s">
        <v>196</v>
      </c>
      <c r="B261" s="65" t="s">
        <v>219</v>
      </c>
      <c r="C261" s="66" t="s">
        <v>1612</v>
      </c>
      <c r="D261" s="67">
        <v>5</v>
      </c>
      <c r="E261" s="68"/>
      <c r="F261" s="69">
        <v>25</v>
      </c>
      <c r="G261" s="66"/>
      <c r="H261" s="70"/>
      <c r="I261" s="71"/>
      <c r="J261" s="71"/>
      <c r="K261" s="35" t="s">
        <v>66</v>
      </c>
      <c r="L261" s="79">
        <v>261</v>
      </c>
      <c r="M261" s="79"/>
      <c r="N261" s="73"/>
      <c r="O261" s="81" t="s">
        <v>377</v>
      </c>
      <c r="P261">
        <v>1</v>
      </c>
      <c r="Q261" s="80" t="str">
        <f>REPLACE(INDEX(GroupVertices[Group],MATCH(Edges[[#This Row],[Vertex 1]],GroupVertices[Vertex],0)),1,1,"")</f>
        <v>1</v>
      </c>
      <c r="R261" s="80" t="str">
        <f>REPLACE(INDEX(GroupVertices[Group],MATCH(Edges[[#This Row],[Vertex 2]],GroupVertices[Vertex],0)),1,1,"")</f>
        <v>1</v>
      </c>
      <c r="S261" s="35"/>
      <c r="T261" s="35"/>
      <c r="U261" s="35"/>
      <c r="V261" s="35"/>
      <c r="W261" s="35"/>
      <c r="X261" s="35"/>
      <c r="Y261" s="35"/>
      <c r="Z261" s="35"/>
      <c r="AA261" s="35"/>
    </row>
    <row r="262" spans="1:27" ht="15">
      <c r="A262" s="65" t="s">
        <v>196</v>
      </c>
      <c r="B262" s="65" t="s">
        <v>229</v>
      </c>
      <c r="C262" s="66" t="s">
        <v>1612</v>
      </c>
      <c r="D262" s="67">
        <v>5</v>
      </c>
      <c r="E262" s="68"/>
      <c r="F262" s="69">
        <v>25</v>
      </c>
      <c r="G262" s="66"/>
      <c r="H262" s="70"/>
      <c r="I262" s="71"/>
      <c r="J262" s="71"/>
      <c r="K262" s="35" t="s">
        <v>66</v>
      </c>
      <c r="L262" s="79">
        <v>262</v>
      </c>
      <c r="M262" s="79"/>
      <c r="N262" s="73"/>
      <c r="O262" s="81" t="s">
        <v>377</v>
      </c>
      <c r="P262">
        <v>1</v>
      </c>
      <c r="Q262" s="80" t="str">
        <f>REPLACE(INDEX(GroupVertices[Group],MATCH(Edges[[#This Row],[Vertex 1]],GroupVertices[Vertex],0)),1,1,"")</f>
        <v>1</v>
      </c>
      <c r="R262" s="80" t="str">
        <f>REPLACE(INDEX(GroupVertices[Group],MATCH(Edges[[#This Row],[Vertex 2]],GroupVertices[Vertex],0)),1,1,"")</f>
        <v>1</v>
      </c>
      <c r="S262" s="35"/>
      <c r="T262" s="35"/>
      <c r="U262" s="35"/>
      <c r="V262" s="35"/>
      <c r="W262" s="35"/>
      <c r="X262" s="35"/>
      <c r="Y262" s="35"/>
      <c r="Z262" s="35"/>
      <c r="AA262" s="35"/>
    </row>
    <row r="263" spans="1:27" ht="15">
      <c r="A263" s="65" t="s">
        <v>219</v>
      </c>
      <c r="B263" s="65" t="s">
        <v>196</v>
      </c>
      <c r="C263" s="66" t="s">
        <v>1612</v>
      </c>
      <c r="D263" s="67">
        <v>5</v>
      </c>
      <c r="E263" s="68"/>
      <c r="F263" s="69">
        <v>25</v>
      </c>
      <c r="G263" s="66"/>
      <c r="H263" s="70"/>
      <c r="I263" s="71"/>
      <c r="J263" s="71"/>
      <c r="K263" s="35" t="s">
        <v>66</v>
      </c>
      <c r="L263" s="79">
        <v>263</v>
      </c>
      <c r="M263" s="79"/>
      <c r="N263" s="73"/>
      <c r="O263" s="81" t="s">
        <v>377</v>
      </c>
      <c r="P263">
        <v>1</v>
      </c>
      <c r="Q263" s="80" t="str">
        <f>REPLACE(INDEX(GroupVertices[Group],MATCH(Edges[[#This Row],[Vertex 1]],GroupVertices[Vertex],0)),1,1,"")</f>
        <v>1</v>
      </c>
      <c r="R263" s="80" t="str">
        <f>REPLACE(INDEX(GroupVertices[Group],MATCH(Edges[[#This Row],[Vertex 2]],GroupVertices[Vertex],0)),1,1,"")</f>
        <v>1</v>
      </c>
      <c r="S263" s="35"/>
      <c r="T263" s="35"/>
      <c r="U263" s="35"/>
      <c r="V263" s="35"/>
      <c r="W263" s="35"/>
      <c r="X263" s="35"/>
      <c r="Y263" s="35"/>
      <c r="Z263" s="35"/>
      <c r="AA263" s="35"/>
    </row>
    <row r="264" spans="1:27" ht="15">
      <c r="A264" s="65" t="s">
        <v>225</v>
      </c>
      <c r="B264" s="65" t="s">
        <v>196</v>
      </c>
      <c r="C264" s="66" t="s">
        <v>1612</v>
      </c>
      <c r="D264" s="67">
        <v>5</v>
      </c>
      <c r="E264" s="68"/>
      <c r="F264" s="69">
        <v>25</v>
      </c>
      <c r="G264" s="66"/>
      <c r="H264" s="70"/>
      <c r="I264" s="71"/>
      <c r="J264" s="71"/>
      <c r="K264" s="35" t="s">
        <v>65</v>
      </c>
      <c r="L264" s="79">
        <v>264</v>
      </c>
      <c r="M264" s="79"/>
      <c r="N264" s="73"/>
      <c r="O264" s="81" t="s">
        <v>377</v>
      </c>
      <c r="P264">
        <v>1</v>
      </c>
      <c r="Q264" s="80" t="str">
        <f>REPLACE(INDEX(GroupVertices[Group],MATCH(Edges[[#This Row],[Vertex 1]],GroupVertices[Vertex],0)),1,1,"")</f>
        <v>1</v>
      </c>
      <c r="R264" s="80" t="str">
        <f>REPLACE(INDEX(GroupVertices[Group],MATCH(Edges[[#This Row],[Vertex 2]],GroupVertices[Vertex],0)),1,1,"")</f>
        <v>1</v>
      </c>
      <c r="S264" s="35"/>
      <c r="T264" s="35"/>
      <c r="U264" s="35"/>
      <c r="V264" s="35"/>
      <c r="W264" s="35"/>
      <c r="X264" s="35"/>
      <c r="Y264" s="35"/>
      <c r="Z264" s="35"/>
      <c r="AA264" s="35"/>
    </row>
    <row r="265" spans="1:27" ht="15">
      <c r="A265" s="65" t="s">
        <v>199</v>
      </c>
      <c r="B265" s="65" t="s">
        <v>196</v>
      </c>
      <c r="C265" s="66" t="s">
        <v>1612</v>
      </c>
      <c r="D265" s="67">
        <v>5</v>
      </c>
      <c r="E265" s="68"/>
      <c r="F265" s="69">
        <v>25</v>
      </c>
      <c r="G265" s="66"/>
      <c r="H265" s="70"/>
      <c r="I265" s="71"/>
      <c r="J265" s="71"/>
      <c r="K265" s="35" t="s">
        <v>66</v>
      </c>
      <c r="L265" s="79">
        <v>265</v>
      </c>
      <c r="M265" s="79"/>
      <c r="N265" s="73"/>
      <c r="O265" s="81" t="s">
        <v>379</v>
      </c>
      <c r="P265">
        <v>1</v>
      </c>
      <c r="Q265" s="80" t="str">
        <f>REPLACE(INDEX(GroupVertices[Group],MATCH(Edges[[#This Row],[Vertex 1]],GroupVertices[Vertex],0)),1,1,"")</f>
        <v>1</v>
      </c>
      <c r="R265" s="80" t="str">
        <f>REPLACE(INDEX(GroupVertices[Group],MATCH(Edges[[#This Row],[Vertex 2]],GroupVertices[Vertex],0)),1,1,"")</f>
        <v>1</v>
      </c>
      <c r="S265" s="35"/>
      <c r="T265" s="35"/>
      <c r="U265" s="35"/>
      <c r="V265" s="35"/>
      <c r="W265" s="35"/>
      <c r="X265" s="35"/>
      <c r="Y265" s="35"/>
      <c r="Z265" s="35"/>
      <c r="AA265" s="35"/>
    </row>
    <row r="266" spans="1:27" ht="15">
      <c r="A266" s="65" t="s">
        <v>201</v>
      </c>
      <c r="B266" s="65" t="s">
        <v>196</v>
      </c>
      <c r="C266" s="66" t="s">
        <v>1612</v>
      </c>
      <c r="D266" s="67">
        <v>5</v>
      </c>
      <c r="E266" s="68"/>
      <c r="F266" s="69">
        <v>25</v>
      </c>
      <c r="G266" s="66"/>
      <c r="H266" s="70"/>
      <c r="I266" s="71"/>
      <c r="J266" s="71"/>
      <c r="K266" s="35" t="s">
        <v>65</v>
      </c>
      <c r="L266" s="79">
        <v>266</v>
      </c>
      <c r="M266" s="79"/>
      <c r="N266" s="73"/>
      <c r="O266" s="81" t="s">
        <v>379</v>
      </c>
      <c r="P266">
        <v>1</v>
      </c>
      <c r="Q266" s="80" t="str">
        <f>REPLACE(INDEX(GroupVertices[Group],MATCH(Edges[[#This Row],[Vertex 1]],GroupVertices[Vertex],0)),1,1,"")</f>
        <v>5</v>
      </c>
      <c r="R266" s="80" t="str">
        <f>REPLACE(INDEX(GroupVertices[Group],MATCH(Edges[[#This Row],[Vertex 2]],GroupVertices[Vertex],0)),1,1,"")</f>
        <v>1</v>
      </c>
      <c r="S266" s="35"/>
      <c r="T266" s="35"/>
      <c r="U266" s="35"/>
      <c r="V266" s="35"/>
      <c r="W266" s="35"/>
      <c r="X266" s="35"/>
      <c r="Y266" s="35"/>
      <c r="Z266" s="35"/>
      <c r="AA266" s="35"/>
    </row>
    <row r="267" spans="1:27" ht="15">
      <c r="A267" s="65" t="s">
        <v>206</v>
      </c>
      <c r="B267" s="65" t="s">
        <v>196</v>
      </c>
      <c r="C267" s="66" t="s">
        <v>1612</v>
      </c>
      <c r="D267" s="67">
        <v>5</v>
      </c>
      <c r="E267" s="68"/>
      <c r="F267" s="69">
        <v>25</v>
      </c>
      <c r="G267" s="66"/>
      <c r="H267" s="70"/>
      <c r="I267" s="71"/>
      <c r="J267" s="71"/>
      <c r="K267" s="35" t="s">
        <v>65</v>
      </c>
      <c r="L267" s="79">
        <v>267</v>
      </c>
      <c r="M267" s="79"/>
      <c r="N267" s="73"/>
      <c r="O267" s="81" t="s">
        <v>379</v>
      </c>
      <c r="P267">
        <v>1</v>
      </c>
      <c r="Q267" s="80" t="str">
        <f>REPLACE(INDEX(GroupVertices[Group],MATCH(Edges[[#This Row],[Vertex 1]],GroupVertices[Vertex],0)),1,1,"")</f>
        <v>1</v>
      </c>
      <c r="R267" s="80" t="str">
        <f>REPLACE(INDEX(GroupVertices[Group],MATCH(Edges[[#This Row],[Vertex 2]],GroupVertices[Vertex],0)),1,1,"")</f>
        <v>1</v>
      </c>
      <c r="S267" s="35"/>
      <c r="T267" s="35"/>
      <c r="U267" s="35"/>
      <c r="V267" s="35"/>
      <c r="W267" s="35"/>
      <c r="X267" s="35"/>
      <c r="Y267" s="35"/>
      <c r="Z267" s="35"/>
      <c r="AA267" s="35"/>
    </row>
    <row r="268" spans="1:27" ht="15">
      <c r="A268" s="65" t="s">
        <v>203</v>
      </c>
      <c r="B268" s="65" t="s">
        <v>196</v>
      </c>
      <c r="C268" s="66" t="s">
        <v>1612</v>
      </c>
      <c r="D268" s="67">
        <v>5</v>
      </c>
      <c r="E268" s="68"/>
      <c r="F268" s="69">
        <v>25</v>
      </c>
      <c r="G268" s="66"/>
      <c r="H268" s="70"/>
      <c r="I268" s="71"/>
      <c r="J268" s="71"/>
      <c r="K268" s="35" t="s">
        <v>65</v>
      </c>
      <c r="L268" s="79">
        <v>268</v>
      </c>
      <c r="M268" s="79"/>
      <c r="N268" s="73"/>
      <c r="O268" s="81" t="s">
        <v>379</v>
      </c>
      <c r="P268">
        <v>1</v>
      </c>
      <c r="Q268" s="80" t="str">
        <f>REPLACE(INDEX(GroupVertices[Group],MATCH(Edges[[#This Row],[Vertex 1]],GroupVertices[Vertex],0)),1,1,"")</f>
        <v>1</v>
      </c>
      <c r="R268" s="80" t="str">
        <f>REPLACE(INDEX(GroupVertices[Group],MATCH(Edges[[#This Row],[Vertex 2]],GroupVertices[Vertex],0)),1,1,"")</f>
        <v>1</v>
      </c>
      <c r="S268" s="35"/>
      <c r="T268" s="35"/>
      <c r="U268" s="35"/>
      <c r="V268" s="35"/>
      <c r="W268" s="35"/>
      <c r="X268" s="35"/>
      <c r="Y268" s="35"/>
      <c r="Z268" s="35"/>
      <c r="AA268" s="35"/>
    </row>
    <row r="269" spans="1:27" ht="15">
      <c r="A269" s="65" t="s">
        <v>204</v>
      </c>
      <c r="B269" s="65" t="s">
        <v>196</v>
      </c>
      <c r="C269" s="66" t="s">
        <v>1612</v>
      </c>
      <c r="D269" s="67">
        <v>5</v>
      </c>
      <c r="E269" s="68"/>
      <c r="F269" s="69">
        <v>25</v>
      </c>
      <c r="G269" s="66"/>
      <c r="H269" s="70"/>
      <c r="I269" s="71"/>
      <c r="J269" s="71"/>
      <c r="K269" s="35" t="s">
        <v>65</v>
      </c>
      <c r="L269" s="79">
        <v>269</v>
      </c>
      <c r="M269" s="79"/>
      <c r="N269" s="73"/>
      <c r="O269" s="81" t="s">
        <v>379</v>
      </c>
      <c r="P269">
        <v>1</v>
      </c>
      <c r="Q269" s="80" t="str">
        <f>REPLACE(INDEX(GroupVertices[Group],MATCH(Edges[[#This Row],[Vertex 1]],GroupVertices[Vertex],0)),1,1,"")</f>
        <v>1</v>
      </c>
      <c r="R269" s="80" t="str">
        <f>REPLACE(INDEX(GroupVertices[Group],MATCH(Edges[[#This Row],[Vertex 2]],GroupVertices[Vertex],0)),1,1,"")</f>
        <v>1</v>
      </c>
      <c r="S269" s="35"/>
      <c r="T269" s="35"/>
      <c r="U269" s="35"/>
      <c r="V269" s="35"/>
      <c r="W269" s="35"/>
      <c r="X269" s="35"/>
      <c r="Y269" s="35"/>
      <c r="Z269" s="35"/>
      <c r="AA269" s="35"/>
    </row>
    <row r="270" spans="1:27" ht="15">
      <c r="A270" s="65" t="s">
        <v>212</v>
      </c>
      <c r="B270" s="65" t="s">
        <v>196</v>
      </c>
      <c r="C270" s="66" t="s">
        <v>1612</v>
      </c>
      <c r="D270" s="67">
        <v>5</v>
      </c>
      <c r="E270" s="68"/>
      <c r="F270" s="69">
        <v>25</v>
      </c>
      <c r="G270" s="66"/>
      <c r="H270" s="70"/>
      <c r="I270" s="71"/>
      <c r="J270" s="71"/>
      <c r="K270" s="35" t="s">
        <v>65</v>
      </c>
      <c r="L270" s="79">
        <v>270</v>
      </c>
      <c r="M270" s="79"/>
      <c r="N270" s="73"/>
      <c r="O270" s="81" t="s">
        <v>379</v>
      </c>
      <c r="P270">
        <v>1</v>
      </c>
      <c r="Q270" s="80" t="str">
        <f>REPLACE(INDEX(GroupVertices[Group],MATCH(Edges[[#This Row],[Vertex 1]],GroupVertices[Vertex],0)),1,1,"")</f>
        <v>1</v>
      </c>
      <c r="R270" s="80" t="str">
        <f>REPLACE(INDEX(GroupVertices[Group],MATCH(Edges[[#This Row],[Vertex 2]],GroupVertices[Vertex],0)),1,1,"")</f>
        <v>1</v>
      </c>
      <c r="S270" s="35"/>
      <c r="T270" s="35"/>
      <c r="U270" s="35"/>
      <c r="V270" s="35"/>
      <c r="W270" s="35"/>
      <c r="X270" s="35"/>
      <c r="Y270" s="35"/>
      <c r="Z270" s="35"/>
      <c r="AA270" s="35"/>
    </row>
    <row r="271" spans="1:27" ht="15">
      <c r="A271" s="65" t="s">
        <v>214</v>
      </c>
      <c r="B271" s="65" t="s">
        <v>196</v>
      </c>
      <c r="C271" s="66" t="s">
        <v>1612</v>
      </c>
      <c r="D271" s="67">
        <v>5</v>
      </c>
      <c r="E271" s="68"/>
      <c r="F271" s="69">
        <v>25</v>
      </c>
      <c r="G271" s="66"/>
      <c r="H271" s="70"/>
      <c r="I271" s="71"/>
      <c r="J271" s="71"/>
      <c r="K271" s="35" t="s">
        <v>65</v>
      </c>
      <c r="L271" s="79">
        <v>271</v>
      </c>
      <c r="M271" s="79"/>
      <c r="N271" s="73"/>
      <c r="O271" s="81" t="s">
        <v>379</v>
      </c>
      <c r="P271">
        <v>1</v>
      </c>
      <c r="Q271" s="80" t="str">
        <f>REPLACE(INDEX(GroupVertices[Group],MATCH(Edges[[#This Row],[Vertex 1]],GroupVertices[Vertex],0)),1,1,"")</f>
        <v>1</v>
      </c>
      <c r="R271" s="80" t="str">
        <f>REPLACE(INDEX(GroupVertices[Group],MATCH(Edges[[#This Row],[Vertex 2]],GroupVertices[Vertex],0)),1,1,"")</f>
        <v>1</v>
      </c>
      <c r="S271" s="35"/>
      <c r="T271" s="35"/>
      <c r="U271" s="35"/>
      <c r="V271" s="35"/>
      <c r="W271" s="35"/>
      <c r="X271" s="35"/>
      <c r="Y271" s="35"/>
      <c r="Z271" s="35"/>
      <c r="AA271" s="35"/>
    </row>
    <row r="272" spans="1:27" ht="15">
      <c r="A272" s="65" t="s">
        <v>227</v>
      </c>
      <c r="B272" s="65" t="s">
        <v>196</v>
      </c>
      <c r="C272" s="66" t="s">
        <v>1612</v>
      </c>
      <c r="D272" s="67">
        <v>5</v>
      </c>
      <c r="E272" s="68"/>
      <c r="F272" s="69">
        <v>25</v>
      </c>
      <c r="G272" s="66"/>
      <c r="H272" s="70"/>
      <c r="I272" s="71"/>
      <c r="J272" s="71"/>
      <c r="K272" s="35" t="s">
        <v>66</v>
      </c>
      <c r="L272" s="79">
        <v>272</v>
      </c>
      <c r="M272" s="79"/>
      <c r="N272" s="73"/>
      <c r="O272" s="81" t="s">
        <v>379</v>
      </c>
      <c r="P272">
        <v>1</v>
      </c>
      <c r="Q272" s="80" t="str">
        <f>REPLACE(INDEX(GroupVertices[Group],MATCH(Edges[[#This Row],[Vertex 1]],GroupVertices[Vertex],0)),1,1,"")</f>
        <v>1</v>
      </c>
      <c r="R272" s="80" t="str">
        <f>REPLACE(INDEX(GroupVertices[Group],MATCH(Edges[[#This Row],[Vertex 2]],GroupVertices[Vertex],0)),1,1,"")</f>
        <v>1</v>
      </c>
      <c r="S272" s="35"/>
      <c r="T272" s="35"/>
      <c r="U272" s="35"/>
      <c r="V272" s="35"/>
      <c r="W272" s="35"/>
      <c r="X272" s="35"/>
      <c r="Y272" s="35"/>
      <c r="Z272" s="35"/>
      <c r="AA272" s="35"/>
    </row>
    <row r="273" spans="1:27" ht="15">
      <c r="A273" s="65" t="s">
        <v>215</v>
      </c>
      <c r="B273" s="65" t="s">
        <v>196</v>
      </c>
      <c r="C273" s="66" t="s">
        <v>1612</v>
      </c>
      <c r="D273" s="67">
        <v>5</v>
      </c>
      <c r="E273" s="68"/>
      <c r="F273" s="69">
        <v>25</v>
      </c>
      <c r="G273" s="66"/>
      <c r="H273" s="70"/>
      <c r="I273" s="71"/>
      <c r="J273" s="71"/>
      <c r="K273" s="35" t="s">
        <v>65</v>
      </c>
      <c r="L273" s="79">
        <v>273</v>
      </c>
      <c r="M273" s="79"/>
      <c r="N273" s="73"/>
      <c r="O273" s="81" t="s">
        <v>379</v>
      </c>
      <c r="P273">
        <v>1</v>
      </c>
      <c r="Q273" s="80" t="str">
        <f>REPLACE(INDEX(GroupVertices[Group],MATCH(Edges[[#This Row],[Vertex 1]],GroupVertices[Vertex],0)),1,1,"")</f>
        <v>1</v>
      </c>
      <c r="R273" s="80" t="str">
        <f>REPLACE(INDEX(GroupVertices[Group],MATCH(Edges[[#This Row],[Vertex 2]],GroupVertices[Vertex],0)),1,1,"")</f>
        <v>1</v>
      </c>
      <c r="S273" s="35"/>
      <c r="T273" s="35"/>
      <c r="U273" s="35"/>
      <c r="V273" s="35"/>
      <c r="W273" s="35"/>
      <c r="X273" s="35"/>
      <c r="Y273" s="35"/>
      <c r="Z273" s="35"/>
      <c r="AA273" s="35"/>
    </row>
    <row r="274" spans="1:27" ht="15">
      <c r="A274" s="65" t="s">
        <v>228</v>
      </c>
      <c r="B274" s="65" t="s">
        <v>196</v>
      </c>
      <c r="C274" s="66" t="s">
        <v>1612</v>
      </c>
      <c r="D274" s="67">
        <v>5</v>
      </c>
      <c r="E274" s="68"/>
      <c r="F274" s="69">
        <v>25</v>
      </c>
      <c r="G274" s="66"/>
      <c r="H274" s="70"/>
      <c r="I274" s="71"/>
      <c r="J274" s="71"/>
      <c r="K274" s="35" t="s">
        <v>65</v>
      </c>
      <c r="L274" s="79">
        <v>274</v>
      </c>
      <c r="M274" s="79"/>
      <c r="N274" s="73"/>
      <c r="O274" s="81" t="s">
        <v>379</v>
      </c>
      <c r="P274">
        <v>1</v>
      </c>
      <c r="Q274" s="80" t="str">
        <f>REPLACE(INDEX(GroupVertices[Group],MATCH(Edges[[#This Row],[Vertex 1]],GroupVertices[Vertex],0)),1,1,"")</f>
        <v>1</v>
      </c>
      <c r="R274" s="80" t="str">
        <f>REPLACE(INDEX(GroupVertices[Group],MATCH(Edges[[#This Row],[Vertex 2]],GroupVertices[Vertex],0)),1,1,"")</f>
        <v>1</v>
      </c>
      <c r="S274" s="35"/>
      <c r="T274" s="35"/>
      <c r="U274" s="35"/>
      <c r="V274" s="35"/>
      <c r="W274" s="35"/>
      <c r="X274" s="35"/>
      <c r="Y274" s="35"/>
      <c r="Z274" s="35"/>
      <c r="AA274" s="35"/>
    </row>
    <row r="275" spans="1:27" ht="15">
      <c r="A275" s="65" t="s">
        <v>231</v>
      </c>
      <c r="B275" s="65" t="s">
        <v>196</v>
      </c>
      <c r="C275" s="66" t="s">
        <v>1612</v>
      </c>
      <c r="D275" s="67">
        <v>5</v>
      </c>
      <c r="E275" s="68"/>
      <c r="F275" s="69">
        <v>25</v>
      </c>
      <c r="G275" s="66"/>
      <c r="H275" s="70"/>
      <c r="I275" s="71"/>
      <c r="J275" s="71"/>
      <c r="K275" s="35" t="s">
        <v>66</v>
      </c>
      <c r="L275" s="79">
        <v>275</v>
      </c>
      <c r="M275" s="79"/>
      <c r="N275" s="73"/>
      <c r="O275" s="81" t="s">
        <v>379</v>
      </c>
      <c r="P275">
        <v>1</v>
      </c>
      <c r="Q275" s="80" t="str">
        <f>REPLACE(INDEX(GroupVertices[Group],MATCH(Edges[[#This Row],[Vertex 1]],GroupVertices[Vertex],0)),1,1,"")</f>
        <v>1</v>
      </c>
      <c r="R275" s="80" t="str">
        <f>REPLACE(INDEX(GroupVertices[Group],MATCH(Edges[[#This Row],[Vertex 2]],GroupVertices[Vertex],0)),1,1,"")</f>
        <v>1</v>
      </c>
      <c r="S275" s="35"/>
      <c r="T275" s="35"/>
      <c r="U275" s="35"/>
      <c r="V275" s="35"/>
      <c r="W275" s="35"/>
      <c r="X275" s="35"/>
      <c r="Y275" s="35"/>
      <c r="Z275" s="35"/>
      <c r="AA275" s="35"/>
    </row>
    <row r="276" spans="1:27" ht="15">
      <c r="A276" s="65" t="s">
        <v>232</v>
      </c>
      <c r="B276" s="65" t="s">
        <v>196</v>
      </c>
      <c r="C276" s="66" t="s">
        <v>1612</v>
      </c>
      <c r="D276" s="67">
        <v>5</v>
      </c>
      <c r="E276" s="68"/>
      <c r="F276" s="69">
        <v>25</v>
      </c>
      <c r="G276" s="66"/>
      <c r="H276" s="70"/>
      <c r="I276" s="71"/>
      <c r="J276" s="71"/>
      <c r="K276" s="35" t="s">
        <v>65</v>
      </c>
      <c r="L276" s="79">
        <v>276</v>
      </c>
      <c r="M276" s="79"/>
      <c r="N276" s="73"/>
      <c r="O276" s="81" t="s">
        <v>379</v>
      </c>
      <c r="P276">
        <v>1</v>
      </c>
      <c r="Q276" s="80" t="str">
        <f>REPLACE(INDEX(GroupVertices[Group],MATCH(Edges[[#This Row],[Vertex 1]],GroupVertices[Vertex],0)),1,1,"")</f>
        <v>1</v>
      </c>
      <c r="R276" s="80" t="str">
        <f>REPLACE(INDEX(GroupVertices[Group],MATCH(Edges[[#This Row],[Vertex 2]],GroupVertices[Vertex],0)),1,1,"")</f>
        <v>1</v>
      </c>
      <c r="S276" s="35"/>
      <c r="T276" s="35"/>
      <c r="U276" s="35"/>
      <c r="V276" s="35"/>
      <c r="W276" s="35"/>
      <c r="X276" s="35"/>
      <c r="Y276" s="35"/>
      <c r="Z276" s="35"/>
      <c r="AA276" s="35"/>
    </row>
    <row r="277" spans="1:27" ht="15">
      <c r="A277" s="65" t="s">
        <v>219</v>
      </c>
      <c r="B277" s="65" t="s">
        <v>196</v>
      </c>
      <c r="C277" s="66" t="s">
        <v>1612</v>
      </c>
      <c r="D277" s="67">
        <v>5</v>
      </c>
      <c r="E277" s="68"/>
      <c r="F277" s="69">
        <v>25</v>
      </c>
      <c r="G277" s="66"/>
      <c r="H277" s="70"/>
      <c r="I277" s="71"/>
      <c r="J277" s="71"/>
      <c r="K277" s="35" t="s">
        <v>66</v>
      </c>
      <c r="L277" s="79">
        <v>277</v>
      </c>
      <c r="M277" s="79"/>
      <c r="N277" s="73"/>
      <c r="O277" s="81" t="s">
        <v>379</v>
      </c>
      <c r="P277">
        <v>1</v>
      </c>
      <c r="Q277" s="80" t="str">
        <f>REPLACE(INDEX(GroupVertices[Group],MATCH(Edges[[#This Row],[Vertex 1]],GroupVertices[Vertex],0)),1,1,"")</f>
        <v>1</v>
      </c>
      <c r="R277" s="80" t="str">
        <f>REPLACE(INDEX(GroupVertices[Group],MATCH(Edges[[#This Row],[Vertex 2]],GroupVertices[Vertex],0)),1,1,"")</f>
        <v>1</v>
      </c>
      <c r="S277" s="35"/>
      <c r="T277" s="35"/>
      <c r="U277" s="35"/>
      <c r="V277" s="35"/>
      <c r="W277" s="35"/>
      <c r="X277" s="35"/>
      <c r="Y277" s="35"/>
      <c r="Z277" s="35"/>
      <c r="AA277" s="35"/>
    </row>
    <row r="278" spans="1:27" ht="15">
      <c r="A278" s="65" t="s">
        <v>221</v>
      </c>
      <c r="B278" s="65" t="s">
        <v>196</v>
      </c>
      <c r="C278" s="66" t="s">
        <v>1612</v>
      </c>
      <c r="D278" s="67">
        <v>5</v>
      </c>
      <c r="E278" s="68"/>
      <c r="F278" s="69">
        <v>25</v>
      </c>
      <c r="G278" s="66"/>
      <c r="H278" s="70"/>
      <c r="I278" s="71"/>
      <c r="J278" s="71"/>
      <c r="K278" s="35" t="s">
        <v>65</v>
      </c>
      <c r="L278" s="79">
        <v>278</v>
      </c>
      <c r="M278" s="79"/>
      <c r="N278" s="73"/>
      <c r="O278" s="81" t="s">
        <v>379</v>
      </c>
      <c r="P278">
        <v>1</v>
      </c>
      <c r="Q278" s="80" t="str">
        <f>REPLACE(INDEX(GroupVertices[Group],MATCH(Edges[[#This Row],[Vertex 1]],GroupVertices[Vertex],0)),1,1,"")</f>
        <v>1</v>
      </c>
      <c r="R278" s="80" t="str">
        <f>REPLACE(INDEX(GroupVertices[Group],MATCH(Edges[[#This Row],[Vertex 2]],GroupVertices[Vertex],0)),1,1,"")</f>
        <v>1</v>
      </c>
      <c r="S278" s="35"/>
      <c r="T278" s="35"/>
      <c r="U278" s="35"/>
      <c r="V278" s="35"/>
      <c r="W278" s="35"/>
      <c r="X278" s="35"/>
      <c r="Y278" s="35"/>
      <c r="Z278" s="35"/>
      <c r="AA278" s="35"/>
    </row>
    <row r="279" spans="1:27" ht="15">
      <c r="A279" s="65" t="s">
        <v>222</v>
      </c>
      <c r="B279" s="65" t="s">
        <v>196</v>
      </c>
      <c r="C279" s="66" t="s">
        <v>1612</v>
      </c>
      <c r="D279" s="67">
        <v>5</v>
      </c>
      <c r="E279" s="68"/>
      <c r="F279" s="69">
        <v>25</v>
      </c>
      <c r="G279" s="66"/>
      <c r="H279" s="70"/>
      <c r="I279" s="71"/>
      <c r="J279" s="71"/>
      <c r="K279" s="35" t="s">
        <v>65</v>
      </c>
      <c r="L279" s="79">
        <v>279</v>
      </c>
      <c r="M279" s="79"/>
      <c r="N279" s="73"/>
      <c r="O279" s="81" t="s">
        <v>379</v>
      </c>
      <c r="P279">
        <v>1</v>
      </c>
      <c r="Q279" s="80" t="str">
        <f>REPLACE(INDEX(GroupVertices[Group],MATCH(Edges[[#This Row],[Vertex 1]],GroupVertices[Vertex],0)),1,1,"")</f>
        <v>1</v>
      </c>
      <c r="R279" s="80" t="str">
        <f>REPLACE(INDEX(GroupVertices[Group],MATCH(Edges[[#This Row],[Vertex 2]],GroupVertices[Vertex],0)),1,1,"")</f>
        <v>1</v>
      </c>
      <c r="S279" s="35"/>
      <c r="T279" s="35"/>
      <c r="U279" s="35"/>
      <c r="V279" s="35"/>
      <c r="W279" s="35"/>
      <c r="X279" s="35"/>
      <c r="Y279" s="35"/>
      <c r="Z279" s="35"/>
      <c r="AA279" s="35"/>
    </row>
    <row r="280" spans="1:27" ht="15">
      <c r="A280" s="65" t="s">
        <v>223</v>
      </c>
      <c r="B280" s="65" t="s">
        <v>196</v>
      </c>
      <c r="C280" s="66" t="s">
        <v>1612</v>
      </c>
      <c r="D280" s="67">
        <v>5</v>
      </c>
      <c r="E280" s="68"/>
      <c r="F280" s="69">
        <v>25</v>
      </c>
      <c r="G280" s="66"/>
      <c r="H280" s="70"/>
      <c r="I280" s="71"/>
      <c r="J280" s="71"/>
      <c r="K280" s="35" t="s">
        <v>65</v>
      </c>
      <c r="L280" s="79">
        <v>280</v>
      </c>
      <c r="M280" s="79"/>
      <c r="N280" s="73"/>
      <c r="O280" s="81" t="s">
        <v>379</v>
      </c>
      <c r="P280">
        <v>1</v>
      </c>
      <c r="Q280" s="80" t="str">
        <f>REPLACE(INDEX(GroupVertices[Group],MATCH(Edges[[#This Row],[Vertex 1]],GroupVertices[Vertex],0)),1,1,"")</f>
        <v>1</v>
      </c>
      <c r="R280" s="80" t="str">
        <f>REPLACE(INDEX(GroupVertices[Group],MATCH(Edges[[#This Row],[Vertex 2]],GroupVertices[Vertex],0)),1,1,"")</f>
        <v>1</v>
      </c>
      <c r="S280" s="35"/>
      <c r="T280" s="35"/>
      <c r="U280" s="35"/>
      <c r="V280" s="35"/>
      <c r="W280" s="35"/>
      <c r="X280" s="35"/>
      <c r="Y280" s="35"/>
      <c r="Z280" s="35"/>
      <c r="AA280" s="35"/>
    </row>
    <row r="281" spans="1:27" ht="15">
      <c r="A281" s="65" t="s">
        <v>229</v>
      </c>
      <c r="B281" s="65" t="s">
        <v>196</v>
      </c>
      <c r="C281" s="66" t="s">
        <v>1612</v>
      </c>
      <c r="D281" s="67">
        <v>5</v>
      </c>
      <c r="E281" s="68"/>
      <c r="F281" s="69">
        <v>25</v>
      </c>
      <c r="G281" s="66"/>
      <c r="H281" s="70"/>
      <c r="I281" s="71"/>
      <c r="J281" s="71"/>
      <c r="K281" s="35" t="s">
        <v>66</v>
      </c>
      <c r="L281" s="79">
        <v>281</v>
      </c>
      <c r="M281" s="79"/>
      <c r="N281" s="73"/>
      <c r="O281" s="81" t="s">
        <v>379</v>
      </c>
      <c r="P281">
        <v>1</v>
      </c>
      <c r="Q281" s="80" t="str">
        <f>REPLACE(INDEX(GroupVertices[Group],MATCH(Edges[[#This Row],[Vertex 1]],GroupVertices[Vertex],0)),1,1,"")</f>
        <v>1</v>
      </c>
      <c r="R281" s="80" t="str">
        <f>REPLACE(INDEX(GroupVertices[Group],MATCH(Edges[[#This Row],[Vertex 2]],GroupVertices[Vertex],0)),1,1,"")</f>
        <v>1</v>
      </c>
      <c r="S281" s="35"/>
      <c r="T281" s="35"/>
      <c r="U281" s="35"/>
      <c r="V281" s="35"/>
      <c r="W281" s="35"/>
      <c r="X281" s="35"/>
      <c r="Y281" s="35"/>
      <c r="Z281" s="35"/>
      <c r="AA281" s="35"/>
    </row>
    <row r="282" spans="1:27" ht="15">
      <c r="A282" s="65" t="s">
        <v>230</v>
      </c>
      <c r="B282" s="65" t="s">
        <v>196</v>
      </c>
      <c r="C282" s="66" t="s">
        <v>1612</v>
      </c>
      <c r="D282" s="67">
        <v>5</v>
      </c>
      <c r="E282" s="68"/>
      <c r="F282" s="69">
        <v>25</v>
      </c>
      <c r="G282" s="66"/>
      <c r="H282" s="70"/>
      <c r="I282" s="71"/>
      <c r="J282" s="71"/>
      <c r="K282" s="35" t="s">
        <v>65</v>
      </c>
      <c r="L282" s="79">
        <v>282</v>
      </c>
      <c r="M282" s="79"/>
      <c r="N282" s="73"/>
      <c r="O282" s="81" t="s">
        <v>379</v>
      </c>
      <c r="P282">
        <v>1</v>
      </c>
      <c r="Q282" s="80" t="str">
        <f>REPLACE(INDEX(GroupVertices[Group],MATCH(Edges[[#This Row],[Vertex 1]],GroupVertices[Vertex],0)),1,1,"")</f>
        <v>2</v>
      </c>
      <c r="R282" s="80" t="str">
        <f>REPLACE(INDEX(GroupVertices[Group],MATCH(Edges[[#This Row],[Vertex 2]],GroupVertices[Vertex],0)),1,1,"")</f>
        <v>1</v>
      </c>
      <c r="S282" s="35"/>
      <c r="T282" s="35"/>
      <c r="U282" s="35"/>
      <c r="V282" s="35"/>
      <c r="W282" s="35"/>
      <c r="X282" s="35"/>
      <c r="Y282" s="35"/>
      <c r="Z282" s="35"/>
      <c r="AA282" s="35"/>
    </row>
    <row r="283" spans="1:27" ht="15">
      <c r="A283" s="65" t="s">
        <v>224</v>
      </c>
      <c r="B283" s="65" t="s">
        <v>196</v>
      </c>
      <c r="C283" s="66" t="s">
        <v>1612</v>
      </c>
      <c r="D283" s="67">
        <v>5</v>
      </c>
      <c r="E283" s="68"/>
      <c r="F283" s="69">
        <v>25</v>
      </c>
      <c r="G283" s="66"/>
      <c r="H283" s="70"/>
      <c r="I283" s="71"/>
      <c r="J283" s="71"/>
      <c r="K283" s="35" t="s">
        <v>65</v>
      </c>
      <c r="L283" s="79">
        <v>283</v>
      </c>
      <c r="M283" s="79"/>
      <c r="N283" s="73"/>
      <c r="O283" s="81" t="s">
        <v>379</v>
      </c>
      <c r="P283">
        <v>1</v>
      </c>
      <c r="Q283" s="80" t="str">
        <f>REPLACE(INDEX(GroupVertices[Group],MATCH(Edges[[#This Row],[Vertex 1]],GroupVertices[Vertex],0)),1,1,"")</f>
        <v>1</v>
      </c>
      <c r="R283" s="80" t="str">
        <f>REPLACE(INDEX(GroupVertices[Group],MATCH(Edges[[#This Row],[Vertex 2]],GroupVertices[Vertex],0)),1,1,"")</f>
        <v>1</v>
      </c>
      <c r="S283" s="35"/>
      <c r="T283" s="35"/>
      <c r="U283" s="35"/>
      <c r="V283" s="35"/>
      <c r="W283" s="35"/>
      <c r="X283" s="35"/>
      <c r="Y283" s="35"/>
      <c r="Z283" s="35"/>
      <c r="AA283" s="35"/>
    </row>
    <row r="284" spans="1:27" ht="15">
      <c r="A284" s="65" t="s">
        <v>225</v>
      </c>
      <c r="B284" s="65" t="s">
        <v>196</v>
      </c>
      <c r="C284" s="66" t="s">
        <v>1612</v>
      </c>
      <c r="D284" s="67">
        <v>5</v>
      </c>
      <c r="E284" s="68"/>
      <c r="F284" s="69">
        <v>25</v>
      </c>
      <c r="G284" s="66"/>
      <c r="H284" s="70"/>
      <c r="I284" s="71"/>
      <c r="J284" s="71"/>
      <c r="K284" s="35" t="s">
        <v>65</v>
      </c>
      <c r="L284" s="79">
        <v>284</v>
      </c>
      <c r="M284" s="79"/>
      <c r="N284" s="73"/>
      <c r="O284" s="81" t="s">
        <v>379</v>
      </c>
      <c r="P284">
        <v>1</v>
      </c>
      <c r="Q284" s="80" t="str">
        <f>REPLACE(INDEX(GroupVertices[Group],MATCH(Edges[[#This Row],[Vertex 1]],GroupVertices[Vertex],0)),1,1,"")</f>
        <v>1</v>
      </c>
      <c r="R284" s="80" t="str">
        <f>REPLACE(INDEX(GroupVertices[Group],MATCH(Edges[[#This Row],[Vertex 2]],GroupVertices[Vertex],0)),1,1,"")</f>
        <v>1</v>
      </c>
      <c r="S284" s="35"/>
      <c r="T284" s="35"/>
      <c r="U284" s="35"/>
      <c r="V284" s="35"/>
      <c r="W284" s="35"/>
      <c r="X284" s="35"/>
      <c r="Y284" s="35"/>
      <c r="Z284" s="35"/>
      <c r="AA284" s="35"/>
    </row>
    <row r="285" spans="1:27" ht="15">
      <c r="A285" s="65" t="s">
        <v>233</v>
      </c>
      <c r="B285" s="65" t="s">
        <v>196</v>
      </c>
      <c r="C285" s="66" t="s">
        <v>1612</v>
      </c>
      <c r="D285" s="67">
        <v>5</v>
      </c>
      <c r="E285" s="68"/>
      <c r="F285" s="69">
        <v>25</v>
      </c>
      <c r="G285" s="66"/>
      <c r="H285" s="70"/>
      <c r="I285" s="71"/>
      <c r="J285" s="71"/>
      <c r="K285" s="35" t="s">
        <v>65</v>
      </c>
      <c r="L285" s="79">
        <v>285</v>
      </c>
      <c r="M285" s="79"/>
      <c r="N285" s="73"/>
      <c r="O285" s="81" t="s">
        <v>378</v>
      </c>
      <c r="P285">
        <v>1</v>
      </c>
      <c r="Q285" s="80" t="str">
        <f>REPLACE(INDEX(GroupVertices[Group],MATCH(Edges[[#This Row],[Vertex 1]],GroupVertices[Vertex],0)),1,1,"")</f>
        <v>1</v>
      </c>
      <c r="R285" s="80" t="str">
        <f>REPLACE(INDEX(GroupVertices[Group],MATCH(Edges[[#This Row],[Vertex 2]],GroupVertices[Vertex],0)),1,1,"")</f>
        <v>1</v>
      </c>
      <c r="S285" s="35"/>
      <c r="T285" s="35"/>
      <c r="U285" s="35"/>
      <c r="V285" s="35"/>
      <c r="W285" s="35"/>
      <c r="X285" s="35"/>
      <c r="Y285" s="35"/>
      <c r="Z285" s="35"/>
      <c r="AA285" s="35"/>
    </row>
    <row r="286" spans="1:27" ht="15">
      <c r="A286" s="65" t="s">
        <v>233</v>
      </c>
      <c r="B286" s="65" t="s">
        <v>197</v>
      </c>
      <c r="C286" s="66" t="s">
        <v>1612</v>
      </c>
      <c r="D286" s="67">
        <v>5</v>
      </c>
      <c r="E286" s="68"/>
      <c r="F286" s="69">
        <v>25</v>
      </c>
      <c r="G286" s="66"/>
      <c r="H286" s="70"/>
      <c r="I286" s="71"/>
      <c r="J286" s="71"/>
      <c r="K286" s="35" t="s">
        <v>65</v>
      </c>
      <c r="L286" s="79">
        <v>286</v>
      </c>
      <c r="M286" s="79"/>
      <c r="N286" s="73"/>
      <c r="O286" s="81" t="s">
        <v>378</v>
      </c>
      <c r="P286">
        <v>1</v>
      </c>
      <c r="Q286" s="80" t="str">
        <f>REPLACE(INDEX(GroupVertices[Group],MATCH(Edges[[#This Row],[Vertex 1]],GroupVertices[Vertex],0)),1,1,"")</f>
        <v>1</v>
      </c>
      <c r="R286" s="80" t="str">
        <f>REPLACE(INDEX(GroupVertices[Group],MATCH(Edges[[#This Row],[Vertex 2]],GroupVertices[Vertex],0)),1,1,"")</f>
        <v>6</v>
      </c>
      <c r="S286" s="35"/>
      <c r="T286" s="35"/>
      <c r="U286" s="35"/>
      <c r="V286" s="35"/>
      <c r="W286" s="35"/>
      <c r="X286" s="35"/>
      <c r="Y286" s="35"/>
      <c r="Z286" s="35"/>
      <c r="AA286" s="35"/>
    </row>
    <row r="287" spans="1:27" ht="15">
      <c r="A287" s="65" t="s">
        <v>198</v>
      </c>
      <c r="B287" s="65" t="s">
        <v>216</v>
      </c>
      <c r="C287" s="66" t="s">
        <v>1612</v>
      </c>
      <c r="D287" s="67">
        <v>5</v>
      </c>
      <c r="E287" s="68"/>
      <c r="F287" s="69">
        <v>25</v>
      </c>
      <c r="G287" s="66"/>
      <c r="H287" s="70"/>
      <c r="I287" s="71"/>
      <c r="J287" s="71"/>
      <c r="K287" s="35" t="s">
        <v>66</v>
      </c>
      <c r="L287" s="79">
        <v>287</v>
      </c>
      <c r="M287" s="79"/>
      <c r="N287" s="73"/>
      <c r="O287" s="81" t="s">
        <v>377</v>
      </c>
      <c r="P287">
        <v>1</v>
      </c>
      <c r="Q287" s="80" t="str">
        <f>REPLACE(INDEX(GroupVertices[Group],MATCH(Edges[[#This Row],[Vertex 1]],GroupVertices[Vertex],0)),1,1,"")</f>
        <v>2</v>
      </c>
      <c r="R287" s="80" t="str">
        <f>REPLACE(INDEX(GroupVertices[Group],MATCH(Edges[[#This Row],[Vertex 2]],GroupVertices[Vertex],0)),1,1,"")</f>
        <v>2</v>
      </c>
      <c r="S287" s="35"/>
      <c r="T287" s="35"/>
      <c r="U287" s="35"/>
      <c r="V287" s="35"/>
      <c r="W287" s="35"/>
      <c r="X287" s="35"/>
      <c r="Y287" s="35"/>
      <c r="Z287" s="35"/>
      <c r="AA287" s="35"/>
    </row>
    <row r="288" spans="1:27" ht="15">
      <c r="A288" s="65" t="s">
        <v>198</v>
      </c>
      <c r="B288" s="65" t="s">
        <v>220</v>
      </c>
      <c r="C288" s="66" t="s">
        <v>1612</v>
      </c>
      <c r="D288" s="67">
        <v>5</v>
      </c>
      <c r="E288" s="68"/>
      <c r="F288" s="69">
        <v>25</v>
      </c>
      <c r="G288" s="66"/>
      <c r="H288" s="70"/>
      <c r="I288" s="71"/>
      <c r="J288" s="71"/>
      <c r="K288" s="35" t="s">
        <v>66</v>
      </c>
      <c r="L288" s="79">
        <v>288</v>
      </c>
      <c r="M288" s="79"/>
      <c r="N288" s="73"/>
      <c r="O288" s="81" t="s">
        <v>377</v>
      </c>
      <c r="P288">
        <v>1</v>
      </c>
      <c r="Q288" s="80" t="str">
        <f>REPLACE(INDEX(GroupVertices[Group],MATCH(Edges[[#This Row],[Vertex 1]],GroupVertices[Vertex],0)),1,1,"")</f>
        <v>2</v>
      </c>
      <c r="R288" s="80" t="str">
        <f>REPLACE(INDEX(GroupVertices[Group],MATCH(Edges[[#This Row],[Vertex 2]],GroupVertices[Vertex],0)),1,1,"")</f>
        <v>2</v>
      </c>
      <c r="S288" s="35"/>
      <c r="T288" s="35"/>
      <c r="U288" s="35"/>
      <c r="V288" s="35"/>
      <c r="W288" s="35"/>
      <c r="X288" s="35"/>
      <c r="Y288" s="35"/>
      <c r="Z288" s="35"/>
      <c r="AA288" s="35"/>
    </row>
    <row r="289" spans="1:27" ht="15">
      <c r="A289" s="65" t="s">
        <v>198</v>
      </c>
      <c r="B289" s="65" t="s">
        <v>218</v>
      </c>
      <c r="C289" s="66" t="s">
        <v>1612</v>
      </c>
      <c r="D289" s="67">
        <v>5</v>
      </c>
      <c r="E289" s="68"/>
      <c r="F289" s="69">
        <v>25</v>
      </c>
      <c r="G289" s="66"/>
      <c r="H289" s="70"/>
      <c r="I289" s="71"/>
      <c r="J289" s="71"/>
      <c r="K289" s="35" t="s">
        <v>66</v>
      </c>
      <c r="L289" s="79">
        <v>289</v>
      </c>
      <c r="M289" s="79"/>
      <c r="N289" s="73"/>
      <c r="O289" s="81" t="s">
        <v>377</v>
      </c>
      <c r="P289">
        <v>1</v>
      </c>
      <c r="Q289" s="80" t="str">
        <f>REPLACE(INDEX(GroupVertices[Group],MATCH(Edges[[#This Row],[Vertex 1]],GroupVertices[Vertex],0)),1,1,"")</f>
        <v>2</v>
      </c>
      <c r="R289" s="80" t="str">
        <f>REPLACE(INDEX(GroupVertices[Group],MATCH(Edges[[#This Row],[Vertex 2]],GroupVertices[Vertex],0)),1,1,"")</f>
        <v>2</v>
      </c>
      <c r="S289" s="35"/>
      <c r="T289" s="35"/>
      <c r="U289" s="35"/>
      <c r="V289" s="35"/>
      <c r="W289" s="35"/>
      <c r="X289" s="35"/>
      <c r="Y289" s="35"/>
      <c r="Z289" s="35"/>
      <c r="AA289" s="35"/>
    </row>
    <row r="290" spans="1:27" ht="15">
      <c r="A290" s="65" t="s">
        <v>210</v>
      </c>
      <c r="B290" s="65" t="s">
        <v>198</v>
      </c>
      <c r="C290" s="66" t="s">
        <v>1612</v>
      </c>
      <c r="D290" s="67">
        <v>5</v>
      </c>
      <c r="E290" s="68"/>
      <c r="F290" s="69">
        <v>25</v>
      </c>
      <c r="G290" s="66"/>
      <c r="H290" s="70"/>
      <c r="I290" s="71"/>
      <c r="J290" s="71"/>
      <c r="K290" s="35" t="s">
        <v>65</v>
      </c>
      <c r="L290" s="79">
        <v>290</v>
      </c>
      <c r="M290" s="79"/>
      <c r="N290" s="73"/>
      <c r="O290" s="81" t="s">
        <v>377</v>
      </c>
      <c r="P290">
        <v>1</v>
      </c>
      <c r="Q290" s="80" t="str">
        <f>REPLACE(INDEX(GroupVertices[Group],MATCH(Edges[[#This Row],[Vertex 1]],GroupVertices[Vertex],0)),1,1,"")</f>
        <v>2</v>
      </c>
      <c r="R290" s="80" t="str">
        <f>REPLACE(INDEX(GroupVertices[Group],MATCH(Edges[[#This Row],[Vertex 2]],GroupVertices[Vertex],0)),1,1,"")</f>
        <v>2</v>
      </c>
      <c r="S290" s="35"/>
      <c r="T290" s="35"/>
      <c r="U290" s="35"/>
      <c r="V290" s="35"/>
      <c r="W290" s="35"/>
      <c r="X290" s="35"/>
      <c r="Y290" s="35"/>
      <c r="Z290" s="35"/>
      <c r="AA290" s="35"/>
    </row>
    <row r="291" spans="1:27" ht="15">
      <c r="A291" s="65" t="s">
        <v>218</v>
      </c>
      <c r="B291" s="65" t="s">
        <v>198</v>
      </c>
      <c r="C291" s="66" t="s">
        <v>1612</v>
      </c>
      <c r="D291" s="67">
        <v>5</v>
      </c>
      <c r="E291" s="68"/>
      <c r="F291" s="69">
        <v>25</v>
      </c>
      <c r="G291" s="66"/>
      <c r="H291" s="70"/>
      <c r="I291" s="71"/>
      <c r="J291" s="71"/>
      <c r="K291" s="35" t="s">
        <v>66</v>
      </c>
      <c r="L291" s="79">
        <v>291</v>
      </c>
      <c r="M291" s="79"/>
      <c r="N291" s="73"/>
      <c r="O291" s="81" t="s">
        <v>377</v>
      </c>
      <c r="P291">
        <v>1</v>
      </c>
      <c r="Q291" s="80" t="str">
        <f>REPLACE(INDEX(GroupVertices[Group],MATCH(Edges[[#This Row],[Vertex 1]],GroupVertices[Vertex],0)),1,1,"")</f>
        <v>2</v>
      </c>
      <c r="R291" s="80" t="str">
        <f>REPLACE(INDEX(GroupVertices[Group],MATCH(Edges[[#This Row],[Vertex 2]],GroupVertices[Vertex],0)),1,1,"")</f>
        <v>2</v>
      </c>
      <c r="S291" s="35"/>
      <c r="T291" s="35"/>
      <c r="U291" s="35"/>
      <c r="V291" s="35"/>
      <c r="W291" s="35"/>
      <c r="X291" s="35"/>
      <c r="Y291" s="35"/>
      <c r="Z291" s="35"/>
      <c r="AA291" s="35"/>
    </row>
    <row r="292" spans="1:27" ht="15">
      <c r="A292" s="65" t="s">
        <v>209</v>
      </c>
      <c r="B292" s="65" t="s">
        <v>198</v>
      </c>
      <c r="C292" s="66" t="s">
        <v>1612</v>
      </c>
      <c r="D292" s="67">
        <v>5</v>
      </c>
      <c r="E292" s="68"/>
      <c r="F292" s="69">
        <v>25</v>
      </c>
      <c r="G292" s="66"/>
      <c r="H292" s="70"/>
      <c r="I292" s="71"/>
      <c r="J292" s="71"/>
      <c r="K292" s="35" t="s">
        <v>65</v>
      </c>
      <c r="L292" s="79">
        <v>292</v>
      </c>
      <c r="M292" s="79"/>
      <c r="N292" s="73"/>
      <c r="O292" s="81" t="s">
        <v>379</v>
      </c>
      <c r="P292">
        <v>1</v>
      </c>
      <c r="Q292" s="80" t="str">
        <f>REPLACE(INDEX(GroupVertices[Group],MATCH(Edges[[#This Row],[Vertex 1]],GroupVertices[Vertex],0)),1,1,"")</f>
        <v>2</v>
      </c>
      <c r="R292" s="80" t="str">
        <f>REPLACE(INDEX(GroupVertices[Group],MATCH(Edges[[#This Row],[Vertex 2]],GroupVertices[Vertex],0)),1,1,"")</f>
        <v>2</v>
      </c>
      <c r="S292" s="35"/>
      <c r="T292" s="35"/>
      <c r="U292" s="35"/>
      <c r="V292" s="35"/>
      <c r="W292" s="35"/>
      <c r="X292" s="35"/>
      <c r="Y292" s="35"/>
      <c r="Z292" s="35"/>
      <c r="AA292" s="35"/>
    </row>
    <row r="293" spans="1:27" ht="15">
      <c r="A293" s="65" t="s">
        <v>210</v>
      </c>
      <c r="B293" s="65" t="s">
        <v>198</v>
      </c>
      <c r="C293" s="66" t="s">
        <v>1612</v>
      </c>
      <c r="D293" s="67">
        <v>5</v>
      </c>
      <c r="E293" s="68"/>
      <c r="F293" s="69">
        <v>25</v>
      </c>
      <c r="G293" s="66"/>
      <c r="H293" s="70"/>
      <c r="I293" s="71"/>
      <c r="J293" s="71"/>
      <c r="K293" s="35" t="s">
        <v>65</v>
      </c>
      <c r="L293" s="79">
        <v>293</v>
      </c>
      <c r="M293" s="79"/>
      <c r="N293" s="73"/>
      <c r="O293" s="81" t="s">
        <v>379</v>
      </c>
      <c r="P293">
        <v>1</v>
      </c>
      <c r="Q293" s="80" t="str">
        <f>REPLACE(INDEX(GroupVertices[Group],MATCH(Edges[[#This Row],[Vertex 1]],GroupVertices[Vertex],0)),1,1,"")</f>
        <v>2</v>
      </c>
      <c r="R293" s="80" t="str">
        <f>REPLACE(INDEX(GroupVertices[Group],MATCH(Edges[[#This Row],[Vertex 2]],GroupVertices[Vertex],0)),1,1,"")</f>
        <v>2</v>
      </c>
      <c r="S293" s="35"/>
      <c r="T293" s="35"/>
      <c r="U293" s="35"/>
      <c r="V293" s="35"/>
      <c r="W293" s="35"/>
      <c r="X293" s="35"/>
      <c r="Y293" s="35"/>
      <c r="Z293" s="35"/>
      <c r="AA293" s="35"/>
    </row>
    <row r="294" spans="1:27" ht="15">
      <c r="A294" s="65" t="s">
        <v>213</v>
      </c>
      <c r="B294" s="65" t="s">
        <v>198</v>
      </c>
      <c r="C294" s="66" t="s">
        <v>1612</v>
      </c>
      <c r="D294" s="67">
        <v>5</v>
      </c>
      <c r="E294" s="68"/>
      <c r="F294" s="69">
        <v>25</v>
      </c>
      <c r="G294" s="66"/>
      <c r="H294" s="70"/>
      <c r="I294" s="71"/>
      <c r="J294" s="71"/>
      <c r="K294" s="35" t="s">
        <v>65</v>
      </c>
      <c r="L294" s="79">
        <v>294</v>
      </c>
      <c r="M294" s="79"/>
      <c r="N294" s="73"/>
      <c r="O294" s="81" t="s">
        <v>379</v>
      </c>
      <c r="P294">
        <v>1</v>
      </c>
      <c r="Q294" s="80" t="str">
        <f>REPLACE(INDEX(GroupVertices[Group],MATCH(Edges[[#This Row],[Vertex 1]],GroupVertices[Vertex],0)),1,1,"")</f>
        <v>2</v>
      </c>
      <c r="R294" s="80" t="str">
        <f>REPLACE(INDEX(GroupVertices[Group],MATCH(Edges[[#This Row],[Vertex 2]],GroupVertices[Vertex],0)),1,1,"")</f>
        <v>2</v>
      </c>
      <c r="S294" s="35"/>
      <c r="T294" s="35"/>
      <c r="U294" s="35"/>
      <c r="V294" s="35"/>
      <c r="W294" s="35"/>
      <c r="X294" s="35"/>
      <c r="Y294" s="35"/>
      <c r="Z294" s="35"/>
      <c r="AA294" s="35"/>
    </row>
    <row r="295" spans="1:27" ht="15">
      <c r="A295" s="65" t="s">
        <v>216</v>
      </c>
      <c r="B295" s="65" t="s">
        <v>198</v>
      </c>
      <c r="C295" s="66" t="s">
        <v>1612</v>
      </c>
      <c r="D295" s="67">
        <v>5</v>
      </c>
      <c r="E295" s="68"/>
      <c r="F295" s="69">
        <v>25</v>
      </c>
      <c r="G295" s="66"/>
      <c r="H295" s="70"/>
      <c r="I295" s="71"/>
      <c r="J295" s="71"/>
      <c r="K295" s="35" t="s">
        <v>66</v>
      </c>
      <c r="L295" s="79">
        <v>295</v>
      </c>
      <c r="M295" s="79"/>
      <c r="N295" s="73"/>
      <c r="O295" s="81" t="s">
        <v>379</v>
      </c>
      <c r="P295">
        <v>1</v>
      </c>
      <c r="Q295" s="80" t="str">
        <f>REPLACE(INDEX(GroupVertices[Group],MATCH(Edges[[#This Row],[Vertex 1]],GroupVertices[Vertex],0)),1,1,"")</f>
        <v>2</v>
      </c>
      <c r="R295" s="80" t="str">
        <f>REPLACE(INDEX(GroupVertices[Group],MATCH(Edges[[#This Row],[Vertex 2]],GroupVertices[Vertex],0)),1,1,"")</f>
        <v>2</v>
      </c>
      <c r="S295" s="35"/>
      <c r="T295" s="35"/>
      <c r="U295" s="35"/>
      <c r="V295" s="35"/>
      <c r="W295" s="35"/>
      <c r="X295" s="35"/>
      <c r="Y295" s="35"/>
      <c r="Z295" s="35"/>
      <c r="AA295" s="35"/>
    </row>
    <row r="296" spans="1:27" ht="15">
      <c r="A296" s="65" t="s">
        <v>218</v>
      </c>
      <c r="B296" s="65" t="s">
        <v>198</v>
      </c>
      <c r="C296" s="66" t="s">
        <v>1612</v>
      </c>
      <c r="D296" s="67">
        <v>5</v>
      </c>
      <c r="E296" s="68"/>
      <c r="F296" s="69">
        <v>25</v>
      </c>
      <c r="G296" s="66"/>
      <c r="H296" s="70"/>
      <c r="I296" s="71"/>
      <c r="J296" s="71"/>
      <c r="K296" s="35" t="s">
        <v>66</v>
      </c>
      <c r="L296" s="79">
        <v>296</v>
      </c>
      <c r="M296" s="79"/>
      <c r="N296" s="73"/>
      <c r="O296" s="81" t="s">
        <v>379</v>
      </c>
      <c r="P296">
        <v>1</v>
      </c>
      <c r="Q296" s="80" t="str">
        <f>REPLACE(INDEX(GroupVertices[Group],MATCH(Edges[[#This Row],[Vertex 1]],GroupVertices[Vertex],0)),1,1,"")</f>
        <v>2</v>
      </c>
      <c r="R296" s="80" t="str">
        <f>REPLACE(INDEX(GroupVertices[Group],MATCH(Edges[[#This Row],[Vertex 2]],GroupVertices[Vertex],0)),1,1,"")</f>
        <v>2</v>
      </c>
      <c r="S296" s="35"/>
      <c r="T296" s="35"/>
      <c r="U296" s="35"/>
      <c r="V296" s="35"/>
      <c r="W296" s="35"/>
      <c r="X296" s="35"/>
      <c r="Y296" s="35"/>
      <c r="Z296" s="35"/>
      <c r="AA296" s="35"/>
    </row>
    <row r="297" spans="1:27" ht="15">
      <c r="A297" s="65" t="s">
        <v>231</v>
      </c>
      <c r="B297" s="65" t="s">
        <v>198</v>
      </c>
      <c r="C297" s="66" t="s">
        <v>1612</v>
      </c>
      <c r="D297" s="67">
        <v>5</v>
      </c>
      <c r="E297" s="68"/>
      <c r="F297" s="69">
        <v>25</v>
      </c>
      <c r="G297" s="66"/>
      <c r="H297" s="70"/>
      <c r="I297" s="71"/>
      <c r="J297" s="71"/>
      <c r="K297" s="35" t="s">
        <v>65</v>
      </c>
      <c r="L297" s="79">
        <v>297</v>
      </c>
      <c r="M297" s="79"/>
      <c r="N297" s="73"/>
      <c r="O297" s="81" t="s">
        <v>379</v>
      </c>
      <c r="P297">
        <v>1</v>
      </c>
      <c r="Q297" s="80" t="str">
        <f>REPLACE(INDEX(GroupVertices[Group],MATCH(Edges[[#This Row],[Vertex 1]],GroupVertices[Vertex],0)),1,1,"")</f>
        <v>1</v>
      </c>
      <c r="R297" s="80" t="str">
        <f>REPLACE(INDEX(GroupVertices[Group],MATCH(Edges[[#This Row],[Vertex 2]],GroupVertices[Vertex],0)),1,1,"")</f>
        <v>2</v>
      </c>
      <c r="S297" s="35"/>
      <c r="T297" s="35"/>
      <c r="U297" s="35"/>
      <c r="V297" s="35"/>
      <c r="W297" s="35"/>
      <c r="X297" s="35"/>
      <c r="Y297" s="35"/>
      <c r="Z297" s="35"/>
      <c r="AA297" s="35"/>
    </row>
    <row r="298" spans="1:27" ht="15">
      <c r="A298" s="65" t="s">
        <v>220</v>
      </c>
      <c r="B298" s="65" t="s">
        <v>198</v>
      </c>
      <c r="C298" s="66" t="s">
        <v>1612</v>
      </c>
      <c r="D298" s="67">
        <v>5</v>
      </c>
      <c r="E298" s="68"/>
      <c r="F298" s="69">
        <v>25</v>
      </c>
      <c r="G298" s="66"/>
      <c r="H298" s="70"/>
      <c r="I298" s="71"/>
      <c r="J298" s="71"/>
      <c r="K298" s="35" t="s">
        <v>66</v>
      </c>
      <c r="L298" s="79">
        <v>298</v>
      </c>
      <c r="M298" s="79"/>
      <c r="N298" s="73"/>
      <c r="O298" s="81" t="s">
        <v>379</v>
      </c>
      <c r="P298">
        <v>1</v>
      </c>
      <c r="Q298" s="80" t="str">
        <f>REPLACE(INDEX(GroupVertices[Group],MATCH(Edges[[#This Row],[Vertex 1]],GroupVertices[Vertex],0)),1,1,"")</f>
        <v>2</v>
      </c>
      <c r="R298" s="80" t="str">
        <f>REPLACE(INDEX(GroupVertices[Group],MATCH(Edges[[#This Row],[Vertex 2]],GroupVertices[Vertex],0)),1,1,"")</f>
        <v>2</v>
      </c>
      <c r="S298" s="35"/>
      <c r="T298" s="35"/>
      <c r="U298" s="35"/>
      <c r="V298" s="35"/>
      <c r="W298" s="35"/>
      <c r="X298" s="35"/>
      <c r="Y298" s="35"/>
      <c r="Z298" s="35"/>
      <c r="AA298" s="35"/>
    </row>
    <row r="299" spans="1:27" ht="15">
      <c r="A299" s="65" t="s">
        <v>230</v>
      </c>
      <c r="B299" s="65" t="s">
        <v>198</v>
      </c>
      <c r="C299" s="66" t="s">
        <v>1612</v>
      </c>
      <c r="D299" s="67">
        <v>5</v>
      </c>
      <c r="E299" s="68"/>
      <c r="F299" s="69">
        <v>25</v>
      </c>
      <c r="G299" s="66"/>
      <c r="H299" s="70"/>
      <c r="I299" s="71"/>
      <c r="J299" s="71"/>
      <c r="K299" s="35" t="s">
        <v>65</v>
      </c>
      <c r="L299" s="79">
        <v>299</v>
      </c>
      <c r="M299" s="79"/>
      <c r="N299" s="73"/>
      <c r="O299" s="81" t="s">
        <v>379</v>
      </c>
      <c r="P299">
        <v>1</v>
      </c>
      <c r="Q299" s="80" t="str">
        <f>REPLACE(INDEX(GroupVertices[Group],MATCH(Edges[[#This Row],[Vertex 1]],GroupVertices[Vertex],0)),1,1,"")</f>
        <v>2</v>
      </c>
      <c r="R299" s="80" t="str">
        <f>REPLACE(INDEX(GroupVertices[Group],MATCH(Edges[[#This Row],[Vertex 2]],GroupVertices[Vertex],0)),1,1,"")</f>
        <v>2</v>
      </c>
      <c r="S299" s="35"/>
      <c r="T299" s="35"/>
      <c r="U299" s="35"/>
      <c r="V299" s="35"/>
      <c r="W299" s="35"/>
      <c r="X299" s="35"/>
      <c r="Y299" s="35"/>
      <c r="Z299" s="35"/>
      <c r="AA299" s="35"/>
    </row>
    <row r="300" spans="1:27" ht="15">
      <c r="A300" s="65" t="s">
        <v>233</v>
      </c>
      <c r="B300" s="65" t="s">
        <v>198</v>
      </c>
      <c r="C300" s="66" t="s">
        <v>1612</v>
      </c>
      <c r="D300" s="67">
        <v>5</v>
      </c>
      <c r="E300" s="68"/>
      <c r="F300" s="69">
        <v>25</v>
      </c>
      <c r="G300" s="66"/>
      <c r="H300" s="70"/>
      <c r="I300" s="71"/>
      <c r="J300" s="71"/>
      <c r="K300" s="35" t="s">
        <v>65</v>
      </c>
      <c r="L300" s="79">
        <v>300</v>
      </c>
      <c r="M300" s="79"/>
      <c r="N300" s="73"/>
      <c r="O300" s="81" t="s">
        <v>378</v>
      </c>
      <c r="P300">
        <v>1</v>
      </c>
      <c r="Q300" s="80" t="str">
        <f>REPLACE(INDEX(GroupVertices[Group],MATCH(Edges[[#This Row],[Vertex 1]],GroupVertices[Vertex],0)),1,1,"")</f>
        <v>1</v>
      </c>
      <c r="R300" s="80" t="str">
        <f>REPLACE(INDEX(GroupVertices[Group],MATCH(Edges[[#This Row],[Vertex 2]],GroupVertices[Vertex],0)),1,1,"")</f>
        <v>2</v>
      </c>
      <c r="S300" s="35"/>
      <c r="T300" s="35"/>
      <c r="U300" s="35"/>
      <c r="V300" s="35"/>
      <c r="W300" s="35"/>
      <c r="X300" s="35"/>
      <c r="Y300" s="35"/>
      <c r="Z300" s="35"/>
      <c r="AA300" s="35"/>
    </row>
    <row r="301" spans="1:27" ht="15">
      <c r="A301" s="65" t="s">
        <v>199</v>
      </c>
      <c r="B301" s="65" t="s">
        <v>219</v>
      </c>
      <c r="C301" s="66" t="s">
        <v>1612</v>
      </c>
      <c r="D301" s="67">
        <v>5</v>
      </c>
      <c r="E301" s="68"/>
      <c r="F301" s="69">
        <v>25</v>
      </c>
      <c r="G301" s="66"/>
      <c r="H301" s="70"/>
      <c r="I301" s="71"/>
      <c r="J301" s="71"/>
      <c r="K301" s="35" t="s">
        <v>66</v>
      </c>
      <c r="L301" s="79">
        <v>301</v>
      </c>
      <c r="M301" s="79"/>
      <c r="N301" s="73"/>
      <c r="O301" s="81" t="s">
        <v>377</v>
      </c>
      <c r="P301">
        <v>1</v>
      </c>
      <c r="Q301" s="80" t="str">
        <f>REPLACE(INDEX(GroupVertices[Group],MATCH(Edges[[#This Row],[Vertex 1]],GroupVertices[Vertex],0)),1,1,"")</f>
        <v>1</v>
      </c>
      <c r="R301" s="80" t="str">
        <f>REPLACE(INDEX(GroupVertices[Group],MATCH(Edges[[#This Row],[Vertex 2]],GroupVertices[Vertex],0)),1,1,"")</f>
        <v>1</v>
      </c>
      <c r="S301" s="35"/>
      <c r="T301" s="35"/>
      <c r="U301" s="35"/>
      <c r="V301" s="35"/>
      <c r="W301" s="35"/>
      <c r="X301" s="35"/>
      <c r="Y301" s="35"/>
      <c r="Z301" s="35"/>
      <c r="AA301" s="35"/>
    </row>
    <row r="302" spans="1:27" ht="15">
      <c r="A302" s="65" t="s">
        <v>219</v>
      </c>
      <c r="B302" s="65" t="s">
        <v>199</v>
      </c>
      <c r="C302" s="66" t="s">
        <v>1612</v>
      </c>
      <c r="D302" s="67">
        <v>5</v>
      </c>
      <c r="E302" s="68"/>
      <c r="F302" s="69">
        <v>25</v>
      </c>
      <c r="G302" s="66"/>
      <c r="H302" s="70"/>
      <c r="I302" s="71"/>
      <c r="J302" s="71"/>
      <c r="K302" s="35" t="s">
        <v>66</v>
      </c>
      <c r="L302" s="79">
        <v>302</v>
      </c>
      <c r="M302" s="79"/>
      <c r="N302" s="73"/>
      <c r="O302" s="81" t="s">
        <v>377</v>
      </c>
      <c r="P302">
        <v>1</v>
      </c>
      <c r="Q302" s="80" t="str">
        <f>REPLACE(INDEX(GroupVertices[Group],MATCH(Edges[[#This Row],[Vertex 1]],GroupVertices[Vertex],0)),1,1,"")</f>
        <v>1</v>
      </c>
      <c r="R302" s="80" t="str">
        <f>REPLACE(INDEX(GroupVertices[Group],MATCH(Edges[[#This Row],[Vertex 2]],GroupVertices[Vertex],0)),1,1,"")</f>
        <v>1</v>
      </c>
      <c r="S302" s="35"/>
      <c r="T302" s="35"/>
      <c r="U302" s="35"/>
      <c r="V302" s="35"/>
      <c r="W302" s="35"/>
      <c r="X302" s="35"/>
      <c r="Y302" s="35"/>
      <c r="Z302" s="35"/>
      <c r="AA302" s="35"/>
    </row>
    <row r="303" spans="1:27" ht="15">
      <c r="A303" s="65" t="s">
        <v>224</v>
      </c>
      <c r="B303" s="65" t="s">
        <v>199</v>
      </c>
      <c r="C303" s="66" t="s">
        <v>1612</v>
      </c>
      <c r="D303" s="67">
        <v>5</v>
      </c>
      <c r="E303" s="68"/>
      <c r="F303" s="69">
        <v>25</v>
      </c>
      <c r="G303" s="66"/>
      <c r="H303" s="70"/>
      <c r="I303" s="71"/>
      <c r="J303" s="71"/>
      <c r="K303" s="35" t="s">
        <v>65</v>
      </c>
      <c r="L303" s="79">
        <v>303</v>
      </c>
      <c r="M303" s="79"/>
      <c r="N303" s="73"/>
      <c r="O303" s="81" t="s">
        <v>377</v>
      </c>
      <c r="P303">
        <v>1</v>
      </c>
      <c r="Q303" s="80" t="str">
        <f>REPLACE(INDEX(GroupVertices[Group],MATCH(Edges[[#This Row],[Vertex 1]],GroupVertices[Vertex],0)),1,1,"")</f>
        <v>1</v>
      </c>
      <c r="R303" s="80" t="str">
        <f>REPLACE(INDEX(GroupVertices[Group],MATCH(Edges[[#This Row],[Vertex 2]],GroupVertices[Vertex],0)),1,1,"")</f>
        <v>1</v>
      </c>
      <c r="S303" s="35"/>
      <c r="T303" s="35"/>
      <c r="U303" s="35"/>
      <c r="V303" s="35"/>
      <c r="W303" s="35"/>
      <c r="X303" s="35"/>
      <c r="Y303" s="35"/>
      <c r="Z303" s="35"/>
      <c r="AA303" s="35"/>
    </row>
    <row r="304" spans="1:27" ht="15">
      <c r="A304" s="65" t="s">
        <v>225</v>
      </c>
      <c r="B304" s="65" t="s">
        <v>199</v>
      </c>
      <c r="C304" s="66" t="s">
        <v>1612</v>
      </c>
      <c r="D304" s="67">
        <v>5</v>
      </c>
      <c r="E304" s="68"/>
      <c r="F304" s="69">
        <v>25</v>
      </c>
      <c r="G304" s="66"/>
      <c r="H304" s="70"/>
      <c r="I304" s="71"/>
      <c r="J304" s="71"/>
      <c r="K304" s="35" t="s">
        <v>65</v>
      </c>
      <c r="L304" s="79">
        <v>304</v>
      </c>
      <c r="M304" s="79"/>
      <c r="N304" s="73"/>
      <c r="O304" s="81" t="s">
        <v>377</v>
      </c>
      <c r="P304">
        <v>1</v>
      </c>
      <c r="Q304" s="80" t="str">
        <f>REPLACE(INDEX(GroupVertices[Group],MATCH(Edges[[#This Row],[Vertex 1]],GroupVertices[Vertex],0)),1,1,"")</f>
        <v>1</v>
      </c>
      <c r="R304" s="80" t="str">
        <f>REPLACE(INDEX(GroupVertices[Group],MATCH(Edges[[#This Row],[Vertex 2]],GroupVertices[Vertex],0)),1,1,"")</f>
        <v>1</v>
      </c>
      <c r="S304" s="35"/>
      <c r="T304" s="35"/>
      <c r="U304" s="35"/>
      <c r="V304" s="35"/>
      <c r="W304" s="35"/>
      <c r="X304" s="35"/>
      <c r="Y304" s="35"/>
      <c r="Z304" s="35"/>
      <c r="AA304" s="35"/>
    </row>
    <row r="305" spans="1:27" ht="15">
      <c r="A305" s="65" t="s">
        <v>231</v>
      </c>
      <c r="B305" s="65" t="s">
        <v>199</v>
      </c>
      <c r="C305" s="66" t="s">
        <v>1612</v>
      </c>
      <c r="D305" s="67">
        <v>5</v>
      </c>
      <c r="E305" s="68"/>
      <c r="F305" s="69">
        <v>25</v>
      </c>
      <c r="G305" s="66"/>
      <c r="H305" s="70"/>
      <c r="I305" s="71"/>
      <c r="J305" s="71"/>
      <c r="K305" s="35" t="s">
        <v>65</v>
      </c>
      <c r="L305" s="79">
        <v>305</v>
      </c>
      <c r="M305" s="79"/>
      <c r="N305" s="73"/>
      <c r="O305" s="81" t="s">
        <v>379</v>
      </c>
      <c r="P305">
        <v>1</v>
      </c>
      <c r="Q305" s="80" t="str">
        <f>REPLACE(INDEX(GroupVertices[Group],MATCH(Edges[[#This Row],[Vertex 1]],GroupVertices[Vertex],0)),1,1,"")</f>
        <v>1</v>
      </c>
      <c r="R305" s="80" t="str">
        <f>REPLACE(INDEX(GroupVertices[Group],MATCH(Edges[[#This Row],[Vertex 2]],GroupVertices[Vertex],0)),1,1,"")</f>
        <v>1</v>
      </c>
      <c r="S305" s="35"/>
      <c r="T305" s="35"/>
      <c r="U305" s="35"/>
      <c r="V305" s="35"/>
      <c r="W305" s="35"/>
      <c r="X305" s="35"/>
      <c r="Y305" s="35"/>
      <c r="Z305" s="35"/>
      <c r="AA305" s="35"/>
    </row>
    <row r="306" spans="1:27" ht="15">
      <c r="A306" s="65" t="s">
        <v>219</v>
      </c>
      <c r="B306" s="65" t="s">
        <v>199</v>
      </c>
      <c r="C306" s="66" t="s">
        <v>1612</v>
      </c>
      <c r="D306" s="67">
        <v>5</v>
      </c>
      <c r="E306" s="68"/>
      <c r="F306" s="69">
        <v>25</v>
      </c>
      <c r="G306" s="66"/>
      <c r="H306" s="70"/>
      <c r="I306" s="71"/>
      <c r="J306" s="71"/>
      <c r="K306" s="35" t="s">
        <v>66</v>
      </c>
      <c r="L306" s="79">
        <v>306</v>
      </c>
      <c r="M306" s="79"/>
      <c r="N306" s="73"/>
      <c r="O306" s="81" t="s">
        <v>379</v>
      </c>
      <c r="P306">
        <v>1</v>
      </c>
      <c r="Q306" s="80" t="str">
        <f>REPLACE(INDEX(GroupVertices[Group],MATCH(Edges[[#This Row],[Vertex 1]],GroupVertices[Vertex],0)),1,1,"")</f>
        <v>1</v>
      </c>
      <c r="R306" s="80" t="str">
        <f>REPLACE(INDEX(GroupVertices[Group],MATCH(Edges[[#This Row],[Vertex 2]],GroupVertices[Vertex],0)),1,1,"")</f>
        <v>1</v>
      </c>
      <c r="S306" s="35"/>
      <c r="T306" s="35"/>
      <c r="U306" s="35"/>
      <c r="V306" s="35"/>
      <c r="W306" s="35"/>
      <c r="X306" s="35"/>
      <c r="Y306" s="35"/>
      <c r="Z306" s="35"/>
      <c r="AA306" s="35"/>
    </row>
    <row r="307" spans="1:27" ht="15">
      <c r="A307" s="65" t="s">
        <v>224</v>
      </c>
      <c r="B307" s="65" t="s">
        <v>199</v>
      </c>
      <c r="C307" s="66" t="s">
        <v>1612</v>
      </c>
      <c r="D307" s="67">
        <v>5</v>
      </c>
      <c r="E307" s="68"/>
      <c r="F307" s="69">
        <v>25</v>
      </c>
      <c r="G307" s="66"/>
      <c r="H307" s="70"/>
      <c r="I307" s="71"/>
      <c r="J307" s="71"/>
      <c r="K307" s="35" t="s">
        <v>65</v>
      </c>
      <c r="L307" s="79">
        <v>307</v>
      </c>
      <c r="M307" s="79"/>
      <c r="N307" s="73"/>
      <c r="O307" s="81" t="s">
        <v>379</v>
      </c>
      <c r="P307">
        <v>1</v>
      </c>
      <c r="Q307" s="80" t="str">
        <f>REPLACE(INDEX(GroupVertices[Group],MATCH(Edges[[#This Row],[Vertex 1]],GroupVertices[Vertex],0)),1,1,"")</f>
        <v>1</v>
      </c>
      <c r="R307" s="80" t="str">
        <f>REPLACE(INDEX(GroupVertices[Group],MATCH(Edges[[#This Row],[Vertex 2]],GroupVertices[Vertex],0)),1,1,"")</f>
        <v>1</v>
      </c>
      <c r="S307" s="35"/>
      <c r="T307" s="35"/>
      <c r="U307" s="35"/>
      <c r="V307" s="35"/>
      <c r="W307" s="35"/>
      <c r="X307" s="35"/>
      <c r="Y307" s="35"/>
      <c r="Z307" s="35"/>
      <c r="AA307" s="35"/>
    </row>
    <row r="308" spans="1:27" ht="15">
      <c r="A308" s="65" t="s">
        <v>225</v>
      </c>
      <c r="B308" s="65" t="s">
        <v>199</v>
      </c>
      <c r="C308" s="66" t="s">
        <v>1612</v>
      </c>
      <c r="D308" s="67">
        <v>5</v>
      </c>
      <c r="E308" s="68"/>
      <c r="F308" s="69">
        <v>25</v>
      </c>
      <c r="G308" s="66"/>
      <c r="H308" s="70"/>
      <c r="I308" s="71"/>
      <c r="J308" s="71"/>
      <c r="K308" s="35" t="s">
        <v>65</v>
      </c>
      <c r="L308" s="79">
        <v>308</v>
      </c>
      <c r="M308" s="79"/>
      <c r="N308" s="73"/>
      <c r="O308" s="81" t="s">
        <v>379</v>
      </c>
      <c r="P308">
        <v>1</v>
      </c>
      <c r="Q308" s="80" t="str">
        <f>REPLACE(INDEX(GroupVertices[Group],MATCH(Edges[[#This Row],[Vertex 1]],GroupVertices[Vertex],0)),1,1,"")</f>
        <v>1</v>
      </c>
      <c r="R308" s="80" t="str">
        <f>REPLACE(INDEX(GroupVertices[Group],MATCH(Edges[[#This Row],[Vertex 2]],GroupVertices[Vertex],0)),1,1,"")</f>
        <v>1</v>
      </c>
      <c r="S308" s="35"/>
      <c r="T308" s="35"/>
      <c r="U308" s="35"/>
      <c r="V308" s="35"/>
      <c r="W308" s="35"/>
      <c r="X308" s="35"/>
      <c r="Y308" s="35"/>
      <c r="Z308" s="35"/>
      <c r="AA308" s="35"/>
    </row>
    <row r="309" spans="1:27" ht="15">
      <c r="A309" s="65" t="s">
        <v>233</v>
      </c>
      <c r="B309" s="65" t="s">
        <v>199</v>
      </c>
      <c r="C309" s="66" t="s">
        <v>1612</v>
      </c>
      <c r="D309" s="67">
        <v>5</v>
      </c>
      <c r="E309" s="68"/>
      <c r="F309" s="69">
        <v>25</v>
      </c>
      <c r="G309" s="66"/>
      <c r="H309" s="70"/>
      <c r="I309" s="71"/>
      <c r="J309" s="71"/>
      <c r="K309" s="35" t="s">
        <v>65</v>
      </c>
      <c r="L309" s="79">
        <v>309</v>
      </c>
      <c r="M309" s="79"/>
      <c r="N309" s="73"/>
      <c r="O309" s="81" t="s">
        <v>378</v>
      </c>
      <c r="P309">
        <v>1</v>
      </c>
      <c r="Q309" s="80" t="str">
        <f>REPLACE(INDEX(GroupVertices[Group],MATCH(Edges[[#This Row],[Vertex 1]],GroupVertices[Vertex],0)),1,1,"")</f>
        <v>1</v>
      </c>
      <c r="R309" s="80" t="str">
        <f>REPLACE(INDEX(GroupVertices[Group],MATCH(Edges[[#This Row],[Vertex 2]],GroupVertices[Vertex],0)),1,1,"")</f>
        <v>1</v>
      </c>
      <c r="S309" s="35"/>
      <c r="T309" s="35"/>
      <c r="U309" s="35"/>
      <c r="V309" s="35"/>
      <c r="W309" s="35"/>
      <c r="X309" s="35"/>
      <c r="Y309" s="35"/>
      <c r="Z309" s="35"/>
      <c r="AA309" s="35"/>
    </row>
    <row r="310" spans="1:27" ht="15">
      <c r="A310" s="65" t="s">
        <v>200</v>
      </c>
      <c r="B310" s="65" t="s">
        <v>223</v>
      </c>
      <c r="C310" s="66" t="s">
        <v>1612</v>
      </c>
      <c r="D310" s="67">
        <v>5</v>
      </c>
      <c r="E310" s="68"/>
      <c r="F310" s="69">
        <v>25</v>
      </c>
      <c r="G310" s="66"/>
      <c r="H310" s="70"/>
      <c r="I310" s="71"/>
      <c r="J310" s="71"/>
      <c r="K310" s="35" t="s">
        <v>65</v>
      </c>
      <c r="L310" s="79">
        <v>310</v>
      </c>
      <c r="M310" s="79"/>
      <c r="N310" s="73"/>
      <c r="O310" s="81" t="s">
        <v>377</v>
      </c>
      <c r="P310">
        <v>1</v>
      </c>
      <c r="Q310" s="80" t="str">
        <f>REPLACE(INDEX(GroupVertices[Group],MATCH(Edges[[#This Row],[Vertex 1]],GroupVertices[Vertex],0)),1,1,"")</f>
        <v>4</v>
      </c>
      <c r="R310" s="80" t="str">
        <f>REPLACE(INDEX(GroupVertices[Group],MATCH(Edges[[#This Row],[Vertex 2]],GroupVertices[Vertex],0)),1,1,"")</f>
        <v>1</v>
      </c>
      <c r="S310" s="35"/>
      <c r="T310" s="35"/>
      <c r="U310" s="35"/>
      <c r="V310" s="35"/>
      <c r="W310" s="35"/>
      <c r="X310" s="35"/>
      <c r="Y310" s="35"/>
      <c r="Z310" s="35"/>
      <c r="AA310" s="35"/>
    </row>
    <row r="311" spans="1:27" ht="15">
      <c r="A311" s="65" t="s">
        <v>201</v>
      </c>
      <c r="B311" s="65" t="s">
        <v>200</v>
      </c>
      <c r="C311" s="66" t="s">
        <v>1612</v>
      </c>
      <c r="D311" s="67">
        <v>5</v>
      </c>
      <c r="E311" s="68"/>
      <c r="F311" s="69">
        <v>25</v>
      </c>
      <c r="G311" s="66"/>
      <c r="H311" s="70"/>
      <c r="I311" s="71"/>
      <c r="J311" s="71"/>
      <c r="K311" s="35" t="s">
        <v>65</v>
      </c>
      <c r="L311" s="79">
        <v>311</v>
      </c>
      <c r="M311" s="79"/>
      <c r="N311" s="73"/>
      <c r="O311" s="81" t="s">
        <v>379</v>
      </c>
      <c r="P311">
        <v>1</v>
      </c>
      <c r="Q311" s="80" t="str">
        <f>REPLACE(INDEX(GroupVertices[Group],MATCH(Edges[[#This Row],[Vertex 1]],GroupVertices[Vertex],0)),1,1,"")</f>
        <v>5</v>
      </c>
      <c r="R311" s="80" t="str">
        <f>REPLACE(INDEX(GroupVertices[Group],MATCH(Edges[[#This Row],[Vertex 2]],GroupVertices[Vertex],0)),1,1,"")</f>
        <v>4</v>
      </c>
      <c r="S311" s="35"/>
      <c r="T311" s="35"/>
      <c r="U311" s="35"/>
      <c r="V311" s="35"/>
      <c r="W311" s="35"/>
      <c r="X311" s="35"/>
      <c r="Y311" s="35"/>
      <c r="Z311" s="35"/>
      <c r="AA311" s="35"/>
    </row>
    <row r="312" spans="1:27" ht="15">
      <c r="A312" s="65" t="s">
        <v>204</v>
      </c>
      <c r="B312" s="65" t="s">
        <v>200</v>
      </c>
      <c r="C312" s="66" t="s">
        <v>1612</v>
      </c>
      <c r="D312" s="67">
        <v>5</v>
      </c>
      <c r="E312" s="68"/>
      <c r="F312" s="69">
        <v>25</v>
      </c>
      <c r="G312" s="66"/>
      <c r="H312" s="70"/>
      <c r="I312" s="71"/>
      <c r="J312" s="71"/>
      <c r="K312" s="35" t="s">
        <v>65</v>
      </c>
      <c r="L312" s="79">
        <v>312</v>
      </c>
      <c r="M312" s="79"/>
      <c r="N312" s="73"/>
      <c r="O312" s="81" t="s">
        <v>379</v>
      </c>
      <c r="P312">
        <v>1</v>
      </c>
      <c r="Q312" s="80" t="str">
        <f>REPLACE(INDEX(GroupVertices[Group],MATCH(Edges[[#This Row],[Vertex 1]],GroupVertices[Vertex],0)),1,1,"")</f>
        <v>1</v>
      </c>
      <c r="R312" s="80" t="str">
        <f>REPLACE(INDEX(GroupVertices[Group],MATCH(Edges[[#This Row],[Vertex 2]],GroupVertices[Vertex],0)),1,1,"")</f>
        <v>4</v>
      </c>
      <c r="S312" s="35"/>
      <c r="T312" s="35"/>
      <c r="U312" s="35"/>
      <c r="V312" s="35"/>
      <c r="W312" s="35"/>
      <c r="X312" s="35"/>
      <c r="Y312" s="35"/>
      <c r="Z312" s="35"/>
      <c r="AA312" s="35"/>
    </row>
    <row r="313" spans="1:27" ht="15">
      <c r="A313" s="65" t="s">
        <v>207</v>
      </c>
      <c r="B313" s="65" t="s">
        <v>200</v>
      </c>
      <c r="C313" s="66" t="s">
        <v>1612</v>
      </c>
      <c r="D313" s="67">
        <v>5</v>
      </c>
      <c r="E313" s="68"/>
      <c r="F313" s="69">
        <v>25</v>
      </c>
      <c r="G313" s="66"/>
      <c r="H313" s="70"/>
      <c r="I313" s="71"/>
      <c r="J313" s="71"/>
      <c r="K313" s="35" t="s">
        <v>65</v>
      </c>
      <c r="L313" s="79">
        <v>313</v>
      </c>
      <c r="M313" s="79"/>
      <c r="N313" s="73"/>
      <c r="O313" s="81" t="s">
        <v>379</v>
      </c>
      <c r="P313">
        <v>1</v>
      </c>
      <c r="Q313" s="80" t="str">
        <f>REPLACE(INDEX(GroupVertices[Group],MATCH(Edges[[#This Row],[Vertex 1]],GroupVertices[Vertex],0)),1,1,"")</f>
        <v>4</v>
      </c>
      <c r="R313" s="80" t="str">
        <f>REPLACE(INDEX(GroupVertices[Group],MATCH(Edges[[#This Row],[Vertex 2]],GroupVertices[Vertex],0)),1,1,"")</f>
        <v>4</v>
      </c>
      <c r="S313" s="35"/>
      <c r="T313" s="35"/>
      <c r="U313" s="35"/>
      <c r="V313" s="35"/>
      <c r="W313" s="35"/>
      <c r="X313" s="35"/>
      <c r="Y313" s="35"/>
      <c r="Z313" s="35"/>
      <c r="AA313" s="35"/>
    </row>
    <row r="314" spans="1:27" ht="15">
      <c r="A314" s="65" t="s">
        <v>228</v>
      </c>
      <c r="B314" s="65" t="s">
        <v>200</v>
      </c>
      <c r="C314" s="66" t="s">
        <v>1612</v>
      </c>
      <c r="D314" s="67">
        <v>5</v>
      </c>
      <c r="E314" s="68"/>
      <c r="F314" s="69">
        <v>25</v>
      </c>
      <c r="G314" s="66"/>
      <c r="H314" s="70"/>
      <c r="I314" s="71"/>
      <c r="J314" s="71"/>
      <c r="K314" s="35" t="s">
        <v>65</v>
      </c>
      <c r="L314" s="79">
        <v>314</v>
      </c>
      <c r="M314" s="79"/>
      <c r="N314" s="73"/>
      <c r="O314" s="81" t="s">
        <v>379</v>
      </c>
      <c r="P314">
        <v>1</v>
      </c>
      <c r="Q314" s="80" t="str">
        <f>REPLACE(INDEX(GroupVertices[Group],MATCH(Edges[[#This Row],[Vertex 1]],GroupVertices[Vertex],0)),1,1,"")</f>
        <v>1</v>
      </c>
      <c r="R314" s="80" t="str">
        <f>REPLACE(INDEX(GroupVertices[Group],MATCH(Edges[[#This Row],[Vertex 2]],GroupVertices[Vertex],0)),1,1,"")</f>
        <v>4</v>
      </c>
      <c r="S314" s="35"/>
      <c r="T314" s="35"/>
      <c r="U314" s="35"/>
      <c r="V314" s="35"/>
      <c r="W314" s="35"/>
      <c r="X314" s="35"/>
      <c r="Y314" s="35"/>
      <c r="Z314" s="35"/>
      <c r="AA314" s="35"/>
    </row>
    <row r="315" spans="1:27" ht="15">
      <c r="A315" s="65" t="s">
        <v>231</v>
      </c>
      <c r="B315" s="65" t="s">
        <v>200</v>
      </c>
      <c r="C315" s="66" t="s">
        <v>1612</v>
      </c>
      <c r="D315" s="67">
        <v>5</v>
      </c>
      <c r="E315" s="68"/>
      <c r="F315" s="69">
        <v>25</v>
      </c>
      <c r="G315" s="66"/>
      <c r="H315" s="70"/>
      <c r="I315" s="71"/>
      <c r="J315" s="71"/>
      <c r="K315" s="35" t="s">
        <v>65</v>
      </c>
      <c r="L315" s="79">
        <v>315</v>
      </c>
      <c r="M315" s="79"/>
      <c r="N315" s="73"/>
      <c r="O315" s="81" t="s">
        <v>379</v>
      </c>
      <c r="P315">
        <v>1</v>
      </c>
      <c r="Q315" s="80" t="str">
        <f>REPLACE(INDEX(GroupVertices[Group],MATCH(Edges[[#This Row],[Vertex 1]],GroupVertices[Vertex],0)),1,1,"")</f>
        <v>1</v>
      </c>
      <c r="R315" s="80" t="str">
        <f>REPLACE(INDEX(GroupVertices[Group],MATCH(Edges[[#This Row],[Vertex 2]],GroupVertices[Vertex],0)),1,1,"")</f>
        <v>4</v>
      </c>
      <c r="S315" s="35"/>
      <c r="T315" s="35"/>
      <c r="U315" s="35"/>
      <c r="V315" s="35"/>
      <c r="W315" s="35"/>
      <c r="X315" s="35"/>
      <c r="Y315" s="35"/>
      <c r="Z315" s="35"/>
      <c r="AA315" s="35"/>
    </row>
    <row r="316" spans="1:27" ht="15">
      <c r="A316" s="65" t="s">
        <v>232</v>
      </c>
      <c r="B316" s="65" t="s">
        <v>200</v>
      </c>
      <c r="C316" s="66" t="s">
        <v>1612</v>
      </c>
      <c r="D316" s="67">
        <v>5</v>
      </c>
      <c r="E316" s="68"/>
      <c r="F316" s="69">
        <v>25</v>
      </c>
      <c r="G316" s="66"/>
      <c r="H316" s="70"/>
      <c r="I316" s="71"/>
      <c r="J316" s="71"/>
      <c r="K316" s="35" t="s">
        <v>65</v>
      </c>
      <c r="L316" s="79">
        <v>316</v>
      </c>
      <c r="M316" s="79"/>
      <c r="N316" s="73"/>
      <c r="O316" s="81" t="s">
        <v>379</v>
      </c>
      <c r="P316">
        <v>1</v>
      </c>
      <c r="Q316" s="80" t="str">
        <f>REPLACE(INDEX(GroupVertices[Group],MATCH(Edges[[#This Row],[Vertex 1]],GroupVertices[Vertex],0)),1,1,"")</f>
        <v>1</v>
      </c>
      <c r="R316" s="80" t="str">
        <f>REPLACE(INDEX(GroupVertices[Group],MATCH(Edges[[#This Row],[Vertex 2]],GroupVertices[Vertex],0)),1,1,"")</f>
        <v>4</v>
      </c>
      <c r="S316" s="35"/>
      <c r="T316" s="35"/>
      <c r="U316" s="35"/>
      <c r="V316" s="35"/>
      <c r="W316" s="35"/>
      <c r="X316" s="35"/>
      <c r="Y316" s="35"/>
      <c r="Z316" s="35"/>
      <c r="AA316" s="35"/>
    </row>
    <row r="317" spans="1:27" ht="15">
      <c r="A317" s="65" t="s">
        <v>221</v>
      </c>
      <c r="B317" s="65" t="s">
        <v>200</v>
      </c>
      <c r="C317" s="66" t="s">
        <v>1612</v>
      </c>
      <c r="D317" s="67">
        <v>5</v>
      </c>
      <c r="E317" s="68"/>
      <c r="F317" s="69">
        <v>25</v>
      </c>
      <c r="G317" s="66"/>
      <c r="H317" s="70"/>
      <c r="I317" s="71"/>
      <c r="J317" s="71"/>
      <c r="K317" s="35" t="s">
        <v>65</v>
      </c>
      <c r="L317" s="79">
        <v>317</v>
      </c>
      <c r="M317" s="79"/>
      <c r="N317" s="73"/>
      <c r="O317" s="81" t="s">
        <v>379</v>
      </c>
      <c r="P317">
        <v>1</v>
      </c>
      <c r="Q317" s="80" t="str">
        <f>REPLACE(INDEX(GroupVertices[Group],MATCH(Edges[[#This Row],[Vertex 1]],GroupVertices[Vertex],0)),1,1,"")</f>
        <v>1</v>
      </c>
      <c r="R317" s="80" t="str">
        <f>REPLACE(INDEX(GroupVertices[Group],MATCH(Edges[[#This Row],[Vertex 2]],GroupVertices[Vertex],0)),1,1,"")</f>
        <v>4</v>
      </c>
      <c r="S317" s="35"/>
      <c r="T317" s="35"/>
      <c r="U317" s="35"/>
      <c r="V317" s="35"/>
      <c r="W317" s="35"/>
      <c r="X317" s="35"/>
      <c r="Y317" s="35"/>
      <c r="Z317" s="35"/>
      <c r="AA317" s="35"/>
    </row>
    <row r="318" spans="1:27" ht="15">
      <c r="A318" s="65" t="s">
        <v>229</v>
      </c>
      <c r="B318" s="65" t="s">
        <v>200</v>
      </c>
      <c r="C318" s="66" t="s">
        <v>1612</v>
      </c>
      <c r="D318" s="67">
        <v>5</v>
      </c>
      <c r="E318" s="68"/>
      <c r="F318" s="69">
        <v>25</v>
      </c>
      <c r="G318" s="66"/>
      <c r="H318" s="70"/>
      <c r="I318" s="71"/>
      <c r="J318" s="71"/>
      <c r="K318" s="35" t="s">
        <v>65</v>
      </c>
      <c r="L318" s="79">
        <v>318</v>
      </c>
      <c r="M318" s="79"/>
      <c r="N318" s="73"/>
      <c r="O318" s="81" t="s">
        <v>379</v>
      </c>
      <c r="P318">
        <v>1</v>
      </c>
      <c r="Q318" s="80" t="str">
        <f>REPLACE(INDEX(GroupVertices[Group],MATCH(Edges[[#This Row],[Vertex 1]],GroupVertices[Vertex],0)),1,1,"")</f>
        <v>1</v>
      </c>
      <c r="R318" s="80" t="str">
        <f>REPLACE(INDEX(GroupVertices[Group],MATCH(Edges[[#This Row],[Vertex 2]],GroupVertices[Vertex],0)),1,1,"")</f>
        <v>4</v>
      </c>
      <c r="S318" s="35"/>
      <c r="T318" s="35"/>
      <c r="U318" s="35"/>
      <c r="V318" s="35"/>
      <c r="W318" s="35"/>
      <c r="X318" s="35"/>
      <c r="Y318" s="35"/>
      <c r="Z318" s="35"/>
      <c r="AA318" s="35"/>
    </row>
    <row r="319" spans="1:27" ht="15">
      <c r="A319" s="65" t="s">
        <v>230</v>
      </c>
      <c r="B319" s="65" t="s">
        <v>200</v>
      </c>
      <c r="C319" s="66" t="s">
        <v>1612</v>
      </c>
      <c r="D319" s="67">
        <v>5</v>
      </c>
      <c r="E319" s="68"/>
      <c r="F319" s="69">
        <v>25</v>
      </c>
      <c r="G319" s="66"/>
      <c r="H319" s="70"/>
      <c r="I319" s="71"/>
      <c r="J319" s="71"/>
      <c r="K319" s="35" t="s">
        <v>65</v>
      </c>
      <c r="L319" s="79">
        <v>319</v>
      </c>
      <c r="M319" s="79"/>
      <c r="N319" s="73"/>
      <c r="O319" s="81" t="s">
        <v>379</v>
      </c>
      <c r="P319">
        <v>1</v>
      </c>
      <c r="Q319" s="80" t="str">
        <f>REPLACE(INDEX(GroupVertices[Group],MATCH(Edges[[#This Row],[Vertex 1]],GroupVertices[Vertex],0)),1,1,"")</f>
        <v>2</v>
      </c>
      <c r="R319" s="80" t="str">
        <f>REPLACE(INDEX(GroupVertices[Group],MATCH(Edges[[#This Row],[Vertex 2]],GroupVertices[Vertex],0)),1,1,"")</f>
        <v>4</v>
      </c>
      <c r="S319" s="35"/>
      <c r="T319" s="35"/>
      <c r="U319" s="35"/>
      <c r="V319" s="35"/>
      <c r="W319" s="35"/>
      <c r="X319" s="35"/>
      <c r="Y319" s="35"/>
      <c r="Z319" s="35"/>
      <c r="AA319" s="35"/>
    </row>
    <row r="320" spans="1:27" ht="15">
      <c r="A320" s="65" t="s">
        <v>233</v>
      </c>
      <c r="B320" s="65" t="s">
        <v>200</v>
      </c>
      <c r="C320" s="66" t="s">
        <v>1612</v>
      </c>
      <c r="D320" s="67">
        <v>5</v>
      </c>
      <c r="E320" s="68"/>
      <c r="F320" s="69">
        <v>25</v>
      </c>
      <c r="G320" s="66"/>
      <c r="H320" s="70"/>
      <c r="I320" s="71"/>
      <c r="J320" s="71"/>
      <c r="K320" s="35" t="s">
        <v>65</v>
      </c>
      <c r="L320" s="79">
        <v>320</v>
      </c>
      <c r="M320" s="79"/>
      <c r="N320" s="73"/>
      <c r="O320" s="81" t="s">
        <v>378</v>
      </c>
      <c r="P320">
        <v>1</v>
      </c>
      <c r="Q320" s="80" t="str">
        <f>REPLACE(INDEX(GroupVertices[Group],MATCH(Edges[[#This Row],[Vertex 1]],GroupVertices[Vertex],0)),1,1,"")</f>
        <v>1</v>
      </c>
      <c r="R320" s="80" t="str">
        <f>REPLACE(INDEX(GroupVertices[Group],MATCH(Edges[[#This Row],[Vertex 2]],GroupVertices[Vertex],0)),1,1,"")</f>
        <v>4</v>
      </c>
      <c r="S320" s="35"/>
      <c r="T320" s="35"/>
      <c r="U320" s="35"/>
      <c r="V320" s="35"/>
      <c r="W320" s="35"/>
      <c r="X320" s="35"/>
      <c r="Y320" s="35"/>
      <c r="Z320" s="35"/>
      <c r="AA320" s="35"/>
    </row>
    <row r="321" spans="1:27" ht="15">
      <c r="A321" s="65" t="s">
        <v>201</v>
      </c>
      <c r="B321" s="65" t="s">
        <v>229</v>
      </c>
      <c r="C321" s="66" t="s">
        <v>1612</v>
      </c>
      <c r="D321" s="67">
        <v>5</v>
      </c>
      <c r="E321" s="68"/>
      <c r="F321" s="69">
        <v>25</v>
      </c>
      <c r="G321" s="66"/>
      <c r="H321" s="70"/>
      <c r="I321" s="71"/>
      <c r="J321" s="71"/>
      <c r="K321" s="35" t="s">
        <v>66</v>
      </c>
      <c r="L321" s="79">
        <v>321</v>
      </c>
      <c r="M321" s="79"/>
      <c r="N321" s="73"/>
      <c r="O321" s="81" t="s">
        <v>377</v>
      </c>
      <c r="P321">
        <v>1</v>
      </c>
      <c r="Q321" s="80" t="str">
        <f>REPLACE(INDEX(GroupVertices[Group],MATCH(Edges[[#This Row],[Vertex 1]],GroupVertices[Vertex],0)),1,1,"")</f>
        <v>5</v>
      </c>
      <c r="R321" s="80" t="str">
        <f>REPLACE(INDEX(GroupVertices[Group],MATCH(Edges[[#This Row],[Vertex 2]],GroupVertices[Vertex],0)),1,1,"")</f>
        <v>1</v>
      </c>
      <c r="S321" s="35"/>
      <c r="T321" s="35"/>
      <c r="U321" s="35"/>
      <c r="V321" s="35"/>
      <c r="W321" s="35"/>
      <c r="X321" s="35"/>
      <c r="Y321" s="35"/>
      <c r="Z321" s="35"/>
      <c r="AA321" s="35"/>
    </row>
    <row r="322" spans="1:27" ht="15">
      <c r="A322" s="65" t="s">
        <v>201</v>
      </c>
      <c r="B322" s="65" t="s">
        <v>217</v>
      </c>
      <c r="C322" s="66" t="s">
        <v>1612</v>
      </c>
      <c r="D322" s="67">
        <v>5</v>
      </c>
      <c r="E322" s="68"/>
      <c r="F322" s="69">
        <v>25</v>
      </c>
      <c r="G322" s="66"/>
      <c r="H322" s="70"/>
      <c r="I322" s="71"/>
      <c r="J322" s="71"/>
      <c r="K322" s="35" t="s">
        <v>65</v>
      </c>
      <c r="L322" s="79">
        <v>322</v>
      </c>
      <c r="M322" s="79"/>
      <c r="N322" s="73"/>
      <c r="O322" s="81" t="s">
        <v>377</v>
      </c>
      <c r="P322">
        <v>1</v>
      </c>
      <c r="Q322" s="80" t="str">
        <f>REPLACE(INDEX(GroupVertices[Group],MATCH(Edges[[#This Row],[Vertex 1]],GroupVertices[Vertex],0)),1,1,"")</f>
        <v>5</v>
      </c>
      <c r="R322" s="80" t="str">
        <f>REPLACE(INDEX(GroupVertices[Group],MATCH(Edges[[#This Row],[Vertex 2]],GroupVertices[Vertex],0)),1,1,"")</f>
        <v>5</v>
      </c>
      <c r="S322" s="35"/>
      <c r="T322" s="35"/>
      <c r="U322" s="35"/>
      <c r="V322" s="35"/>
      <c r="W322" s="35"/>
      <c r="X322" s="35"/>
      <c r="Y322" s="35"/>
      <c r="Z322" s="35"/>
      <c r="AA322" s="35"/>
    </row>
    <row r="323" spans="1:27" ht="15">
      <c r="A323" s="65" t="s">
        <v>201</v>
      </c>
      <c r="B323" s="65" t="s">
        <v>230</v>
      </c>
      <c r="C323" s="66" t="s">
        <v>1612</v>
      </c>
      <c r="D323" s="67">
        <v>5</v>
      </c>
      <c r="E323" s="68"/>
      <c r="F323" s="69">
        <v>25</v>
      </c>
      <c r="G323" s="66"/>
      <c r="H323" s="70"/>
      <c r="I323" s="71"/>
      <c r="J323" s="71"/>
      <c r="K323" s="35" t="s">
        <v>66</v>
      </c>
      <c r="L323" s="79">
        <v>323</v>
      </c>
      <c r="M323" s="79"/>
      <c r="N323" s="73"/>
      <c r="O323" s="81" t="s">
        <v>377</v>
      </c>
      <c r="P323">
        <v>1</v>
      </c>
      <c r="Q323" s="80" t="str">
        <f>REPLACE(INDEX(GroupVertices[Group],MATCH(Edges[[#This Row],[Vertex 1]],GroupVertices[Vertex],0)),1,1,"")</f>
        <v>5</v>
      </c>
      <c r="R323" s="80" t="str">
        <f>REPLACE(INDEX(GroupVertices[Group],MATCH(Edges[[#This Row],[Vertex 2]],GroupVertices[Vertex],0)),1,1,"")</f>
        <v>2</v>
      </c>
      <c r="S323" s="35"/>
      <c r="T323" s="35"/>
      <c r="U323" s="35"/>
      <c r="V323" s="35"/>
      <c r="W323" s="35"/>
      <c r="X323" s="35"/>
      <c r="Y323" s="35"/>
      <c r="Z323" s="35"/>
      <c r="AA323" s="35"/>
    </row>
    <row r="324" spans="1:27" ht="15">
      <c r="A324" s="65" t="s">
        <v>201</v>
      </c>
      <c r="B324" s="65" t="s">
        <v>223</v>
      </c>
      <c r="C324" s="66" t="s">
        <v>1612</v>
      </c>
      <c r="D324" s="67">
        <v>5</v>
      </c>
      <c r="E324" s="68"/>
      <c r="F324" s="69">
        <v>25</v>
      </c>
      <c r="G324" s="66"/>
      <c r="H324" s="70"/>
      <c r="I324" s="71"/>
      <c r="J324" s="71"/>
      <c r="K324" s="35" t="s">
        <v>66</v>
      </c>
      <c r="L324" s="79">
        <v>324</v>
      </c>
      <c r="M324" s="79"/>
      <c r="N324" s="73"/>
      <c r="O324" s="81" t="s">
        <v>377</v>
      </c>
      <c r="P324">
        <v>1</v>
      </c>
      <c r="Q324" s="80" t="str">
        <f>REPLACE(INDEX(GroupVertices[Group],MATCH(Edges[[#This Row],[Vertex 1]],GroupVertices[Vertex],0)),1,1,"")</f>
        <v>5</v>
      </c>
      <c r="R324" s="80" t="str">
        <f>REPLACE(INDEX(GroupVertices[Group],MATCH(Edges[[#This Row],[Vertex 2]],GroupVertices[Vertex],0)),1,1,"")</f>
        <v>1</v>
      </c>
      <c r="S324" s="35"/>
      <c r="T324" s="35"/>
      <c r="U324" s="35"/>
      <c r="V324" s="35"/>
      <c r="W324" s="35"/>
      <c r="X324" s="35"/>
      <c r="Y324" s="35"/>
      <c r="Z324" s="35"/>
      <c r="AA324" s="35"/>
    </row>
    <row r="325" spans="1:27" ht="15">
      <c r="A325" s="65" t="s">
        <v>201</v>
      </c>
      <c r="B325" s="65" t="s">
        <v>212</v>
      </c>
      <c r="C325" s="66" t="s">
        <v>1612</v>
      </c>
      <c r="D325" s="67">
        <v>5</v>
      </c>
      <c r="E325" s="68"/>
      <c r="F325" s="69">
        <v>25</v>
      </c>
      <c r="G325" s="66"/>
      <c r="H325" s="70"/>
      <c r="I325" s="71"/>
      <c r="J325" s="71"/>
      <c r="K325" s="35" t="s">
        <v>66</v>
      </c>
      <c r="L325" s="79">
        <v>325</v>
      </c>
      <c r="M325" s="79"/>
      <c r="N325" s="73"/>
      <c r="O325" s="81" t="s">
        <v>377</v>
      </c>
      <c r="P325">
        <v>1</v>
      </c>
      <c r="Q325" s="80" t="str">
        <f>REPLACE(INDEX(GroupVertices[Group],MATCH(Edges[[#This Row],[Vertex 1]],GroupVertices[Vertex],0)),1,1,"")</f>
        <v>5</v>
      </c>
      <c r="R325" s="80" t="str">
        <f>REPLACE(INDEX(GroupVertices[Group],MATCH(Edges[[#This Row],[Vertex 2]],GroupVertices[Vertex],0)),1,1,"")</f>
        <v>1</v>
      </c>
      <c r="S325" s="35"/>
      <c r="T325" s="35"/>
      <c r="U325" s="35"/>
      <c r="V325" s="35"/>
      <c r="W325" s="35"/>
      <c r="X325" s="35"/>
      <c r="Y325" s="35"/>
      <c r="Z325" s="35"/>
      <c r="AA325" s="35"/>
    </row>
    <row r="326" spans="1:27" ht="15">
      <c r="A326" s="65" t="s">
        <v>201</v>
      </c>
      <c r="B326" s="65" t="s">
        <v>208</v>
      </c>
      <c r="C326" s="66" t="s">
        <v>1612</v>
      </c>
      <c r="D326" s="67">
        <v>5</v>
      </c>
      <c r="E326" s="68"/>
      <c r="F326" s="69">
        <v>25</v>
      </c>
      <c r="G326" s="66"/>
      <c r="H326" s="70"/>
      <c r="I326" s="71"/>
      <c r="J326" s="71"/>
      <c r="K326" s="35" t="s">
        <v>65</v>
      </c>
      <c r="L326" s="79">
        <v>326</v>
      </c>
      <c r="M326" s="79"/>
      <c r="N326" s="73"/>
      <c r="O326" s="81" t="s">
        <v>377</v>
      </c>
      <c r="P326">
        <v>1</v>
      </c>
      <c r="Q326" s="80" t="str">
        <f>REPLACE(INDEX(GroupVertices[Group],MATCH(Edges[[#This Row],[Vertex 1]],GroupVertices[Vertex],0)),1,1,"")</f>
        <v>5</v>
      </c>
      <c r="R326" s="80" t="str">
        <f>REPLACE(INDEX(GroupVertices[Group],MATCH(Edges[[#This Row],[Vertex 2]],GroupVertices[Vertex],0)),1,1,"")</f>
        <v>3</v>
      </c>
      <c r="S326" s="35"/>
      <c r="T326" s="35"/>
      <c r="U326" s="35"/>
      <c r="V326" s="35"/>
      <c r="W326" s="35"/>
      <c r="X326" s="35"/>
      <c r="Y326" s="35"/>
      <c r="Z326" s="35"/>
      <c r="AA326" s="35"/>
    </row>
    <row r="327" spans="1:27" ht="15">
      <c r="A327" s="65" t="s">
        <v>206</v>
      </c>
      <c r="B327" s="65" t="s">
        <v>201</v>
      </c>
      <c r="C327" s="66" t="s">
        <v>1612</v>
      </c>
      <c r="D327" s="67">
        <v>5</v>
      </c>
      <c r="E327" s="68"/>
      <c r="F327" s="69">
        <v>25</v>
      </c>
      <c r="G327" s="66"/>
      <c r="H327" s="70"/>
      <c r="I327" s="71"/>
      <c r="J327" s="71"/>
      <c r="K327" s="35" t="s">
        <v>65</v>
      </c>
      <c r="L327" s="79">
        <v>327</v>
      </c>
      <c r="M327" s="79"/>
      <c r="N327" s="73"/>
      <c r="O327" s="81" t="s">
        <v>379</v>
      </c>
      <c r="P327">
        <v>1</v>
      </c>
      <c r="Q327" s="80" t="str">
        <f>REPLACE(INDEX(GroupVertices[Group],MATCH(Edges[[#This Row],[Vertex 1]],GroupVertices[Vertex],0)),1,1,"")</f>
        <v>1</v>
      </c>
      <c r="R327" s="80" t="str">
        <f>REPLACE(INDEX(GroupVertices[Group],MATCH(Edges[[#This Row],[Vertex 2]],GroupVertices[Vertex],0)),1,1,"")</f>
        <v>5</v>
      </c>
      <c r="S327" s="35"/>
      <c r="T327" s="35"/>
      <c r="U327" s="35"/>
      <c r="V327" s="35"/>
      <c r="W327" s="35"/>
      <c r="X327" s="35"/>
      <c r="Y327" s="35"/>
      <c r="Z327" s="35"/>
      <c r="AA327" s="35"/>
    </row>
    <row r="328" spans="1:27" ht="15">
      <c r="A328" s="65" t="s">
        <v>204</v>
      </c>
      <c r="B328" s="65" t="s">
        <v>201</v>
      </c>
      <c r="C328" s="66" t="s">
        <v>1612</v>
      </c>
      <c r="D328" s="67">
        <v>5</v>
      </c>
      <c r="E328" s="68"/>
      <c r="F328" s="69">
        <v>25</v>
      </c>
      <c r="G328" s="66"/>
      <c r="H328" s="70"/>
      <c r="I328" s="71"/>
      <c r="J328" s="71"/>
      <c r="K328" s="35" t="s">
        <v>65</v>
      </c>
      <c r="L328" s="79">
        <v>328</v>
      </c>
      <c r="M328" s="79"/>
      <c r="N328" s="73"/>
      <c r="O328" s="81" t="s">
        <v>379</v>
      </c>
      <c r="P328">
        <v>1</v>
      </c>
      <c r="Q328" s="80" t="str">
        <f>REPLACE(INDEX(GroupVertices[Group],MATCH(Edges[[#This Row],[Vertex 1]],GroupVertices[Vertex],0)),1,1,"")</f>
        <v>1</v>
      </c>
      <c r="R328" s="80" t="str">
        <f>REPLACE(INDEX(GroupVertices[Group],MATCH(Edges[[#This Row],[Vertex 2]],GroupVertices[Vertex],0)),1,1,"")</f>
        <v>5</v>
      </c>
      <c r="S328" s="35"/>
      <c r="T328" s="35"/>
      <c r="U328" s="35"/>
      <c r="V328" s="35"/>
      <c r="W328" s="35"/>
      <c r="X328" s="35"/>
      <c r="Y328" s="35"/>
      <c r="Z328" s="35"/>
      <c r="AA328" s="35"/>
    </row>
    <row r="329" spans="1:27" ht="15">
      <c r="A329" s="65" t="s">
        <v>207</v>
      </c>
      <c r="B329" s="65" t="s">
        <v>201</v>
      </c>
      <c r="C329" s="66" t="s">
        <v>1612</v>
      </c>
      <c r="D329" s="67">
        <v>5</v>
      </c>
      <c r="E329" s="68"/>
      <c r="F329" s="69">
        <v>25</v>
      </c>
      <c r="G329" s="66"/>
      <c r="H329" s="70"/>
      <c r="I329" s="71"/>
      <c r="J329" s="71"/>
      <c r="K329" s="35" t="s">
        <v>65</v>
      </c>
      <c r="L329" s="79">
        <v>329</v>
      </c>
      <c r="M329" s="79"/>
      <c r="N329" s="73"/>
      <c r="O329" s="81" t="s">
        <v>379</v>
      </c>
      <c r="P329">
        <v>1</v>
      </c>
      <c r="Q329" s="80" t="str">
        <f>REPLACE(INDEX(GroupVertices[Group],MATCH(Edges[[#This Row],[Vertex 1]],GroupVertices[Vertex],0)),1,1,"")</f>
        <v>4</v>
      </c>
      <c r="R329" s="80" t="str">
        <f>REPLACE(INDEX(GroupVertices[Group],MATCH(Edges[[#This Row],[Vertex 2]],GroupVertices[Vertex],0)),1,1,"")</f>
        <v>5</v>
      </c>
      <c r="S329" s="35"/>
      <c r="T329" s="35"/>
      <c r="U329" s="35"/>
      <c r="V329" s="35"/>
      <c r="W329" s="35"/>
      <c r="X329" s="35"/>
      <c r="Y329" s="35"/>
      <c r="Z329" s="35"/>
      <c r="AA329" s="35"/>
    </row>
    <row r="330" spans="1:27" ht="15">
      <c r="A330" s="65" t="s">
        <v>212</v>
      </c>
      <c r="B330" s="65" t="s">
        <v>201</v>
      </c>
      <c r="C330" s="66" t="s">
        <v>1612</v>
      </c>
      <c r="D330" s="67">
        <v>5</v>
      </c>
      <c r="E330" s="68"/>
      <c r="F330" s="69">
        <v>25</v>
      </c>
      <c r="G330" s="66"/>
      <c r="H330" s="70"/>
      <c r="I330" s="71"/>
      <c r="J330" s="71"/>
      <c r="K330" s="35" t="s">
        <v>66</v>
      </c>
      <c r="L330" s="79">
        <v>330</v>
      </c>
      <c r="M330" s="79"/>
      <c r="N330" s="73"/>
      <c r="O330" s="81" t="s">
        <v>379</v>
      </c>
      <c r="P330">
        <v>1</v>
      </c>
      <c r="Q330" s="80" t="str">
        <f>REPLACE(INDEX(GroupVertices[Group],MATCH(Edges[[#This Row],[Vertex 1]],GroupVertices[Vertex],0)),1,1,"")</f>
        <v>1</v>
      </c>
      <c r="R330" s="80" t="str">
        <f>REPLACE(INDEX(GroupVertices[Group],MATCH(Edges[[#This Row],[Vertex 2]],GroupVertices[Vertex],0)),1,1,"")</f>
        <v>5</v>
      </c>
      <c r="S330" s="35"/>
      <c r="T330" s="35"/>
      <c r="U330" s="35"/>
      <c r="V330" s="35"/>
      <c r="W330" s="35"/>
      <c r="X330" s="35"/>
      <c r="Y330" s="35"/>
      <c r="Z330" s="35"/>
      <c r="AA330" s="35"/>
    </row>
    <row r="331" spans="1:27" ht="15">
      <c r="A331" s="65" t="s">
        <v>226</v>
      </c>
      <c r="B331" s="65" t="s">
        <v>201</v>
      </c>
      <c r="C331" s="66" t="s">
        <v>1612</v>
      </c>
      <c r="D331" s="67">
        <v>5</v>
      </c>
      <c r="E331" s="68"/>
      <c r="F331" s="69">
        <v>25</v>
      </c>
      <c r="G331" s="66"/>
      <c r="H331" s="70"/>
      <c r="I331" s="71"/>
      <c r="J331" s="71"/>
      <c r="K331" s="35" t="s">
        <v>65</v>
      </c>
      <c r="L331" s="79">
        <v>331</v>
      </c>
      <c r="M331" s="79"/>
      <c r="N331" s="73"/>
      <c r="O331" s="81" t="s">
        <v>379</v>
      </c>
      <c r="P331">
        <v>1</v>
      </c>
      <c r="Q331" s="80" t="str">
        <f>REPLACE(INDEX(GroupVertices[Group],MATCH(Edges[[#This Row],[Vertex 1]],GroupVertices[Vertex],0)),1,1,"")</f>
        <v>8</v>
      </c>
      <c r="R331" s="80" t="str">
        <f>REPLACE(INDEX(GroupVertices[Group],MATCH(Edges[[#This Row],[Vertex 2]],GroupVertices[Vertex],0)),1,1,"")</f>
        <v>5</v>
      </c>
      <c r="S331" s="35"/>
      <c r="T331" s="35"/>
      <c r="U331" s="35"/>
      <c r="V331" s="35"/>
      <c r="W331" s="35"/>
      <c r="X331" s="35"/>
      <c r="Y331" s="35"/>
      <c r="Z331" s="35"/>
      <c r="AA331" s="35"/>
    </row>
    <row r="332" spans="1:27" ht="15">
      <c r="A332" s="65" t="s">
        <v>214</v>
      </c>
      <c r="B332" s="65" t="s">
        <v>201</v>
      </c>
      <c r="C332" s="66" t="s">
        <v>1612</v>
      </c>
      <c r="D332" s="67">
        <v>5</v>
      </c>
      <c r="E332" s="68"/>
      <c r="F332" s="69">
        <v>25</v>
      </c>
      <c r="G332" s="66"/>
      <c r="H332" s="70"/>
      <c r="I332" s="71"/>
      <c r="J332" s="71"/>
      <c r="K332" s="35" t="s">
        <v>65</v>
      </c>
      <c r="L332" s="79">
        <v>332</v>
      </c>
      <c r="M332" s="79"/>
      <c r="N332" s="73"/>
      <c r="O332" s="81" t="s">
        <v>379</v>
      </c>
      <c r="P332">
        <v>1</v>
      </c>
      <c r="Q332" s="80" t="str">
        <f>REPLACE(INDEX(GroupVertices[Group],MATCH(Edges[[#This Row],[Vertex 1]],GroupVertices[Vertex],0)),1,1,"")</f>
        <v>1</v>
      </c>
      <c r="R332" s="80" t="str">
        <f>REPLACE(INDEX(GroupVertices[Group],MATCH(Edges[[#This Row],[Vertex 2]],GroupVertices[Vertex],0)),1,1,"")</f>
        <v>5</v>
      </c>
      <c r="S332" s="35"/>
      <c r="T332" s="35"/>
      <c r="U332" s="35"/>
      <c r="V332" s="35"/>
      <c r="W332" s="35"/>
      <c r="X332" s="35"/>
      <c r="Y332" s="35"/>
      <c r="Z332" s="35"/>
      <c r="AA332" s="35"/>
    </row>
    <row r="333" spans="1:27" ht="15">
      <c r="A333" s="65" t="s">
        <v>227</v>
      </c>
      <c r="B333" s="65" t="s">
        <v>201</v>
      </c>
      <c r="C333" s="66" t="s">
        <v>1612</v>
      </c>
      <c r="D333" s="67">
        <v>5</v>
      </c>
      <c r="E333" s="68"/>
      <c r="F333" s="69">
        <v>25</v>
      </c>
      <c r="G333" s="66"/>
      <c r="H333" s="70"/>
      <c r="I333" s="71"/>
      <c r="J333" s="71"/>
      <c r="K333" s="35" t="s">
        <v>65</v>
      </c>
      <c r="L333" s="79">
        <v>333</v>
      </c>
      <c r="M333" s="79"/>
      <c r="N333" s="73"/>
      <c r="O333" s="81" t="s">
        <v>379</v>
      </c>
      <c r="P333">
        <v>1</v>
      </c>
      <c r="Q333" s="80" t="str">
        <f>REPLACE(INDEX(GroupVertices[Group],MATCH(Edges[[#This Row],[Vertex 1]],GroupVertices[Vertex],0)),1,1,"")</f>
        <v>1</v>
      </c>
      <c r="R333" s="80" t="str">
        <f>REPLACE(INDEX(GroupVertices[Group],MATCH(Edges[[#This Row],[Vertex 2]],GroupVertices[Vertex],0)),1,1,"")</f>
        <v>5</v>
      </c>
      <c r="S333" s="35"/>
      <c r="T333" s="35"/>
      <c r="U333" s="35"/>
      <c r="V333" s="35"/>
      <c r="W333" s="35"/>
      <c r="X333" s="35"/>
      <c r="Y333" s="35"/>
      <c r="Z333" s="35"/>
      <c r="AA333" s="35"/>
    </row>
    <row r="334" spans="1:27" ht="15">
      <c r="A334" s="65" t="s">
        <v>215</v>
      </c>
      <c r="B334" s="65" t="s">
        <v>201</v>
      </c>
      <c r="C334" s="66" t="s">
        <v>1612</v>
      </c>
      <c r="D334" s="67">
        <v>5</v>
      </c>
      <c r="E334" s="68"/>
      <c r="F334" s="69">
        <v>25</v>
      </c>
      <c r="G334" s="66"/>
      <c r="H334" s="70"/>
      <c r="I334" s="71"/>
      <c r="J334" s="71"/>
      <c r="K334" s="35" t="s">
        <v>65</v>
      </c>
      <c r="L334" s="79">
        <v>334</v>
      </c>
      <c r="M334" s="79"/>
      <c r="N334" s="73"/>
      <c r="O334" s="81" t="s">
        <v>379</v>
      </c>
      <c r="P334">
        <v>1</v>
      </c>
      <c r="Q334" s="80" t="str">
        <f>REPLACE(INDEX(GroupVertices[Group],MATCH(Edges[[#This Row],[Vertex 1]],GroupVertices[Vertex],0)),1,1,"")</f>
        <v>1</v>
      </c>
      <c r="R334" s="80" t="str">
        <f>REPLACE(INDEX(GroupVertices[Group],MATCH(Edges[[#This Row],[Vertex 2]],GroupVertices[Vertex],0)),1,1,"")</f>
        <v>5</v>
      </c>
      <c r="S334" s="35"/>
      <c r="T334" s="35"/>
      <c r="U334" s="35"/>
      <c r="V334" s="35"/>
      <c r="W334" s="35"/>
      <c r="X334" s="35"/>
      <c r="Y334" s="35"/>
      <c r="Z334" s="35"/>
      <c r="AA334" s="35"/>
    </row>
    <row r="335" spans="1:27" ht="15">
      <c r="A335" s="65" t="s">
        <v>228</v>
      </c>
      <c r="B335" s="65" t="s">
        <v>201</v>
      </c>
      <c r="C335" s="66" t="s">
        <v>1612</v>
      </c>
      <c r="D335" s="67">
        <v>5</v>
      </c>
      <c r="E335" s="68"/>
      <c r="F335" s="69">
        <v>25</v>
      </c>
      <c r="G335" s="66"/>
      <c r="H335" s="70"/>
      <c r="I335" s="71"/>
      <c r="J335" s="71"/>
      <c r="K335" s="35" t="s">
        <v>65</v>
      </c>
      <c r="L335" s="79">
        <v>335</v>
      </c>
      <c r="M335" s="79"/>
      <c r="N335" s="73"/>
      <c r="O335" s="81" t="s">
        <v>379</v>
      </c>
      <c r="P335">
        <v>1</v>
      </c>
      <c r="Q335" s="80" t="str">
        <f>REPLACE(INDEX(GroupVertices[Group],MATCH(Edges[[#This Row],[Vertex 1]],GroupVertices[Vertex],0)),1,1,"")</f>
        <v>1</v>
      </c>
      <c r="R335" s="80" t="str">
        <f>REPLACE(INDEX(GroupVertices[Group],MATCH(Edges[[#This Row],[Vertex 2]],GroupVertices[Vertex],0)),1,1,"")</f>
        <v>5</v>
      </c>
      <c r="S335" s="35"/>
      <c r="T335" s="35"/>
      <c r="U335" s="35"/>
      <c r="V335" s="35"/>
      <c r="W335" s="35"/>
      <c r="X335" s="35"/>
      <c r="Y335" s="35"/>
      <c r="Z335" s="35"/>
      <c r="AA335" s="35"/>
    </row>
    <row r="336" spans="1:27" ht="15">
      <c r="A336" s="65" t="s">
        <v>231</v>
      </c>
      <c r="B336" s="65" t="s">
        <v>201</v>
      </c>
      <c r="C336" s="66" t="s">
        <v>1612</v>
      </c>
      <c r="D336" s="67">
        <v>5</v>
      </c>
      <c r="E336" s="68"/>
      <c r="F336" s="69">
        <v>25</v>
      </c>
      <c r="G336" s="66"/>
      <c r="H336" s="70"/>
      <c r="I336" s="71"/>
      <c r="J336" s="71"/>
      <c r="K336" s="35" t="s">
        <v>65</v>
      </c>
      <c r="L336" s="79">
        <v>336</v>
      </c>
      <c r="M336" s="79"/>
      <c r="N336" s="73"/>
      <c r="O336" s="81" t="s">
        <v>379</v>
      </c>
      <c r="P336">
        <v>1</v>
      </c>
      <c r="Q336" s="80" t="str">
        <f>REPLACE(INDEX(GroupVertices[Group],MATCH(Edges[[#This Row],[Vertex 1]],GroupVertices[Vertex],0)),1,1,"")</f>
        <v>1</v>
      </c>
      <c r="R336" s="80" t="str">
        <f>REPLACE(INDEX(GroupVertices[Group],MATCH(Edges[[#This Row],[Vertex 2]],GroupVertices[Vertex],0)),1,1,"")</f>
        <v>5</v>
      </c>
      <c r="S336" s="35"/>
      <c r="T336" s="35"/>
      <c r="U336" s="35"/>
      <c r="V336" s="35"/>
      <c r="W336" s="35"/>
      <c r="X336" s="35"/>
      <c r="Y336" s="35"/>
      <c r="Z336" s="35"/>
      <c r="AA336" s="35"/>
    </row>
    <row r="337" spans="1:27" ht="15">
      <c r="A337" s="65" t="s">
        <v>232</v>
      </c>
      <c r="B337" s="65" t="s">
        <v>201</v>
      </c>
      <c r="C337" s="66" t="s">
        <v>1612</v>
      </c>
      <c r="D337" s="67">
        <v>5</v>
      </c>
      <c r="E337" s="68"/>
      <c r="F337" s="69">
        <v>25</v>
      </c>
      <c r="G337" s="66"/>
      <c r="H337" s="70"/>
      <c r="I337" s="71"/>
      <c r="J337" s="71"/>
      <c r="K337" s="35" t="s">
        <v>65</v>
      </c>
      <c r="L337" s="79">
        <v>337</v>
      </c>
      <c r="M337" s="79"/>
      <c r="N337" s="73"/>
      <c r="O337" s="81" t="s">
        <v>379</v>
      </c>
      <c r="P337">
        <v>1</v>
      </c>
      <c r="Q337" s="80" t="str">
        <f>REPLACE(INDEX(GroupVertices[Group],MATCH(Edges[[#This Row],[Vertex 1]],GroupVertices[Vertex],0)),1,1,"")</f>
        <v>1</v>
      </c>
      <c r="R337" s="80" t="str">
        <f>REPLACE(INDEX(GroupVertices[Group],MATCH(Edges[[#This Row],[Vertex 2]],GroupVertices[Vertex],0)),1,1,"")</f>
        <v>5</v>
      </c>
      <c r="S337" s="35"/>
      <c r="T337" s="35"/>
      <c r="U337" s="35"/>
      <c r="V337" s="35"/>
      <c r="W337" s="35"/>
      <c r="X337" s="35"/>
      <c r="Y337" s="35"/>
      <c r="Z337" s="35"/>
      <c r="AA337" s="35"/>
    </row>
    <row r="338" spans="1:27" ht="15">
      <c r="A338" s="65" t="s">
        <v>221</v>
      </c>
      <c r="B338" s="65" t="s">
        <v>201</v>
      </c>
      <c r="C338" s="66" t="s">
        <v>1612</v>
      </c>
      <c r="D338" s="67">
        <v>5</v>
      </c>
      <c r="E338" s="68"/>
      <c r="F338" s="69">
        <v>25</v>
      </c>
      <c r="G338" s="66"/>
      <c r="H338" s="70"/>
      <c r="I338" s="71"/>
      <c r="J338" s="71"/>
      <c r="K338" s="35" t="s">
        <v>65</v>
      </c>
      <c r="L338" s="79">
        <v>338</v>
      </c>
      <c r="M338" s="79"/>
      <c r="N338" s="73"/>
      <c r="O338" s="81" t="s">
        <v>379</v>
      </c>
      <c r="P338">
        <v>1</v>
      </c>
      <c r="Q338" s="80" t="str">
        <f>REPLACE(INDEX(GroupVertices[Group],MATCH(Edges[[#This Row],[Vertex 1]],GroupVertices[Vertex],0)),1,1,"")</f>
        <v>1</v>
      </c>
      <c r="R338" s="80" t="str">
        <f>REPLACE(INDEX(GroupVertices[Group],MATCH(Edges[[#This Row],[Vertex 2]],GroupVertices[Vertex],0)),1,1,"")</f>
        <v>5</v>
      </c>
      <c r="S338" s="35"/>
      <c r="T338" s="35"/>
      <c r="U338" s="35"/>
      <c r="V338" s="35"/>
      <c r="W338" s="35"/>
      <c r="X338" s="35"/>
      <c r="Y338" s="35"/>
      <c r="Z338" s="35"/>
      <c r="AA338" s="35"/>
    </row>
    <row r="339" spans="1:27" ht="15">
      <c r="A339" s="65" t="s">
        <v>222</v>
      </c>
      <c r="B339" s="65" t="s">
        <v>201</v>
      </c>
      <c r="C339" s="66" t="s">
        <v>1612</v>
      </c>
      <c r="D339" s="67">
        <v>5</v>
      </c>
      <c r="E339" s="68"/>
      <c r="F339" s="69">
        <v>25</v>
      </c>
      <c r="G339" s="66"/>
      <c r="H339" s="70"/>
      <c r="I339" s="71"/>
      <c r="J339" s="71"/>
      <c r="K339" s="35" t="s">
        <v>65</v>
      </c>
      <c r="L339" s="79">
        <v>339</v>
      </c>
      <c r="M339" s="79"/>
      <c r="N339" s="73"/>
      <c r="O339" s="81" t="s">
        <v>379</v>
      </c>
      <c r="P339">
        <v>1</v>
      </c>
      <c r="Q339" s="80" t="str">
        <f>REPLACE(INDEX(GroupVertices[Group],MATCH(Edges[[#This Row],[Vertex 1]],GroupVertices[Vertex],0)),1,1,"")</f>
        <v>1</v>
      </c>
      <c r="R339" s="80" t="str">
        <f>REPLACE(INDEX(GroupVertices[Group],MATCH(Edges[[#This Row],[Vertex 2]],GroupVertices[Vertex],0)),1,1,"")</f>
        <v>5</v>
      </c>
      <c r="S339" s="35"/>
      <c r="T339" s="35"/>
      <c r="U339" s="35"/>
      <c r="V339" s="35"/>
      <c r="W339" s="35"/>
      <c r="X339" s="35"/>
      <c r="Y339" s="35"/>
      <c r="Z339" s="35"/>
      <c r="AA339" s="35"/>
    </row>
    <row r="340" spans="1:27" ht="15">
      <c r="A340" s="65" t="s">
        <v>223</v>
      </c>
      <c r="B340" s="65" t="s">
        <v>201</v>
      </c>
      <c r="C340" s="66" t="s">
        <v>1612</v>
      </c>
      <c r="D340" s="67">
        <v>5</v>
      </c>
      <c r="E340" s="68"/>
      <c r="F340" s="69">
        <v>25</v>
      </c>
      <c r="G340" s="66"/>
      <c r="H340" s="70"/>
      <c r="I340" s="71"/>
      <c r="J340" s="71"/>
      <c r="K340" s="35" t="s">
        <v>66</v>
      </c>
      <c r="L340" s="79">
        <v>340</v>
      </c>
      <c r="M340" s="79"/>
      <c r="N340" s="73"/>
      <c r="O340" s="81" t="s">
        <v>379</v>
      </c>
      <c r="P340">
        <v>1</v>
      </c>
      <c r="Q340" s="80" t="str">
        <f>REPLACE(INDEX(GroupVertices[Group],MATCH(Edges[[#This Row],[Vertex 1]],GroupVertices[Vertex],0)),1,1,"")</f>
        <v>1</v>
      </c>
      <c r="R340" s="80" t="str">
        <f>REPLACE(INDEX(GroupVertices[Group],MATCH(Edges[[#This Row],[Vertex 2]],GroupVertices[Vertex],0)),1,1,"")</f>
        <v>5</v>
      </c>
      <c r="S340" s="35"/>
      <c r="T340" s="35"/>
      <c r="U340" s="35"/>
      <c r="V340" s="35"/>
      <c r="W340" s="35"/>
      <c r="X340" s="35"/>
      <c r="Y340" s="35"/>
      <c r="Z340" s="35"/>
      <c r="AA340" s="35"/>
    </row>
    <row r="341" spans="1:27" ht="15">
      <c r="A341" s="65" t="s">
        <v>229</v>
      </c>
      <c r="B341" s="65" t="s">
        <v>201</v>
      </c>
      <c r="C341" s="66" t="s">
        <v>1612</v>
      </c>
      <c r="D341" s="67">
        <v>5</v>
      </c>
      <c r="E341" s="68"/>
      <c r="F341" s="69">
        <v>25</v>
      </c>
      <c r="G341" s="66"/>
      <c r="H341" s="70"/>
      <c r="I341" s="71"/>
      <c r="J341" s="71"/>
      <c r="K341" s="35" t="s">
        <v>66</v>
      </c>
      <c r="L341" s="79">
        <v>341</v>
      </c>
      <c r="M341" s="79"/>
      <c r="N341" s="73"/>
      <c r="O341" s="81" t="s">
        <v>379</v>
      </c>
      <c r="P341">
        <v>1</v>
      </c>
      <c r="Q341" s="80" t="str">
        <f>REPLACE(INDEX(GroupVertices[Group],MATCH(Edges[[#This Row],[Vertex 1]],GroupVertices[Vertex],0)),1,1,"")</f>
        <v>1</v>
      </c>
      <c r="R341" s="80" t="str">
        <f>REPLACE(INDEX(GroupVertices[Group],MATCH(Edges[[#This Row],[Vertex 2]],GroupVertices[Vertex],0)),1,1,"")</f>
        <v>5</v>
      </c>
      <c r="S341" s="35"/>
      <c r="T341" s="35"/>
      <c r="U341" s="35"/>
      <c r="V341" s="35"/>
      <c r="W341" s="35"/>
      <c r="X341" s="35"/>
      <c r="Y341" s="35"/>
      <c r="Z341" s="35"/>
      <c r="AA341" s="35"/>
    </row>
    <row r="342" spans="1:27" ht="15">
      <c r="A342" s="65" t="s">
        <v>230</v>
      </c>
      <c r="B342" s="65" t="s">
        <v>201</v>
      </c>
      <c r="C342" s="66" t="s">
        <v>1612</v>
      </c>
      <c r="D342" s="67">
        <v>5</v>
      </c>
      <c r="E342" s="68"/>
      <c r="F342" s="69">
        <v>25</v>
      </c>
      <c r="G342" s="66"/>
      <c r="H342" s="70"/>
      <c r="I342" s="71"/>
      <c r="J342" s="71"/>
      <c r="K342" s="35" t="s">
        <v>66</v>
      </c>
      <c r="L342" s="79">
        <v>342</v>
      </c>
      <c r="M342" s="79"/>
      <c r="N342" s="73"/>
      <c r="O342" s="81" t="s">
        <v>379</v>
      </c>
      <c r="P342">
        <v>1</v>
      </c>
      <c r="Q342" s="80" t="str">
        <f>REPLACE(INDEX(GroupVertices[Group],MATCH(Edges[[#This Row],[Vertex 1]],GroupVertices[Vertex],0)),1,1,"")</f>
        <v>2</v>
      </c>
      <c r="R342" s="80" t="str">
        <f>REPLACE(INDEX(GroupVertices[Group],MATCH(Edges[[#This Row],[Vertex 2]],GroupVertices[Vertex],0)),1,1,"")</f>
        <v>5</v>
      </c>
      <c r="S342" s="35"/>
      <c r="T342" s="35"/>
      <c r="U342" s="35"/>
      <c r="V342" s="35"/>
      <c r="W342" s="35"/>
      <c r="X342" s="35"/>
      <c r="Y342" s="35"/>
      <c r="Z342" s="35"/>
      <c r="AA342" s="35"/>
    </row>
    <row r="343" spans="1:27" ht="15">
      <c r="A343" s="65" t="s">
        <v>224</v>
      </c>
      <c r="B343" s="65" t="s">
        <v>201</v>
      </c>
      <c r="C343" s="66" t="s">
        <v>1612</v>
      </c>
      <c r="D343" s="67">
        <v>5</v>
      </c>
      <c r="E343" s="68"/>
      <c r="F343" s="69">
        <v>25</v>
      </c>
      <c r="G343" s="66"/>
      <c r="H343" s="70"/>
      <c r="I343" s="71"/>
      <c r="J343" s="71"/>
      <c r="K343" s="35" t="s">
        <v>65</v>
      </c>
      <c r="L343" s="79">
        <v>343</v>
      </c>
      <c r="M343" s="79"/>
      <c r="N343" s="73"/>
      <c r="O343" s="81" t="s">
        <v>379</v>
      </c>
      <c r="P343">
        <v>1</v>
      </c>
      <c r="Q343" s="80" t="str">
        <f>REPLACE(INDEX(GroupVertices[Group],MATCH(Edges[[#This Row],[Vertex 1]],GroupVertices[Vertex],0)),1,1,"")</f>
        <v>1</v>
      </c>
      <c r="R343" s="80" t="str">
        <f>REPLACE(INDEX(GroupVertices[Group],MATCH(Edges[[#This Row],[Vertex 2]],GroupVertices[Vertex],0)),1,1,"")</f>
        <v>5</v>
      </c>
      <c r="S343" s="35"/>
      <c r="T343" s="35"/>
      <c r="U343" s="35"/>
      <c r="V343" s="35"/>
      <c r="W343" s="35"/>
      <c r="X343" s="35"/>
      <c r="Y343" s="35"/>
      <c r="Z343" s="35"/>
      <c r="AA343" s="35"/>
    </row>
    <row r="344" spans="1:27" ht="15">
      <c r="A344" s="65" t="s">
        <v>225</v>
      </c>
      <c r="B344" s="65" t="s">
        <v>201</v>
      </c>
      <c r="C344" s="66" t="s">
        <v>1612</v>
      </c>
      <c r="D344" s="67">
        <v>5</v>
      </c>
      <c r="E344" s="68"/>
      <c r="F344" s="69">
        <v>25</v>
      </c>
      <c r="G344" s="66"/>
      <c r="H344" s="70"/>
      <c r="I344" s="71"/>
      <c r="J344" s="71"/>
      <c r="K344" s="35" t="s">
        <v>65</v>
      </c>
      <c r="L344" s="79">
        <v>344</v>
      </c>
      <c r="M344" s="79"/>
      <c r="N344" s="73"/>
      <c r="O344" s="81" t="s">
        <v>379</v>
      </c>
      <c r="P344">
        <v>1</v>
      </c>
      <c r="Q344" s="80" t="str">
        <f>REPLACE(INDEX(GroupVertices[Group],MATCH(Edges[[#This Row],[Vertex 1]],GroupVertices[Vertex],0)),1,1,"")</f>
        <v>1</v>
      </c>
      <c r="R344" s="80" t="str">
        <f>REPLACE(INDEX(GroupVertices[Group],MATCH(Edges[[#This Row],[Vertex 2]],GroupVertices[Vertex],0)),1,1,"")</f>
        <v>5</v>
      </c>
      <c r="S344" s="35"/>
      <c r="T344" s="35"/>
      <c r="U344" s="35"/>
      <c r="V344" s="35"/>
      <c r="W344" s="35"/>
      <c r="X344" s="35"/>
      <c r="Y344" s="35"/>
      <c r="Z344" s="35"/>
      <c r="AA344" s="35"/>
    </row>
    <row r="345" spans="1:27" ht="15">
      <c r="A345" s="65" t="s">
        <v>233</v>
      </c>
      <c r="B345" s="65" t="s">
        <v>201</v>
      </c>
      <c r="C345" s="66" t="s">
        <v>1612</v>
      </c>
      <c r="D345" s="67">
        <v>5</v>
      </c>
      <c r="E345" s="68"/>
      <c r="F345" s="69">
        <v>25</v>
      </c>
      <c r="G345" s="66"/>
      <c r="H345" s="70"/>
      <c r="I345" s="71"/>
      <c r="J345" s="71"/>
      <c r="K345" s="35" t="s">
        <v>65</v>
      </c>
      <c r="L345" s="79">
        <v>345</v>
      </c>
      <c r="M345" s="79"/>
      <c r="N345" s="73"/>
      <c r="O345" s="81" t="s">
        <v>378</v>
      </c>
      <c r="P345">
        <v>1</v>
      </c>
      <c r="Q345" s="80" t="str">
        <f>REPLACE(INDEX(GroupVertices[Group],MATCH(Edges[[#This Row],[Vertex 1]],GroupVertices[Vertex],0)),1,1,"")</f>
        <v>1</v>
      </c>
      <c r="R345" s="80" t="str">
        <f>REPLACE(INDEX(GroupVertices[Group],MATCH(Edges[[#This Row],[Vertex 2]],GroupVertices[Vertex],0)),1,1,"")</f>
        <v>5</v>
      </c>
      <c r="S345" s="35"/>
      <c r="T345" s="35"/>
      <c r="U345" s="35"/>
      <c r="V345" s="35"/>
      <c r="W345" s="35"/>
      <c r="X345" s="35"/>
      <c r="Y345" s="35"/>
      <c r="Z345" s="35"/>
      <c r="AA345" s="35"/>
    </row>
    <row r="346" spans="1:27" ht="15">
      <c r="A346" s="65" t="s">
        <v>208</v>
      </c>
      <c r="B346" s="65" t="s">
        <v>202</v>
      </c>
      <c r="C346" s="66" t="s">
        <v>1612</v>
      </c>
      <c r="D346" s="67">
        <v>5</v>
      </c>
      <c r="E346" s="68"/>
      <c r="F346" s="69">
        <v>25</v>
      </c>
      <c r="G346" s="66"/>
      <c r="H346" s="70"/>
      <c r="I346" s="71"/>
      <c r="J346" s="71"/>
      <c r="K346" s="35" t="s">
        <v>65</v>
      </c>
      <c r="L346" s="79">
        <v>346</v>
      </c>
      <c r="M346" s="79"/>
      <c r="N346" s="73"/>
      <c r="O346" s="81" t="s">
        <v>377</v>
      </c>
      <c r="P346">
        <v>1</v>
      </c>
      <c r="Q346" s="80" t="str">
        <f>REPLACE(INDEX(GroupVertices[Group],MATCH(Edges[[#This Row],[Vertex 1]],GroupVertices[Vertex],0)),1,1,"")</f>
        <v>3</v>
      </c>
      <c r="R346" s="80" t="str">
        <f>REPLACE(INDEX(GroupVertices[Group],MATCH(Edges[[#This Row],[Vertex 2]],GroupVertices[Vertex],0)),1,1,"")</f>
        <v>3</v>
      </c>
      <c r="S346" s="35"/>
      <c r="T346" s="35"/>
      <c r="U346" s="35"/>
      <c r="V346" s="35"/>
      <c r="W346" s="35"/>
      <c r="X346" s="35"/>
      <c r="Y346" s="35"/>
      <c r="Z346" s="35"/>
      <c r="AA346" s="35"/>
    </row>
    <row r="347" spans="1:27" ht="15">
      <c r="A347" s="65" t="s">
        <v>208</v>
      </c>
      <c r="B347" s="65" t="s">
        <v>202</v>
      </c>
      <c r="C347" s="66" t="s">
        <v>1612</v>
      </c>
      <c r="D347" s="67">
        <v>5</v>
      </c>
      <c r="E347" s="68"/>
      <c r="F347" s="69">
        <v>25</v>
      </c>
      <c r="G347" s="66"/>
      <c r="H347" s="70"/>
      <c r="I347" s="71"/>
      <c r="J347" s="71"/>
      <c r="K347" s="35" t="s">
        <v>65</v>
      </c>
      <c r="L347" s="79">
        <v>347</v>
      </c>
      <c r="M347" s="79"/>
      <c r="N347" s="73"/>
      <c r="O347" s="81" t="s">
        <v>379</v>
      </c>
      <c r="P347">
        <v>1</v>
      </c>
      <c r="Q347" s="80" t="str">
        <f>REPLACE(INDEX(GroupVertices[Group],MATCH(Edges[[#This Row],[Vertex 1]],GroupVertices[Vertex],0)),1,1,"")</f>
        <v>3</v>
      </c>
      <c r="R347" s="80" t="str">
        <f>REPLACE(INDEX(GroupVertices[Group],MATCH(Edges[[#This Row],[Vertex 2]],GroupVertices[Vertex],0)),1,1,"")</f>
        <v>3</v>
      </c>
      <c r="S347" s="35"/>
      <c r="T347" s="35"/>
      <c r="U347" s="35"/>
      <c r="V347" s="35"/>
      <c r="W347" s="35"/>
      <c r="X347" s="35"/>
      <c r="Y347" s="35"/>
      <c r="Z347" s="35"/>
      <c r="AA347" s="35"/>
    </row>
    <row r="348" spans="1:27" ht="15">
      <c r="A348" s="65" t="s">
        <v>233</v>
      </c>
      <c r="B348" s="65" t="s">
        <v>202</v>
      </c>
      <c r="C348" s="66" t="s">
        <v>1612</v>
      </c>
      <c r="D348" s="67">
        <v>5</v>
      </c>
      <c r="E348" s="68"/>
      <c r="F348" s="69">
        <v>25</v>
      </c>
      <c r="G348" s="66"/>
      <c r="H348" s="70"/>
      <c r="I348" s="71"/>
      <c r="J348" s="71"/>
      <c r="K348" s="35" t="s">
        <v>65</v>
      </c>
      <c r="L348" s="79">
        <v>348</v>
      </c>
      <c r="M348" s="79"/>
      <c r="N348" s="73"/>
      <c r="O348" s="81" t="s">
        <v>378</v>
      </c>
      <c r="P348">
        <v>1</v>
      </c>
      <c r="Q348" s="80" t="str">
        <f>REPLACE(INDEX(GroupVertices[Group],MATCH(Edges[[#This Row],[Vertex 1]],GroupVertices[Vertex],0)),1,1,"")</f>
        <v>1</v>
      </c>
      <c r="R348" s="80" t="str">
        <f>REPLACE(INDEX(GroupVertices[Group],MATCH(Edges[[#This Row],[Vertex 2]],GroupVertices[Vertex],0)),1,1,"")</f>
        <v>3</v>
      </c>
      <c r="S348" s="35"/>
      <c r="T348" s="35"/>
      <c r="U348" s="35"/>
      <c r="V348" s="35"/>
      <c r="W348" s="35"/>
      <c r="X348" s="35"/>
      <c r="Y348" s="35"/>
      <c r="Z348" s="35"/>
      <c r="AA348" s="35"/>
    </row>
    <row r="349" spans="1:27" ht="15">
      <c r="A349" s="65" t="s">
        <v>233</v>
      </c>
      <c r="B349" s="65" t="s">
        <v>219</v>
      </c>
      <c r="C349" s="66" t="s">
        <v>1612</v>
      </c>
      <c r="D349" s="67">
        <v>5</v>
      </c>
      <c r="E349" s="68"/>
      <c r="F349" s="69">
        <v>25</v>
      </c>
      <c r="G349" s="66"/>
      <c r="H349" s="70"/>
      <c r="I349" s="71"/>
      <c r="J349" s="71"/>
      <c r="K349" s="35" t="s">
        <v>65</v>
      </c>
      <c r="L349" s="79">
        <v>349</v>
      </c>
      <c r="M349" s="79"/>
      <c r="N349" s="73"/>
      <c r="O349" s="81" t="s">
        <v>378</v>
      </c>
      <c r="P349">
        <v>1</v>
      </c>
      <c r="Q349" s="80" t="str">
        <f>REPLACE(INDEX(GroupVertices[Group],MATCH(Edges[[#This Row],[Vertex 1]],GroupVertices[Vertex],0)),1,1,"")</f>
        <v>1</v>
      </c>
      <c r="R349" s="80" t="str">
        <f>REPLACE(INDEX(GroupVertices[Group],MATCH(Edges[[#This Row],[Vertex 2]],GroupVertices[Vertex],0)),1,1,"")</f>
        <v>1</v>
      </c>
      <c r="S349" s="35"/>
      <c r="T349" s="35"/>
      <c r="U349" s="35"/>
      <c r="V349" s="35"/>
      <c r="W349" s="35"/>
      <c r="X349" s="35"/>
      <c r="Y349" s="35"/>
      <c r="Z349" s="35"/>
      <c r="AA349" s="35"/>
    </row>
    <row r="350" spans="1:27" ht="15">
      <c r="A350" s="65" t="s">
        <v>233</v>
      </c>
      <c r="B350" s="65" t="s">
        <v>214</v>
      </c>
      <c r="C350" s="66" t="s">
        <v>1612</v>
      </c>
      <c r="D350" s="67">
        <v>5</v>
      </c>
      <c r="E350" s="68"/>
      <c r="F350" s="69">
        <v>25</v>
      </c>
      <c r="G350" s="66"/>
      <c r="H350" s="70"/>
      <c r="I350" s="71"/>
      <c r="J350" s="71"/>
      <c r="K350" s="35" t="s">
        <v>65</v>
      </c>
      <c r="L350" s="79">
        <v>350</v>
      </c>
      <c r="M350" s="79"/>
      <c r="N350" s="73"/>
      <c r="O350" s="81" t="s">
        <v>378</v>
      </c>
      <c r="P350">
        <v>1</v>
      </c>
      <c r="Q350" s="80" t="str">
        <f>REPLACE(INDEX(GroupVertices[Group],MATCH(Edges[[#This Row],[Vertex 1]],GroupVertices[Vertex],0)),1,1,"")</f>
        <v>1</v>
      </c>
      <c r="R350" s="80" t="str">
        <f>REPLACE(INDEX(GroupVertices[Group],MATCH(Edges[[#This Row],[Vertex 2]],GroupVertices[Vertex],0)),1,1,"")</f>
        <v>1</v>
      </c>
      <c r="S350" s="35"/>
      <c r="T350" s="35"/>
      <c r="U350" s="35"/>
      <c r="V350" s="35"/>
      <c r="W350" s="35"/>
      <c r="X350" s="35"/>
      <c r="Y350" s="35"/>
      <c r="Z350" s="35"/>
      <c r="AA350" s="35"/>
    </row>
    <row r="351" spans="1:27" ht="15">
      <c r="A351" s="65" t="s">
        <v>233</v>
      </c>
      <c r="B351" s="65" t="s">
        <v>231</v>
      </c>
      <c r="C351" s="66" t="s">
        <v>1612</v>
      </c>
      <c r="D351" s="67">
        <v>5</v>
      </c>
      <c r="E351" s="68"/>
      <c r="F351" s="69">
        <v>25</v>
      </c>
      <c r="G351" s="66"/>
      <c r="H351" s="70"/>
      <c r="I351" s="71"/>
      <c r="J351" s="71"/>
      <c r="K351" s="35" t="s">
        <v>65</v>
      </c>
      <c r="L351" s="79">
        <v>351</v>
      </c>
      <c r="M351" s="79"/>
      <c r="N351" s="73"/>
      <c r="O351" s="81" t="s">
        <v>378</v>
      </c>
      <c r="P351">
        <v>1</v>
      </c>
      <c r="Q351" s="80" t="str">
        <f>REPLACE(INDEX(GroupVertices[Group],MATCH(Edges[[#This Row],[Vertex 1]],GroupVertices[Vertex],0)),1,1,"")</f>
        <v>1</v>
      </c>
      <c r="R351" s="80" t="str">
        <f>REPLACE(INDEX(GroupVertices[Group],MATCH(Edges[[#This Row],[Vertex 2]],GroupVertices[Vertex],0)),1,1,"")</f>
        <v>1</v>
      </c>
      <c r="S351" s="35"/>
      <c r="T351" s="35"/>
      <c r="U351" s="35"/>
      <c r="V351" s="35"/>
      <c r="W351" s="35"/>
      <c r="X351" s="35"/>
      <c r="Y351" s="35"/>
      <c r="Z351" s="35"/>
      <c r="AA351" s="35"/>
    </row>
    <row r="352" spans="1:27" ht="15">
      <c r="A352" s="65" t="s">
        <v>206</v>
      </c>
      <c r="B352" s="65" t="s">
        <v>226</v>
      </c>
      <c r="C352" s="66" t="s">
        <v>1612</v>
      </c>
      <c r="D352" s="67">
        <v>5</v>
      </c>
      <c r="E352" s="68"/>
      <c r="F352" s="69">
        <v>25</v>
      </c>
      <c r="G352" s="66"/>
      <c r="H352" s="70"/>
      <c r="I352" s="71"/>
      <c r="J352" s="71"/>
      <c r="K352" s="35" t="s">
        <v>66</v>
      </c>
      <c r="L352" s="79">
        <v>352</v>
      </c>
      <c r="M352" s="79"/>
      <c r="N352" s="73"/>
      <c r="O352" s="81" t="s">
        <v>377</v>
      </c>
      <c r="P352">
        <v>1</v>
      </c>
      <c r="Q352" s="80" t="str">
        <f>REPLACE(INDEX(GroupVertices[Group],MATCH(Edges[[#This Row],[Vertex 1]],GroupVertices[Vertex],0)),1,1,"")</f>
        <v>1</v>
      </c>
      <c r="R352" s="80" t="str">
        <f>REPLACE(INDEX(GroupVertices[Group],MATCH(Edges[[#This Row],[Vertex 2]],GroupVertices[Vertex],0)),1,1,"")</f>
        <v>8</v>
      </c>
      <c r="S352" s="35"/>
      <c r="T352" s="35"/>
      <c r="U352" s="35"/>
      <c r="V352" s="35"/>
      <c r="W352" s="35"/>
      <c r="X352" s="35"/>
      <c r="Y352" s="35"/>
      <c r="Z352" s="35"/>
      <c r="AA352" s="35"/>
    </row>
    <row r="353" spans="1:27" ht="15">
      <c r="A353" s="65" t="s">
        <v>206</v>
      </c>
      <c r="B353" s="65" t="s">
        <v>232</v>
      </c>
      <c r="C353" s="66" t="s">
        <v>1612</v>
      </c>
      <c r="D353" s="67">
        <v>5</v>
      </c>
      <c r="E353" s="68"/>
      <c r="F353" s="69">
        <v>25</v>
      </c>
      <c r="G353" s="66"/>
      <c r="H353" s="70"/>
      <c r="I353" s="71"/>
      <c r="J353" s="71"/>
      <c r="K353" s="35" t="s">
        <v>66</v>
      </c>
      <c r="L353" s="79">
        <v>353</v>
      </c>
      <c r="M353" s="79"/>
      <c r="N353" s="73"/>
      <c r="O353" s="81" t="s">
        <v>377</v>
      </c>
      <c r="P353">
        <v>1</v>
      </c>
      <c r="Q353" s="80" t="str">
        <f>REPLACE(INDEX(GroupVertices[Group],MATCH(Edges[[#This Row],[Vertex 1]],GroupVertices[Vertex],0)),1,1,"")</f>
        <v>1</v>
      </c>
      <c r="R353" s="80" t="str">
        <f>REPLACE(INDEX(GroupVertices[Group],MATCH(Edges[[#This Row],[Vertex 2]],GroupVertices[Vertex],0)),1,1,"")</f>
        <v>1</v>
      </c>
      <c r="S353" s="35"/>
      <c r="T353" s="35"/>
      <c r="U353" s="35"/>
      <c r="V353" s="35"/>
      <c r="W353" s="35"/>
      <c r="X353" s="35"/>
      <c r="Y353" s="35"/>
      <c r="Z353" s="35"/>
      <c r="AA353" s="35"/>
    </row>
    <row r="354" spans="1:27" ht="15">
      <c r="A354" s="65" t="s">
        <v>206</v>
      </c>
      <c r="B354" s="65" t="s">
        <v>204</v>
      </c>
      <c r="C354" s="66" t="s">
        <v>1612</v>
      </c>
      <c r="D354" s="67">
        <v>5</v>
      </c>
      <c r="E354" s="68"/>
      <c r="F354" s="69">
        <v>25</v>
      </c>
      <c r="G354" s="66"/>
      <c r="H354" s="70"/>
      <c r="I354" s="71"/>
      <c r="J354" s="71"/>
      <c r="K354" s="35" t="s">
        <v>66</v>
      </c>
      <c r="L354" s="79">
        <v>354</v>
      </c>
      <c r="M354" s="79"/>
      <c r="N354" s="73"/>
      <c r="O354" s="81" t="s">
        <v>377</v>
      </c>
      <c r="P354">
        <v>1</v>
      </c>
      <c r="Q354" s="80" t="str">
        <f>REPLACE(INDEX(GroupVertices[Group],MATCH(Edges[[#This Row],[Vertex 1]],GroupVertices[Vertex],0)),1,1,"")</f>
        <v>1</v>
      </c>
      <c r="R354" s="80" t="str">
        <f>REPLACE(INDEX(GroupVertices[Group],MATCH(Edges[[#This Row],[Vertex 2]],GroupVertices[Vertex],0)),1,1,"")</f>
        <v>1</v>
      </c>
      <c r="S354" s="35"/>
      <c r="T354" s="35"/>
      <c r="U354" s="35"/>
      <c r="V354" s="35"/>
      <c r="W354" s="35"/>
      <c r="X354" s="35"/>
      <c r="Y354" s="35"/>
      <c r="Z354" s="35"/>
      <c r="AA354" s="35"/>
    </row>
    <row r="355" spans="1:27" ht="15">
      <c r="A355" s="65" t="s">
        <v>206</v>
      </c>
      <c r="B355" s="65" t="s">
        <v>229</v>
      </c>
      <c r="C355" s="66" t="s">
        <v>1612</v>
      </c>
      <c r="D355" s="67">
        <v>5</v>
      </c>
      <c r="E355" s="68"/>
      <c r="F355" s="69">
        <v>25</v>
      </c>
      <c r="G355" s="66"/>
      <c r="H355" s="70"/>
      <c r="I355" s="71"/>
      <c r="J355" s="71"/>
      <c r="K355" s="35" t="s">
        <v>66</v>
      </c>
      <c r="L355" s="79">
        <v>355</v>
      </c>
      <c r="M355" s="79"/>
      <c r="N355" s="73"/>
      <c r="O355" s="81" t="s">
        <v>377</v>
      </c>
      <c r="P355">
        <v>1</v>
      </c>
      <c r="Q355" s="80" t="str">
        <f>REPLACE(INDEX(GroupVertices[Group],MATCH(Edges[[#This Row],[Vertex 1]],GroupVertices[Vertex],0)),1,1,"")</f>
        <v>1</v>
      </c>
      <c r="R355" s="80" t="str">
        <f>REPLACE(INDEX(GroupVertices[Group],MATCH(Edges[[#This Row],[Vertex 2]],GroupVertices[Vertex],0)),1,1,"")</f>
        <v>1</v>
      </c>
      <c r="S355" s="35"/>
      <c r="T355" s="35"/>
      <c r="U355" s="35"/>
      <c r="V355" s="35"/>
      <c r="W355" s="35"/>
      <c r="X355" s="35"/>
      <c r="Y355" s="35"/>
      <c r="Z355" s="35"/>
      <c r="AA355" s="35"/>
    </row>
    <row r="356" spans="1:27" ht="15">
      <c r="A356" s="65" t="s">
        <v>206</v>
      </c>
      <c r="B356" s="65" t="s">
        <v>203</v>
      </c>
      <c r="C356" s="66" t="s">
        <v>1612</v>
      </c>
      <c r="D356" s="67">
        <v>5</v>
      </c>
      <c r="E356" s="68"/>
      <c r="F356" s="69">
        <v>25</v>
      </c>
      <c r="G356" s="66"/>
      <c r="H356" s="70"/>
      <c r="I356" s="71"/>
      <c r="J356" s="71"/>
      <c r="K356" s="35" t="s">
        <v>66</v>
      </c>
      <c r="L356" s="79">
        <v>356</v>
      </c>
      <c r="M356" s="79"/>
      <c r="N356" s="73"/>
      <c r="O356" s="81" t="s">
        <v>377</v>
      </c>
      <c r="P356">
        <v>1</v>
      </c>
      <c r="Q356" s="80" t="str">
        <f>REPLACE(INDEX(GroupVertices[Group],MATCH(Edges[[#This Row],[Vertex 1]],GroupVertices[Vertex],0)),1,1,"")</f>
        <v>1</v>
      </c>
      <c r="R356" s="80" t="str">
        <f>REPLACE(INDEX(GroupVertices[Group],MATCH(Edges[[#This Row],[Vertex 2]],GroupVertices[Vertex],0)),1,1,"")</f>
        <v>1</v>
      </c>
      <c r="S356" s="35"/>
      <c r="T356" s="35"/>
      <c r="U356" s="35"/>
      <c r="V356" s="35"/>
      <c r="W356" s="35"/>
      <c r="X356" s="35"/>
      <c r="Y356" s="35"/>
      <c r="Z356" s="35"/>
      <c r="AA356" s="35"/>
    </row>
    <row r="357" spans="1:27" ht="15">
      <c r="A357" s="65" t="s">
        <v>206</v>
      </c>
      <c r="B357" s="65" t="s">
        <v>230</v>
      </c>
      <c r="C357" s="66" t="s">
        <v>1612</v>
      </c>
      <c r="D357" s="67">
        <v>5</v>
      </c>
      <c r="E357" s="68"/>
      <c r="F357" s="69">
        <v>25</v>
      </c>
      <c r="G357" s="66"/>
      <c r="H357" s="70"/>
      <c r="I357" s="71"/>
      <c r="J357" s="71"/>
      <c r="K357" s="35" t="s">
        <v>66</v>
      </c>
      <c r="L357" s="79">
        <v>357</v>
      </c>
      <c r="M357" s="79"/>
      <c r="N357" s="73"/>
      <c r="O357" s="81" t="s">
        <v>377</v>
      </c>
      <c r="P357">
        <v>1</v>
      </c>
      <c r="Q357" s="80" t="str">
        <f>REPLACE(INDEX(GroupVertices[Group],MATCH(Edges[[#This Row],[Vertex 1]],GroupVertices[Vertex],0)),1,1,"")</f>
        <v>1</v>
      </c>
      <c r="R357" s="80" t="str">
        <f>REPLACE(INDEX(GroupVertices[Group],MATCH(Edges[[#This Row],[Vertex 2]],GroupVertices[Vertex],0)),1,1,"")</f>
        <v>2</v>
      </c>
      <c r="S357" s="35"/>
      <c r="T357" s="35"/>
      <c r="U357" s="35"/>
      <c r="V357" s="35"/>
      <c r="W357" s="35"/>
      <c r="X357" s="35"/>
      <c r="Y357" s="35"/>
      <c r="Z357" s="35"/>
      <c r="AA357" s="35"/>
    </row>
    <row r="358" spans="1:27" ht="15">
      <c r="A358" s="65" t="s">
        <v>206</v>
      </c>
      <c r="B358" s="65" t="s">
        <v>212</v>
      </c>
      <c r="C358" s="66" t="s">
        <v>1612</v>
      </c>
      <c r="D358" s="67">
        <v>5</v>
      </c>
      <c r="E358" s="68"/>
      <c r="F358" s="69">
        <v>25</v>
      </c>
      <c r="G358" s="66"/>
      <c r="H358" s="70"/>
      <c r="I358" s="71"/>
      <c r="J358" s="71"/>
      <c r="K358" s="35" t="s">
        <v>66</v>
      </c>
      <c r="L358" s="79">
        <v>358</v>
      </c>
      <c r="M358" s="79"/>
      <c r="N358" s="73"/>
      <c r="O358" s="81" t="s">
        <v>377</v>
      </c>
      <c r="P358">
        <v>1</v>
      </c>
      <c r="Q358" s="80" t="str">
        <f>REPLACE(INDEX(GroupVertices[Group],MATCH(Edges[[#This Row],[Vertex 1]],GroupVertices[Vertex],0)),1,1,"")</f>
        <v>1</v>
      </c>
      <c r="R358" s="80" t="str">
        <f>REPLACE(INDEX(GroupVertices[Group],MATCH(Edges[[#This Row],[Vertex 2]],GroupVertices[Vertex],0)),1,1,"")</f>
        <v>1</v>
      </c>
      <c r="S358" s="35"/>
      <c r="T358" s="35"/>
      <c r="U358" s="35"/>
      <c r="V358" s="35"/>
      <c r="W358" s="35"/>
      <c r="X358" s="35"/>
      <c r="Y358" s="35"/>
      <c r="Z358" s="35"/>
      <c r="AA358" s="35"/>
    </row>
    <row r="359" spans="1:27" ht="15">
      <c r="A359" s="65" t="s">
        <v>203</v>
      </c>
      <c r="B359" s="65" t="s">
        <v>206</v>
      </c>
      <c r="C359" s="66" t="s">
        <v>1612</v>
      </c>
      <c r="D359" s="67">
        <v>5</v>
      </c>
      <c r="E359" s="68"/>
      <c r="F359" s="69">
        <v>25</v>
      </c>
      <c r="G359" s="66"/>
      <c r="H359" s="70"/>
      <c r="I359" s="71"/>
      <c r="J359" s="71"/>
      <c r="K359" s="35" t="s">
        <v>66</v>
      </c>
      <c r="L359" s="79">
        <v>359</v>
      </c>
      <c r="M359" s="79"/>
      <c r="N359" s="73"/>
      <c r="O359" s="81" t="s">
        <v>377</v>
      </c>
      <c r="P359">
        <v>1</v>
      </c>
      <c r="Q359" s="80" t="str">
        <f>REPLACE(INDEX(GroupVertices[Group],MATCH(Edges[[#This Row],[Vertex 1]],GroupVertices[Vertex],0)),1,1,"")</f>
        <v>1</v>
      </c>
      <c r="R359" s="80" t="str">
        <f>REPLACE(INDEX(GroupVertices[Group],MATCH(Edges[[#This Row],[Vertex 2]],GroupVertices[Vertex],0)),1,1,"")</f>
        <v>1</v>
      </c>
      <c r="S359" s="35"/>
      <c r="T359" s="35"/>
      <c r="U359" s="35"/>
      <c r="V359" s="35"/>
      <c r="W359" s="35"/>
      <c r="X359" s="35"/>
      <c r="Y359" s="35"/>
      <c r="Z359" s="35"/>
      <c r="AA359" s="35"/>
    </row>
    <row r="360" spans="1:27" ht="15">
      <c r="A360" s="65" t="s">
        <v>204</v>
      </c>
      <c r="B360" s="65" t="s">
        <v>206</v>
      </c>
      <c r="C360" s="66" t="s">
        <v>1612</v>
      </c>
      <c r="D360" s="67">
        <v>5</v>
      </c>
      <c r="E360" s="68"/>
      <c r="F360" s="69">
        <v>25</v>
      </c>
      <c r="G360" s="66"/>
      <c r="H360" s="70"/>
      <c r="I360" s="71"/>
      <c r="J360" s="71"/>
      <c r="K360" s="35" t="s">
        <v>66</v>
      </c>
      <c r="L360" s="79">
        <v>360</v>
      </c>
      <c r="M360" s="79"/>
      <c r="N360" s="73"/>
      <c r="O360" s="81" t="s">
        <v>377</v>
      </c>
      <c r="P360">
        <v>1</v>
      </c>
      <c r="Q360" s="80" t="str">
        <f>REPLACE(INDEX(GroupVertices[Group],MATCH(Edges[[#This Row],[Vertex 1]],GroupVertices[Vertex],0)),1,1,"")</f>
        <v>1</v>
      </c>
      <c r="R360" s="80" t="str">
        <f>REPLACE(INDEX(GroupVertices[Group],MATCH(Edges[[#This Row],[Vertex 2]],GroupVertices[Vertex],0)),1,1,"")</f>
        <v>1</v>
      </c>
      <c r="S360" s="35"/>
      <c r="T360" s="35"/>
      <c r="U360" s="35"/>
      <c r="V360" s="35"/>
      <c r="W360" s="35"/>
      <c r="X360" s="35"/>
      <c r="Y360" s="35"/>
      <c r="Z360" s="35"/>
      <c r="AA360" s="35"/>
    </row>
    <row r="361" spans="1:27" ht="15">
      <c r="A361" s="65" t="s">
        <v>215</v>
      </c>
      <c r="B361" s="65" t="s">
        <v>206</v>
      </c>
      <c r="C361" s="66" t="s">
        <v>1612</v>
      </c>
      <c r="D361" s="67">
        <v>5</v>
      </c>
      <c r="E361" s="68"/>
      <c r="F361" s="69">
        <v>25</v>
      </c>
      <c r="G361" s="66"/>
      <c r="H361" s="70"/>
      <c r="I361" s="71"/>
      <c r="J361" s="71"/>
      <c r="K361" s="35" t="s">
        <v>65</v>
      </c>
      <c r="L361" s="79">
        <v>361</v>
      </c>
      <c r="M361" s="79"/>
      <c r="N361" s="73"/>
      <c r="O361" s="81" t="s">
        <v>377</v>
      </c>
      <c r="P361">
        <v>1</v>
      </c>
      <c r="Q361" s="80" t="str">
        <f>REPLACE(INDEX(GroupVertices[Group],MATCH(Edges[[#This Row],[Vertex 1]],GroupVertices[Vertex],0)),1,1,"")</f>
        <v>1</v>
      </c>
      <c r="R361" s="80" t="str">
        <f>REPLACE(INDEX(GroupVertices[Group],MATCH(Edges[[#This Row],[Vertex 2]],GroupVertices[Vertex],0)),1,1,"")</f>
        <v>1</v>
      </c>
      <c r="S361" s="35"/>
      <c r="T361" s="35"/>
      <c r="U361" s="35"/>
      <c r="V361" s="35"/>
      <c r="W361" s="35"/>
      <c r="X361" s="35"/>
      <c r="Y361" s="35"/>
      <c r="Z361" s="35"/>
      <c r="AA361" s="35"/>
    </row>
    <row r="362" spans="1:27" ht="15">
      <c r="A362" s="65" t="s">
        <v>203</v>
      </c>
      <c r="B362" s="65" t="s">
        <v>206</v>
      </c>
      <c r="C362" s="66" t="s">
        <v>1612</v>
      </c>
      <c r="D362" s="67">
        <v>5</v>
      </c>
      <c r="E362" s="68"/>
      <c r="F362" s="69">
        <v>25</v>
      </c>
      <c r="G362" s="66"/>
      <c r="H362" s="70"/>
      <c r="I362" s="71"/>
      <c r="J362" s="71"/>
      <c r="K362" s="35" t="s">
        <v>66</v>
      </c>
      <c r="L362" s="79">
        <v>362</v>
      </c>
      <c r="M362" s="79"/>
      <c r="N362" s="73"/>
      <c r="O362" s="81" t="s">
        <v>379</v>
      </c>
      <c r="P362">
        <v>1</v>
      </c>
      <c r="Q362" s="80" t="str">
        <f>REPLACE(INDEX(GroupVertices[Group],MATCH(Edges[[#This Row],[Vertex 1]],GroupVertices[Vertex],0)),1,1,"")</f>
        <v>1</v>
      </c>
      <c r="R362" s="80" t="str">
        <f>REPLACE(INDEX(GroupVertices[Group],MATCH(Edges[[#This Row],[Vertex 2]],GroupVertices[Vertex],0)),1,1,"")</f>
        <v>1</v>
      </c>
      <c r="S362" s="35"/>
      <c r="T362" s="35"/>
      <c r="U362" s="35"/>
      <c r="V362" s="35"/>
      <c r="W362" s="35"/>
      <c r="X362" s="35"/>
      <c r="Y362" s="35"/>
      <c r="Z362" s="35"/>
      <c r="AA362" s="35"/>
    </row>
    <row r="363" spans="1:27" ht="15">
      <c r="A363" s="65" t="s">
        <v>204</v>
      </c>
      <c r="B363" s="65" t="s">
        <v>206</v>
      </c>
      <c r="C363" s="66" t="s">
        <v>1612</v>
      </c>
      <c r="D363" s="67">
        <v>5</v>
      </c>
      <c r="E363" s="68"/>
      <c r="F363" s="69">
        <v>25</v>
      </c>
      <c r="G363" s="66"/>
      <c r="H363" s="70"/>
      <c r="I363" s="71"/>
      <c r="J363" s="71"/>
      <c r="K363" s="35" t="s">
        <v>66</v>
      </c>
      <c r="L363" s="79">
        <v>363</v>
      </c>
      <c r="M363" s="79"/>
      <c r="N363" s="73"/>
      <c r="O363" s="81" t="s">
        <v>379</v>
      </c>
      <c r="P363">
        <v>1</v>
      </c>
      <c r="Q363" s="80" t="str">
        <f>REPLACE(INDEX(GroupVertices[Group],MATCH(Edges[[#This Row],[Vertex 1]],GroupVertices[Vertex],0)),1,1,"")</f>
        <v>1</v>
      </c>
      <c r="R363" s="80" t="str">
        <f>REPLACE(INDEX(GroupVertices[Group],MATCH(Edges[[#This Row],[Vertex 2]],GroupVertices[Vertex],0)),1,1,"")</f>
        <v>1</v>
      </c>
      <c r="S363" s="35"/>
      <c r="T363" s="35"/>
      <c r="U363" s="35"/>
      <c r="V363" s="35"/>
      <c r="W363" s="35"/>
      <c r="X363" s="35"/>
      <c r="Y363" s="35"/>
      <c r="Z363" s="35"/>
      <c r="AA363" s="35"/>
    </row>
    <row r="364" spans="1:27" ht="15">
      <c r="A364" s="65" t="s">
        <v>207</v>
      </c>
      <c r="B364" s="65" t="s">
        <v>206</v>
      </c>
      <c r="C364" s="66" t="s">
        <v>1612</v>
      </c>
      <c r="D364" s="67">
        <v>5</v>
      </c>
      <c r="E364" s="68"/>
      <c r="F364" s="69">
        <v>25</v>
      </c>
      <c r="G364" s="66"/>
      <c r="H364" s="70"/>
      <c r="I364" s="71"/>
      <c r="J364" s="71"/>
      <c r="K364" s="35" t="s">
        <v>65</v>
      </c>
      <c r="L364" s="79">
        <v>364</v>
      </c>
      <c r="M364" s="79"/>
      <c r="N364" s="73"/>
      <c r="O364" s="81" t="s">
        <v>379</v>
      </c>
      <c r="P364">
        <v>1</v>
      </c>
      <c r="Q364" s="80" t="str">
        <f>REPLACE(INDEX(GroupVertices[Group],MATCH(Edges[[#This Row],[Vertex 1]],GroupVertices[Vertex],0)),1,1,"")</f>
        <v>4</v>
      </c>
      <c r="R364" s="80" t="str">
        <f>REPLACE(INDEX(GroupVertices[Group],MATCH(Edges[[#This Row],[Vertex 2]],GroupVertices[Vertex],0)),1,1,"")</f>
        <v>1</v>
      </c>
      <c r="S364" s="35"/>
      <c r="T364" s="35"/>
      <c r="U364" s="35"/>
      <c r="V364" s="35"/>
      <c r="W364" s="35"/>
      <c r="X364" s="35"/>
      <c r="Y364" s="35"/>
      <c r="Z364" s="35"/>
      <c r="AA364" s="35"/>
    </row>
    <row r="365" spans="1:27" ht="15">
      <c r="A365" s="65" t="s">
        <v>212</v>
      </c>
      <c r="B365" s="65" t="s">
        <v>206</v>
      </c>
      <c r="C365" s="66" t="s">
        <v>1612</v>
      </c>
      <c r="D365" s="67">
        <v>5</v>
      </c>
      <c r="E365" s="68"/>
      <c r="F365" s="69">
        <v>25</v>
      </c>
      <c r="G365" s="66"/>
      <c r="H365" s="70"/>
      <c r="I365" s="71"/>
      <c r="J365" s="71"/>
      <c r="K365" s="35" t="s">
        <v>66</v>
      </c>
      <c r="L365" s="79">
        <v>365</v>
      </c>
      <c r="M365" s="79"/>
      <c r="N365" s="73"/>
      <c r="O365" s="81" t="s">
        <v>379</v>
      </c>
      <c r="P365">
        <v>1</v>
      </c>
      <c r="Q365" s="80" t="str">
        <f>REPLACE(INDEX(GroupVertices[Group],MATCH(Edges[[#This Row],[Vertex 1]],GroupVertices[Vertex],0)),1,1,"")</f>
        <v>1</v>
      </c>
      <c r="R365" s="80" t="str">
        <f>REPLACE(INDEX(GroupVertices[Group],MATCH(Edges[[#This Row],[Vertex 2]],GroupVertices[Vertex],0)),1,1,"")</f>
        <v>1</v>
      </c>
      <c r="S365" s="35"/>
      <c r="T365" s="35"/>
      <c r="U365" s="35"/>
      <c r="V365" s="35"/>
      <c r="W365" s="35"/>
      <c r="X365" s="35"/>
      <c r="Y365" s="35"/>
      <c r="Z365" s="35"/>
      <c r="AA365" s="35"/>
    </row>
    <row r="366" spans="1:27" ht="15">
      <c r="A366" s="65" t="s">
        <v>226</v>
      </c>
      <c r="B366" s="65" t="s">
        <v>206</v>
      </c>
      <c r="C366" s="66" t="s">
        <v>1612</v>
      </c>
      <c r="D366" s="67">
        <v>5</v>
      </c>
      <c r="E366" s="68"/>
      <c r="F366" s="69">
        <v>25</v>
      </c>
      <c r="G366" s="66"/>
      <c r="H366" s="70"/>
      <c r="I366" s="71"/>
      <c r="J366" s="71"/>
      <c r="K366" s="35" t="s">
        <v>66</v>
      </c>
      <c r="L366" s="79">
        <v>366</v>
      </c>
      <c r="M366" s="79"/>
      <c r="N366" s="73"/>
      <c r="O366" s="81" t="s">
        <v>379</v>
      </c>
      <c r="P366">
        <v>1</v>
      </c>
      <c r="Q366" s="80" t="str">
        <f>REPLACE(INDEX(GroupVertices[Group],MATCH(Edges[[#This Row],[Vertex 1]],GroupVertices[Vertex],0)),1,1,"")</f>
        <v>8</v>
      </c>
      <c r="R366" s="80" t="str">
        <f>REPLACE(INDEX(GroupVertices[Group],MATCH(Edges[[#This Row],[Vertex 2]],GroupVertices[Vertex],0)),1,1,"")</f>
        <v>1</v>
      </c>
      <c r="S366" s="35"/>
      <c r="T366" s="35"/>
      <c r="U366" s="35"/>
      <c r="V366" s="35"/>
      <c r="W366" s="35"/>
      <c r="X366" s="35"/>
      <c r="Y366" s="35"/>
      <c r="Z366" s="35"/>
      <c r="AA366" s="35"/>
    </row>
    <row r="367" spans="1:27" ht="15">
      <c r="A367" s="65" t="s">
        <v>214</v>
      </c>
      <c r="B367" s="65" t="s">
        <v>206</v>
      </c>
      <c r="C367" s="66" t="s">
        <v>1612</v>
      </c>
      <c r="D367" s="67">
        <v>5</v>
      </c>
      <c r="E367" s="68"/>
      <c r="F367" s="69">
        <v>25</v>
      </c>
      <c r="G367" s="66"/>
      <c r="H367" s="70"/>
      <c r="I367" s="71"/>
      <c r="J367" s="71"/>
      <c r="K367" s="35" t="s">
        <v>65</v>
      </c>
      <c r="L367" s="79">
        <v>367</v>
      </c>
      <c r="M367" s="79"/>
      <c r="N367" s="73"/>
      <c r="O367" s="81" t="s">
        <v>379</v>
      </c>
      <c r="P367">
        <v>1</v>
      </c>
      <c r="Q367" s="80" t="str">
        <f>REPLACE(INDEX(GroupVertices[Group],MATCH(Edges[[#This Row],[Vertex 1]],GroupVertices[Vertex],0)),1,1,"")</f>
        <v>1</v>
      </c>
      <c r="R367" s="80" t="str">
        <f>REPLACE(INDEX(GroupVertices[Group],MATCH(Edges[[#This Row],[Vertex 2]],GroupVertices[Vertex],0)),1,1,"")</f>
        <v>1</v>
      </c>
      <c r="S367" s="35"/>
      <c r="T367" s="35"/>
      <c r="U367" s="35"/>
      <c r="V367" s="35"/>
      <c r="W367" s="35"/>
      <c r="X367" s="35"/>
      <c r="Y367" s="35"/>
      <c r="Z367" s="35"/>
      <c r="AA367" s="35"/>
    </row>
    <row r="368" spans="1:27" ht="15">
      <c r="A368" s="65" t="s">
        <v>227</v>
      </c>
      <c r="B368" s="65" t="s">
        <v>206</v>
      </c>
      <c r="C368" s="66" t="s">
        <v>1612</v>
      </c>
      <c r="D368" s="67">
        <v>5</v>
      </c>
      <c r="E368" s="68"/>
      <c r="F368" s="69">
        <v>25</v>
      </c>
      <c r="G368" s="66"/>
      <c r="H368" s="70"/>
      <c r="I368" s="71"/>
      <c r="J368" s="71"/>
      <c r="K368" s="35" t="s">
        <v>65</v>
      </c>
      <c r="L368" s="79">
        <v>368</v>
      </c>
      <c r="M368" s="79"/>
      <c r="N368" s="73"/>
      <c r="O368" s="81" t="s">
        <v>379</v>
      </c>
      <c r="P368">
        <v>1</v>
      </c>
      <c r="Q368" s="80" t="str">
        <f>REPLACE(INDEX(GroupVertices[Group],MATCH(Edges[[#This Row],[Vertex 1]],GroupVertices[Vertex],0)),1,1,"")</f>
        <v>1</v>
      </c>
      <c r="R368" s="80" t="str">
        <f>REPLACE(INDEX(GroupVertices[Group],MATCH(Edges[[#This Row],[Vertex 2]],GroupVertices[Vertex],0)),1,1,"")</f>
        <v>1</v>
      </c>
      <c r="S368" s="35"/>
      <c r="T368" s="35"/>
      <c r="U368" s="35"/>
      <c r="V368" s="35"/>
      <c r="W368" s="35"/>
      <c r="X368" s="35"/>
      <c r="Y368" s="35"/>
      <c r="Z368" s="35"/>
      <c r="AA368" s="35"/>
    </row>
    <row r="369" spans="1:27" ht="15">
      <c r="A369" s="65" t="s">
        <v>215</v>
      </c>
      <c r="B369" s="65" t="s">
        <v>206</v>
      </c>
      <c r="C369" s="66" t="s">
        <v>1612</v>
      </c>
      <c r="D369" s="67">
        <v>5</v>
      </c>
      <c r="E369" s="68"/>
      <c r="F369" s="69">
        <v>25</v>
      </c>
      <c r="G369" s="66"/>
      <c r="H369" s="70"/>
      <c r="I369" s="71"/>
      <c r="J369" s="71"/>
      <c r="K369" s="35" t="s">
        <v>65</v>
      </c>
      <c r="L369" s="79">
        <v>369</v>
      </c>
      <c r="M369" s="79"/>
      <c r="N369" s="73"/>
      <c r="O369" s="81" t="s">
        <v>379</v>
      </c>
      <c r="P369">
        <v>1</v>
      </c>
      <c r="Q369" s="80" t="str">
        <f>REPLACE(INDEX(GroupVertices[Group],MATCH(Edges[[#This Row],[Vertex 1]],GroupVertices[Vertex],0)),1,1,"")</f>
        <v>1</v>
      </c>
      <c r="R369" s="80" t="str">
        <f>REPLACE(INDEX(GroupVertices[Group],MATCH(Edges[[#This Row],[Vertex 2]],GroupVertices[Vertex],0)),1,1,"")</f>
        <v>1</v>
      </c>
      <c r="S369" s="35"/>
      <c r="T369" s="35"/>
      <c r="U369" s="35"/>
      <c r="V369" s="35"/>
      <c r="W369" s="35"/>
      <c r="X369" s="35"/>
      <c r="Y369" s="35"/>
      <c r="Z369" s="35"/>
      <c r="AA369" s="35"/>
    </row>
    <row r="370" spans="1:27" ht="15">
      <c r="A370" s="65" t="s">
        <v>228</v>
      </c>
      <c r="B370" s="65" t="s">
        <v>206</v>
      </c>
      <c r="C370" s="66" t="s">
        <v>1612</v>
      </c>
      <c r="D370" s="67">
        <v>5</v>
      </c>
      <c r="E370" s="68"/>
      <c r="F370" s="69">
        <v>25</v>
      </c>
      <c r="G370" s="66"/>
      <c r="H370" s="70"/>
      <c r="I370" s="71"/>
      <c r="J370" s="71"/>
      <c r="K370" s="35" t="s">
        <v>65</v>
      </c>
      <c r="L370" s="79">
        <v>370</v>
      </c>
      <c r="M370" s="79"/>
      <c r="N370" s="73"/>
      <c r="O370" s="81" t="s">
        <v>379</v>
      </c>
      <c r="P370">
        <v>1</v>
      </c>
      <c r="Q370" s="80" t="str">
        <f>REPLACE(INDEX(GroupVertices[Group],MATCH(Edges[[#This Row],[Vertex 1]],GroupVertices[Vertex],0)),1,1,"")</f>
        <v>1</v>
      </c>
      <c r="R370" s="80" t="str">
        <f>REPLACE(INDEX(GroupVertices[Group],MATCH(Edges[[#This Row],[Vertex 2]],GroupVertices[Vertex],0)),1,1,"")</f>
        <v>1</v>
      </c>
      <c r="S370" s="35"/>
      <c r="T370" s="35"/>
      <c r="U370" s="35"/>
      <c r="V370" s="35"/>
      <c r="W370" s="35"/>
      <c r="X370" s="35"/>
      <c r="Y370" s="35"/>
      <c r="Z370" s="35"/>
      <c r="AA370" s="35"/>
    </row>
    <row r="371" spans="1:27" ht="15">
      <c r="A371" s="65" t="s">
        <v>231</v>
      </c>
      <c r="B371" s="65" t="s">
        <v>206</v>
      </c>
      <c r="C371" s="66" t="s">
        <v>1612</v>
      </c>
      <c r="D371" s="67">
        <v>5</v>
      </c>
      <c r="E371" s="68"/>
      <c r="F371" s="69">
        <v>25</v>
      </c>
      <c r="G371" s="66"/>
      <c r="H371" s="70"/>
      <c r="I371" s="71"/>
      <c r="J371" s="71"/>
      <c r="K371" s="35" t="s">
        <v>65</v>
      </c>
      <c r="L371" s="79">
        <v>371</v>
      </c>
      <c r="M371" s="79"/>
      <c r="N371" s="73"/>
      <c r="O371" s="81" t="s">
        <v>379</v>
      </c>
      <c r="P371">
        <v>1</v>
      </c>
      <c r="Q371" s="80" t="str">
        <f>REPLACE(INDEX(GroupVertices[Group],MATCH(Edges[[#This Row],[Vertex 1]],GroupVertices[Vertex],0)),1,1,"")</f>
        <v>1</v>
      </c>
      <c r="R371" s="80" t="str">
        <f>REPLACE(INDEX(GroupVertices[Group],MATCH(Edges[[#This Row],[Vertex 2]],GroupVertices[Vertex],0)),1,1,"")</f>
        <v>1</v>
      </c>
      <c r="S371" s="35"/>
      <c r="T371" s="35"/>
      <c r="U371" s="35"/>
      <c r="V371" s="35"/>
      <c r="W371" s="35"/>
      <c r="X371" s="35"/>
      <c r="Y371" s="35"/>
      <c r="Z371" s="35"/>
      <c r="AA371" s="35"/>
    </row>
    <row r="372" spans="1:27" ht="15">
      <c r="A372" s="65" t="s">
        <v>232</v>
      </c>
      <c r="B372" s="65" t="s">
        <v>206</v>
      </c>
      <c r="C372" s="66" t="s">
        <v>1612</v>
      </c>
      <c r="D372" s="67">
        <v>5</v>
      </c>
      <c r="E372" s="68"/>
      <c r="F372" s="69">
        <v>25</v>
      </c>
      <c r="G372" s="66"/>
      <c r="H372" s="70"/>
      <c r="I372" s="71"/>
      <c r="J372" s="71"/>
      <c r="K372" s="35" t="s">
        <v>66</v>
      </c>
      <c r="L372" s="79">
        <v>372</v>
      </c>
      <c r="M372" s="79"/>
      <c r="N372" s="73"/>
      <c r="O372" s="81" t="s">
        <v>379</v>
      </c>
      <c r="P372">
        <v>1</v>
      </c>
      <c r="Q372" s="80" t="str">
        <f>REPLACE(INDEX(GroupVertices[Group],MATCH(Edges[[#This Row],[Vertex 1]],GroupVertices[Vertex],0)),1,1,"")</f>
        <v>1</v>
      </c>
      <c r="R372" s="80" t="str">
        <f>REPLACE(INDEX(GroupVertices[Group],MATCH(Edges[[#This Row],[Vertex 2]],GroupVertices[Vertex],0)),1,1,"")</f>
        <v>1</v>
      </c>
      <c r="S372" s="35"/>
      <c r="T372" s="35"/>
      <c r="U372" s="35"/>
      <c r="V372" s="35"/>
      <c r="W372" s="35"/>
      <c r="X372" s="35"/>
      <c r="Y372" s="35"/>
      <c r="Z372" s="35"/>
      <c r="AA372" s="35"/>
    </row>
    <row r="373" spans="1:27" ht="15">
      <c r="A373" s="65" t="s">
        <v>221</v>
      </c>
      <c r="B373" s="65" t="s">
        <v>206</v>
      </c>
      <c r="C373" s="66" t="s">
        <v>1612</v>
      </c>
      <c r="D373" s="67">
        <v>5</v>
      </c>
      <c r="E373" s="68"/>
      <c r="F373" s="69">
        <v>25</v>
      </c>
      <c r="G373" s="66"/>
      <c r="H373" s="70"/>
      <c r="I373" s="71"/>
      <c r="J373" s="71"/>
      <c r="K373" s="35" t="s">
        <v>65</v>
      </c>
      <c r="L373" s="79">
        <v>373</v>
      </c>
      <c r="M373" s="79"/>
      <c r="N373" s="73"/>
      <c r="O373" s="81" t="s">
        <v>379</v>
      </c>
      <c r="P373">
        <v>1</v>
      </c>
      <c r="Q373" s="80" t="str">
        <f>REPLACE(INDEX(GroupVertices[Group],MATCH(Edges[[#This Row],[Vertex 1]],GroupVertices[Vertex],0)),1,1,"")</f>
        <v>1</v>
      </c>
      <c r="R373" s="80" t="str">
        <f>REPLACE(INDEX(GroupVertices[Group],MATCH(Edges[[#This Row],[Vertex 2]],GroupVertices[Vertex],0)),1,1,"")</f>
        <v>1</v>
      </c>
      <c r="S373" s="35"/>
      <c r="T373" s="35"/>
      <c r="U373" s="35"/>
      <c r="V373" s="35"/>
      <c r="W373" s="35"/>
      <c r="X373" s="35"/>
      <c r="Y373" s="35"/>
      <c r="Z373" s="35"/>
      <c r="AA373" s="35"/>
    </row>
    <row r="374" spans="1:27" ht="15">
      <c r="A374" s="65" t="s">
        <v>222</v>
      </c>
      <c r="B374" s="65" t="s">
        <v>206</v>
      </c>
      <c r="C374" s="66" t="s">
        <v>1612</v>
      </c>
      <c r="D374" s="67">
        <v>5</v>
      </c>
      <c r="E374" s="68"/>
      <c r="F374" s="69">
        <v>25</v>
      </c>
      <c r="G374" s="66"/>
      <c r="H374" s="70"/>
      <c r="I374" s="71"/>
      <c r="J374" s="71"/>
      <c r="K374" s="35" t="s">
        <v>65</v>
      </c>
      <c r="L374" s="79">
        <v>374</v>
      </c>
      <c r="M374" s="79"/>
      <c r="N374" s="73"/>
      <c r="O374" s="81" t="s">
        <v>379</v>
      </c>
      <c r="P374">
        <v>1</v>
      </c>
      <c r="Q374" s="80" t="str">
        <f>REPLACE(INDEX(GroupVertices[Group],MATCH(Edges[[#This Row],[Vertex 1]],GroupVertices[Vertex],0)),1,1,"")</f>
        <v>1</v>
      </c>
      <c r="R374" s="80" t="str">
        <f>REPLACE(INDEX(GroupVertices[Group],MATCH(Edges[[#This Row],[Vertex 2]],GroupVertices[Vertex],0)),1,1,"")</f>
        <v>1</v>
      </c>
      <c r="S374" s="35"/>
      <c r="T374" s="35"/>
      <c r="U374" s="35"/>
      <c r="V374" s="35"/>
      <c r="W374" s="35"/>
      <c r="X374" s="35"/>
      <c r="Y374" s="35"/>
      <c r="Z374" s="35"/>
      <c r="AA374" s="35"/>
    </row>
    <row r="375" spans="1:27" ht="15">
      <c r="A375" s="65" t="s">
        <v>223</v>
      </c>
      <c r="B375" s="65" t="s">
        <v>206</v>
      </c>
      <c r="C375" s="66" t="s">
        <v>1612</v>
      </c>
      <c r="D375" s="67">
        <v>5</v>
      </c>
      <c r="E375" s="68"/>
      <c r="F375" s="69">
        <v>25</v>
      </c>
      <c r="G375" s="66"/>
      <c r="H375" s="70"/>
      <c r="I375" s="71"/>
      <c r="J375" s="71"/>
      <c r="K375" s="35" t="s">
        <v>65</v>
      </c>
      <c r="L375" s="79">
        <v>375</v>
      </c>
      <c r="M375" s="79"/>
      <c r="N375" s="73"/>
      <c r="O375" s="81" t="s">
        <v>379</v>
      </c>
      <c r="P375">
        <v>1</v>
      </c>
      <c r="Q375" s="80" t="str">
        <f>REPLACE(INDEX(GroupVertices[Group],MATCH(Edges[[#This Row],[Vertex 1]],GroupVertices[Vertex],0)),1,1,"")</f>
        <v>1</v>
      </c>
      <c r="R375" s="80" t="str">
        <f>REPLACE(INDEX(GroupVertices[Group],MATCH(Edges[[#This Row],[Vertex 2]],GroupVertices[Vertex],0)),1,1,"")</f>
        <v>1</v>
      </c>
      <c r="S375" s="35"/>
      <c r="T375" s="35"/>
      <c r="U375" s="35"/>
      <c r="V375" s="35"/>
      <c r="W375" s="35"/>
      <c r="X375" s="35"/>
      <c r="Y375" s="35"/>
      <c r="Z375" s="35"/>
      <c r="AA375" s="35"/>
    </row>
    <row r="376" spans="1:27" ht="15">
      <c r="A376" s="65" t="s">
        <v>229</v>
      </c>
      <c r="B376" s="65" t="s">
        <v>206</v>
      </c>
      <c r="C376" s="66" t="s">
        <v>1612</v>
      </c>
      <c r="D376" s="67">
        <v>5</v>
      </c>
      <c r="E376" s="68"/>
      <c r="F376" s="69">
        <v>25</v>
      </c>
      <c r="G376" s="66"/>
      <c r="H376" s="70"/>
      <c r="I376" s="71"/>
      <c r="J376" s="71"/>
      <c r="K376" s="35" t="s">
        <v>66</v>
      </c>
      <c r="L376" s="79">
        <v>376</v>
      </c>
      <c r="M376" s="79"/>
      <c r="N376" s="73"/>
      <c r="O376" s="81" t="s">
        <v>379</v>
      </c>
      <c r="P376">
        <v>1</v>
      </c>
      <c r="Q376" s="80" t="str">
        <f>REPLACE(INDEX(GroupVertices[Group],MATCH(Edges[[#This Row],[Vertex 1]],GroupVertices[Vertex],0)),1,1,"")</f>
        <v>1</v>
      </c>
      <c r="R376" s="80" t="str">
        <f>REPLACE(INDEX(GroupVertices[Group],MATCH(Edges[[#This Row],[Vertex 2]],GroupVertices[Vertex],0)),1,1,"")</f>
        <v>1</v>
      </c>
      <c r="S376" s="35"/>
      <c r="T376" s="35"/>
      <c r="U376" s="35"/>
      <c r="V376" s="35"/>
      <c r="W376" s="35"/>
      <c r="X376" s="35"/>
      <c r="Y376" s="35"/>
      <c r="Z376" s="35"/>
      <c r="AA376" s="35"/>
    </row>
    <row r="377" spans="1:27" ht="15">
      <c r="A377" s="65" t="s">
        <v>230</v>
      </c>
      <c r="B377" s="65" t="s">
        <v>206</v>
      </c>
      <c r="C377" s="66" t="s">
        <v>1612</v>
      </c>
      <c r="D377" s="67">
        <v>5</v>
      </c>
      <c r="E377" s="68"/>
      <c r="F377" s="69">
        <v>25</v>
      </c>
      <c r="G377" s="66"/>
      <c r="H377" s="70"/>
      <c r="I377" s="71"/>
      <c r="J377" s="71"/>
      <c r="K377" s="35" t="s">
        <v>66</v>
      </c>
      <c r="L377" s="79">
        <v>377</v>
      </c>
      <c r="M377" s="79"/>
      <c r="N377" s="73"/>
      <c r="O377" s="81" t="s">
        <v>379</v>
      </c>
      <c r="P377">
        <v>1</v>
      </c>
      <c r="Q377" s="80" t="str">
        <f>REPLACE(INDEX(GroupVertices[Group],MATCH(Edges[[#This Row],[Vertex 1]],GroupVertices[Vertex],0)),1,1,"")</f>
        <v>2</v>
      </c>
      <c r="R377" s="80" t="str">
        <f>REPLACE(INDEX(GroupVertices[Group],MATCH(Edges[[#This Row],[Vertex 2]],GroupVertices[Vertex],0)),1,1,"")</f>
        <v>1</v>
      </c>
      <c r="S377" s="35"/>
      <c r="T377" s="35"/>
      <c r="U377" s="35"/>
      <c r="V377" s="35"/>
      <c r="W377" s="35"/>
      <c r="X377" s="35"/>
      <c r="Y377" s="35"/>
      <c r="Z377" s="35"/>
      <c r="AA377" s="35"/>
    </row>
    <row r="378" spans="1:27" ht="15">
      <c r="A378" s="65" t="s">
        <v>224</v>
      </c>
      <c r="B378" s="65" t="s">
        <v>206</v>
      </c>
      <c r="C378" s="66" t="s">
        <v>1612</v>
      </c>
      <c r="D378" s="67">
        <v>5</v>
      </c>
      <c r="E378" s="68"/>
      <c r="F378" s="69">
        <v>25</v>
      </c>
      <c r="G378" s="66"/>
      <c r="H378" s="70"/>
      <c r="I378" s="71"/>
      <c r="J378" s="71"/>
      <c r="K378" s="35" t="s">
        <v>65</v>
      </c>
      <c r="L378" s="79">
        <v>378</v>
      </c>
      <c r="M378" s="79"/>
      <c r="N378" s="73"/>
      <c r="O378" s="81" t="s">
        <v>379</v>
      </c>
      <c r="P378">
        <v>1</v>
      </c>
      <c r="Q378" s="80" t="str">
        <f>REPLACE(INDEX(GroupVertices[Group],MATCH(Edges[[#This Row],[Vertex 1]],GroupVertices[Vertex],0)),1,1,"")</f>
        <v>1</v>
      </c>
      <c r="R378" s="80" t="str">
        <f>REPLACE(INDEX(GroupVertices[Group],MATCH(Edges[[#This Row],[Vertex 2]],GroupVertices[Vertex],0)),1,1,"")</f>
        <v>1</v>
      </c>
      <c r="S378" s="35"/>
      <c r="T378" s="35"/>
      <c r="U378" s="35"/>
      <c r="V378" s="35"/>
      <c r="W378" s="35"/>
      <c r="X378" s="35"/>
      <c r="Y378" s="35"/>
      <c r="Z378" s="35"/>
      <c r="AA378" s="35"/>
    </row>
    <row r="379" spans="1:27" ht="15">
      <c r="A379" s="65" t="s">
        <v>225</v>
      </c>
      <c r="B379" s="65" t="s">
        <v>206</v>
      </c>
      <c r="C379" s="66" t="s">
        <v>1612</v>
      </c>
      <c r="D379" s="67">
        <v>5</v>
      </c>
      <c r="E379" s="68"/>
      <c r="F379" s="69">
        <v>25</v>
      </c>
      <c r="G379" s="66"/>
      <c r="H379" s="70"/>
      <c r="I379" s="71"/>
      <c r="J379" s="71"/>
      <c r="K379" s="35" t="s">
        <v>65</v>
      </c>
      <c r="L379" s="79">
        <v>379</v>
      </c>
      <c r="M379" s="79"/>
      <c r="N379" s="73"/>
      <c r="O379" s="81" t="s">
        <v>379</v>
      </c>
      <c r="P379">
        <v>1</v>
      </c>
      <c r="Q379" s="80" t="str">
        <f>REPLACE(INDEX(GroupVertices[Group],MATCH(Edges[[#This Row],[Vertex 1]],GroupVertices[Vertex],0)),1,1,"")</f>
        <v>1</v>
      </c>
      <c r="R379" s="80" t="str">
        <f>REPLACE(INDEX(GroupVertices[Group],MATCH(Edges[[#This Row],[Vertex 2]],GroupVertices[Vertex],0)),1,1,"")</f>
        <v>1</v>
      </c>
      <c r="S379" s="35"/>
      <c r="T379" s="35"/>
      <c r="U379" s="35"/>
      <c r="V379" s="35"/>
      <c r="W379" s="35"/>
      <c r="X379" s="35"/>
      <c r="Y379" s="35"/>
      <c r="Z379" s="35"/>
      <c r="AA379" s="35"/>
    </row>
    <row r="380" spans="1:27" ht="15">
      <c r="A380" s="65" t="s">
        <v>234</v>
      </c>
      <c r="B380" s="65" t="s">
        <v>206</v>
      </c>
      <c r="C380" s="66" t="s">
        <v>1612</v>
      </c>
      <c r="D380" s="67">
        <v>5</v>
      </c>
      <c r="E380" s="68"/>
      <c r="F380" s="69">
        <v>25</v>
      </c>
      <c r="G380" s="66"/>
      <c r="H380" s="70"/>
      <c r="I380" s="71"/>
      <c r="J380" s="71"/>
      <c r="K380" s="35" t="s">
        <v>65</v>
      </c>
      <c r="L380" s="79">
        <v>380</v>
      </c>
      <c r="M380" s="79"/>
      <c r="N380" s="73"/>
      <c r="O380" s="81" t="s">
        <v>378</v>
      </c>
      <c r="P380">
        <v>1</v>
      </c>
      <c r="Q380" s="80" t="str">
        <f>REPLACE(INDEX(GroupVertices[Group],MATCH(Edges[[#This Row],[Vertex 1]],GroupVertices[Vertex],0)),1,1,"")</f>
        <v>1</v>
      </c>
      <c r="R380" s="80" t="str">
        <f>REPLACE(INDEX(GroupVertices[Group],MATCH(Edges[[#This Row],[Vertex 2]],GroupVertices[Vertex],0)),1,1,"")</f>
        <v>1</v>
      </c>
      <c r="S380" s="35"/>
      <c r="T380" s="35"/>
      <c r="U380" s="35"/>
      <c r="V380" s="35"/>
      <c r="W380" s="35"/>
      <c r="X380" s="35"/>
      <c r="Y380" s="35"/>
      <c r="Z380" s="35"/>
      <c r="AA380" s="35"/>
    </row>
    <row r="381" spans="1:27" ht="15">
      <c r="A381" s="65" t="s">
        <v>203</v>
      </c>
      <c r="B381" s="65" t="s">
        <v>234</v>
      </c>
      <c r="C381" s="66" t="s">
        <v>1612</v>
      </c>
      <c r="D381" s="67">
        <v>5</v>
      </c>
      <c r="E381" s="68"/>
      <c r="F381" s="69">
        <v>25</v>
      </c>
      <c r="G381" s="66"/>
      <c r="H381" s="70"/>
      <c r="I381" s="71"/>
      <c r="J381" s="71"/>
      <c r="K381" s="35" t="s">
        <v>66</v>
      </c>
      <c r="L381" s="79">
        <v>381</v>
      </c>
      <c r="M381" s="79"/>
      <c r="N381" s="73"/>
      <c r="O381" s="81" t="s">
        <v>377</v>
      </c>
      <c r="P381">
        <v>1</v>
      </c>
      <c r="Q381" s="80" t="str">
        <f>REPLACE(INDEX(GroupVertices[Group],MATCH(Edges[[#This Row],[Vertex 1]],GroupVertices[Vertex],0)),1,1,"")</f>
        <v>1</v>
      </c>
      <c r="R381" s="80" t="str">
        <f>REPLACE(INDEX(GroupVertices[Group],MATCH(Edges[[#This Row],[Vertex 2]],GroupVertices[Vertex],0)),1,1,"")</f>
        <v>1</v>
      </c>
      <c r="S381" s="35"/>
      <c r="T381" s="35"/>
      <c r="U381" s="35"/>
      <c r="V381" s="35"/>
      <c r="W381" s="35"/>
      <c r="X381" s="35"/>
      <c r="Y381" s="35"/>
      <c r="Z381" s="35"/>
      <c r="AA381" s="35"/>
    </row>
    <row r="382" spans="1:27" ht="15">
      <c r="A382" s="65" t="s">
        <v>203</v>
      </c>
      <c r="B382" s="65" t="s">
        <v>231</v>
      </c>
      <c r="C382" s="66" t="s">
        <v>1612</v>
      </c>
      <c r="D382" s="67">
        <v>5</v>
      </c>
      <c r="E382" s="68"/>
      <c r="F382" s="69">
        <v>25</v>
      </c>
      <c r="G382" s="66"/>
      <c r="H382" s="70"/>
      <c r="I382" s="71"/>
      <c r="J382" s="71"/>
      <c r="K382" s="35" t="s">
        <v>65</v>
      </c>
      <c r="L382" s="79">
        <v>382</v>
      </c>
      <c r="M382" s="79"/>
      <c r="N382" s="73"/>
      <c r="O382" s="81" t="s">
        <v>377</v>
      </c>
      <c r="P382">
        <v>1</v>
      </c>
      <c r="Q382" s="80" t="str">
        <f>REPLACE(INDEX(GroupVertices[Group],MATCH(Edges[[#This Row],[Vertex 1]],GroupVertices[Vertex],0)),1,1,"")</f>
        <v>1</v>
      </c>
      <c r="R382" s="80" t="str">
        <f>REPLACE(INDEX(GroupVertices[Group],MATCH(Edges[[#This Row],[Vertex 2]],GroupVertices[Vertex],0)),1,1,"")</f>
        <v>1</v>
      </c>
      <c r="S382" s="35"/>
      <c r="T382" s="35"/>
      <c r="U382" s="35"/>
      <c r="V382" s="35"/>
      <c r="W382" s="35"/>
      <c r="X382" s="35"/>
      <c r="Y382" s="35"/>
      <c r="Z382" s="35"/>
      <c r="AA382" s="35"/>
    </row>
    <row r="383" spans="1:27" ht="15">
      <c r="A383" s="65" t="s">
        <v>203</v>
      </c>
      <c r="B383" s="65" t="s">
        <v>226</v>
      </c>
      <c r="C383" s="66" t="s">
        <v>1612</v>
      </c>
      <c r="D383" s="67">
        <v>5</v>
      </c>
      <c r="E383" s="68"/>
      <c r="F383" s="69">
        <v>25</v>
      </c>
      <c r="G383" s="66"/>
      <c r="H383" s="70"/>
      <c r="I383" s="71"/>
      <c r="J383" s="71"/>
      <c r="K383" s="35" t="s">
        <v>66</v>
      </c>
      <c r="L383" s="79">
        <v>383</v>
      </c>
      <c r="M383" s="79"/>
      <c r="N383" s="73"/>
      <c r="O383" s="81" t="s">
        <v>377</v>
      </c>
      <c r="P383">
        <v>1</v>
      </c>
      <c r="Q383" s="80" t="str">
        <f>REPLACE(INDEX(GroupVertices[Group],MATCH(Edges[[#This Row],[Vertex 1]],GroupVertices[Vertex],0)),1,1,"")</f>
        <v>1</v>
      </c>
      <c r="R383" s="80" t="str">
        <f>REPLACE(INDEX(GroupVertices[Group],MATCH(Edges[[#This Row],[Vertex 2]],GroupVertices[Vertex],0)),1,1,"")</f>
        <v>8</v>
      </c>
      <c r="S383" s="35"/>
      <c r="T383" s="35"/>
      <c r="U383" s="35"/>
      <c r="V383" s="35"/>
      <c r="W383" s="35"/>
      <c r="X383" s="35"/>
      <c r="Y383" s="35"/>
      <c r="Z383" s="35"/>
      <c r="AA383" s="35"/>
    </row>
    <row r="384" spans="1:27" ht="15">
      <c r="A384" s="65" t="s">
        <v>203</v>
      </c>
      <c r="B384" s="65" t="s">
        <v>204</v>
      </c>
      <c r="C384" s="66" t="s">
        <v>1612</v>
      </c>
      <c r="D384" s="67">
        <v>5</v>
      </c>
      <c r="E384" s="68"/>
      <c r="F384" s="69">
        <v>25</v>
      </c>
      <c r="G384" s="66"/>
      <c r="H384" s="70"/>
      <c r="I384" s="71"/>
      <c r="J384" s="71"/>
      <c r="K384" s="35" t="s">
        <v>66</v>
      </c>
      <c r="L384" s="79">
        <v>384</v>
      </c>
      <c r="M384" s="79"/>
      <c r="N384" s="73"/>
      <c r="O384" s="81" t="s">
        <v>377</v>
      </c>
      <c r="P384">
        <v>1</v>
      </c>
      <c r="Q384" s="80" t="str">
        <f>REPLACE(INDEX(GroupVertices[Group],MATCH(Edges[[#This Row],[Vertex 1]],GroupVertices[Vertex],0)),1,1,"")</f>
        <v>1</v>
      </c>
      <c r="R384" s="80" t="str">
        <f>REPLACE(INDEX(GroupVertices[Group],MATCH(Edges[[#This Row],[Vertex 2]],GroupVertices[Vertex],0)),1,1,"")</f>
        <v>1</v>
      </c>
      <c r="S384" s="35"/>
      <c r="T384" s="35"/>
      <c r="U384" s="35"/>
      <c r="V384" s="35"/>
      <c r="W384" s="35"/>
      <c r="X384" s="35"/>
      <c r="Y384" s="35"/>
      <c r="Z384" s="35"/>
      <c r="AA384" s="35"/>
    </row>
    <row r="385" spans="1:27" ht="15">
      <c r="A385" s="65" t="s">
        <v>204</v>
      </c>
      <c r="B385" s="65" t="s">
        <v>203</v>
      </c>
      <c r="C385" s="66" t="s">
        <v>1612</v>
      </c>
      <c r="D385" s="67">
        <v>5</v>
      </c>
      <c r="E385" s="68"/>
      <c r="F385" s="69">
        <v>25</v>
      </c>
      <c r="G385" s="66"/>
      <c r="H385" s="70"/>
      <c r="I385" s="71"/>
      <c r="J385" s="71"/>
      <c r="K385" s="35" t="s">
        <v>66</v>
      </c>
      <c r="L385" s="79">
        <v>385</v>
      </c>
      <c r="M385" s="79"/>
      <c r="N385" s="73"/>
      <c r="O385" s="81" t="s">
        <v>377</v>
      </c>
      <c r="P385">
        <v>1</v>
      </c>
      <c r="Q385" s="80" t="str">
        <f>REPLACE(INDEX(GroupVertices[Group],MATCH(Edges[[#This Row],[Vertex 1]],GroupVertices[Vertex],0)),1,1,"")</f>
        <v>1</v>
      </c>
      <c r="R385" s="80" t="str">
        <f>REPLACE(INDEX(GroupVertices[Group],MATCH(Edges[[#This Row],[Vertex 2]],GroupVertices[Vertex],0)),1,1,"")</f>
        <v>1</v>
      </c>
      <c r="S385" s="35"/>
      <c r="T385" s="35"/>
      <c r="U385" s="35"/>
      <c r="V385" s="35"/>
      <c r="W385" s="35"/>
      <c r="X385" s="35"/>
      <c r="Y385" s="35"/>
      <c r="Z385" s="35"/>
      <c r="AA385" s="35"/>
    </row>
    <row r="386" spans="1:27" ht="15">
      <c r="A386" s="65" t="s">
        <v>223</v>
      </c>
      <c r="B386" s="65" t="s">
        <v>203</v>
      </c>
      <c r="C386" s="66" t="s">
        <v>1612</v>
      </c>
      <c r="D386" s="67">
        <v>5</v>
      </c>
      <c r="E386" s="68"/>
      <c r="F386" s="69">
        <v>25</v>
      </c>
      <c r="G386" s="66"/>
      <c r="H386" s="70"/>
      <c r="I386" s="71"/>
      <c r="J386" s="71"/>
      <c r="K386" s="35" t="s">
        <v>65</v>
      </c>
      <c r="L386" s="79">
        <v>386</v>
      </c>
      <c r="M386" s="79"/>
      <c r="N386" s="73"/>
      <c r="O386" s="81" t="s">
        <v>377</v>
      </c>
      <c r="P386">
        <v>1</v>
      </c>
      <c r="Q386" s="80" t="str">
        <f>REPLACE(INDEX(GroupVertices[Group],MATCH(Edges[[#This Row],[Vertex 1]],GroupVertices[Vertex],0)),1,1,"")</f>
        <v>1</v>
      </c>
      <c r="R386" s="80" t="str">
        <f>REPLACE(INDEX(GroupVertices[Group],MATCH(Edges[[#This Row],[Vertex 2]],GroupVertices[Vertex],0)),1,1,"")</f>
        <v>1</v>
      </c>
      <c r="S386" s="35"/>
      <c r="T386" s="35"/>
      <c r="U386" s="35"/>
      <c r="V386" s="35"/>
      <c r="W386" s="35"/>
      <c r="X386" s="35"/>
      <c r="Y386" s="35"/>
      <c r="Z386" s="35"/>
      <c r="AA386" s="35"/>
    </row>
    <row r="387" spans="1:27" ht="15">
      <c r="A387" s="65" t="s">
        <v>204</v>
      </c>
      <c r="B387" s="65" t="s">
        <v>203</v>
      </c>
      <c r="C387" s="66" t="s">
        <v>1612</v>
      </c>
      <c r="D387" s="67">
        <v>5</v>
      </c>
      <c r="E387" s="68"/>
      <c r="F387" s="69">
        <v>25</v>
      </c>
      <c r="G387" s="66"/>
      <c r="H387" s="70"/>
      <c r="I387" s="71"/>
      <c r="J387" s="71"/>
      <c r="K387" s="35" t="s">
        <v>66</v>
      </c>
      <c r="L387" s="79">
        <v>387</v>
      </c>
      <c r="M387" s="79"/>
      <c r="N387" s="73"/>
      <c r="O387" s="81" t="s">
        <v>379</v>
      </c>
      <c r="P387">
        <v>1</v>
      </c>
      <c r="Q387" s="80" t="str">
        <f>REPLACE(INDEX(GroupVertices[Group],MATCH(Edges[[#This Row],[Vertex 1]],GroupVertices[Vertex],0)),1,1,"")</f>
        <v>1</v>
      </c>
      <c r="R387" s="80" t="str">
        <f>REPLACE(INDEX(GroupVertices[Group],MATCH(Edges[[#This Row],[Vertex 2]],GroupVertices[Vertex],0)),1,1,"")</f>
        <v>1</v>
      </c>
      <c r="S387" s="35"/>
      <c r="T387" s="35"/>
      <c r="U387" s="35"/>
      <c r="V387" s="35"/>
      <c r="W387" s="35"/>
      <c r="X387" s="35"/>
      <c r="Y387" s="35"/>
      <c r="Z387" s="35"/>
      <c r="AA387" s="35"/>
    </row>
    <row r="388" spans="1:27" ht="15">
      <c r="A388" s="65" t="s">
        <v>212</v>
      </c>
      <c r="B388" s="65" t="s">
        <v>203</v>
      </c>
      <c r="C388" s="66" t="s">
        <v>1612</v>
      </c>
      <c r="D388" s="67">
        <v>5</v>
      </c>
      <c r="E388" s="68"/>
      <c r="F388" s="69">
        <v>25</v>
      </c>
      <c r="G388" s="66"/>
      <c r="H388" s="70"/>
      <c r="I388" s="71"/>
      <c r="J388" s="71"/>
      <c r="K388" s="35" t="s">
        <v>65</v>
      </c>
      <c r="L388" s="79">
        <v>388</v>
      </c>
      <c r="M388" s="79"/>
      <c r="N388" s="73"/>
      <c r="O388" s="81" t="s">
        <v>379</v>
      </c>
      <c r="P388">
        <v>1</v>
      </c>
      <c r="Q388" s="80" t="str">
        <f>REPLACE(INDEX(GroupVertices[Group],MATCH(Edges[[#This Row],[Vertex 1]],GroupVertices[Vertex],0)),1,1,"")</f>
        <v>1</v>
      </c>
      <c r="R388" s="80" t="str">
        <f>REPLACE(INDEX(GroupVertices[Group],MATCH(Edges[[#This Row],[Vertex 2]],GroupVertices[Vertex],0)),1,1,"")</f>
        <v>1</v>
      </c>
      <c r="S388" s="35"/>
      <c r="T388" s="35"/>
      <c r="U388" s="35"/>
      <c r="V388" s="35"/>
      <c r="W388" s="35"/>
      <c r="X388" s="35"/>
      <c r="Y388" s="35"/>
      <c r="Z388" s="35"/>
      <c r="AA388" s="35"/>
    </row>
    <row r="389" spans="1:27" ht="15">
      <c r="A389" s="65" t="s">
        <v>226</v>
      </c>
      <c r="B389" s="65" t="s">
        <v>203</v>
      </c>
      <c r="C389" s="66" t="s">
        <v>1612</v>
      </c>
      <c r="D389" s="67">
        <v>5</v>
      </c>
      <c r="E389" s="68"/>
      <c r="F389" s="69">
        <v>25</v>
      </c>
      <c r="G389" s="66"/>
      <c r="H389" s="70"/>
      <c r="I389" s="71"/>
      <c r="J389" s="71"/>
      <c r="K389" s="35" t="s">
        <v>66</v>
      </c>
      <c r="L389" s="79">
        <v>389</v>
      </c>
      <c r="M389" s="79"/>
      <c r="N389" s="73"/>
      <c r="O389" s="81" t="s">
        <v>379</v>
      </c>
      <c r="P389">
        <v>1</v>
      </c>
      <c r="Q389" s="80" t="str">
        <f>REPLACE(INDEX(GroupVertices[Group],MATCH(Edges[[#This Row],[Vertex 1]],GroupVertices[Vertex],0)),1,1,"")</f>
        <v>8</v>
      </c>
      <c r="R389" s="80" t="str">
        <f>REPLACE(INDEX(GroupVertices[Group],MATCH(Edges[[#This Row],[Vertex 2]],GroupVertices[Vertex],0)),1,1,"")</f>
        <v>1</v>
      </c>
      <c r="S389" s="35"/>
      <c r="T389" s="35"/>
      <c r="U389" s="35"/>
      <c r="V389" s="35"/>
      <c r="W389" s="35"/>
      <c r="X389" s="35"/>
      <c r="Y389" s="35"/>
      <c r="Z389" s="35"/>
      <c r="AA389" s="35"/>
    </row>
    <row r="390" spans="1:27" ht="15">
      <c r="A390" s="65" t="s">
        <v>214</v>
      </c>
      <c r="B390" s="65" t="s">
        <v>203</v>
      </c>
      <c r="C390" s="66" t="s">
        <v>1612</v>
      </c>
      <c r="D390" s="67">
        <v>5</v>
      </c>
      <c r="E390" s="68"/>
      <c r="F390" s="69">
        <v>25</v>
      </c>
      <c r="G390" s="66"/>
      <c r="H390" s="70"/>
      <c r="I390" s="71"/>
      <c r="J390" s="71"/>
      <c r="K390" s="35" t="s">
        <v>65</v>
      </c>
      <c r="L390" s="79">
        <v>390</v>
      </c>
      <c r="M390" s="79"/>
      <c r="N390" s="73"/>
      <c r="O390" s="81" t="s">
        <v>379</v>
      </c>
      <c r="P390">
        <v>1</v>
      </c>
      <c r="Q390" s="80" t="str">
        <f>REPLACE(INDEX(GroupVertices[Group],MATCH(Edges[[#This Row],[Vertex 1]],GroupVertices[Vertex],0)),1,1,"")</f>
        <v>1</v>
      </c>
      <c r="R390" s="80" t="str">
        <f>REPLACE(INDEX(GroupVertices[Group],MATCH(Edges[[#This Row],[Vertex 2]],GroupVertices[Vertex],0)),1,1,"")</f>
        <v>1</v>
      </c>
      <c r="S390" s="35"/>
      <c r="T390" s="35"/>
      <c r="U390" s="35"/>
      <c r="V390" s="35"/>
      <c r="W390" s="35"/>
      <c r="X390" s="35"/>
      <c r="Y390" s="35"/>
      <c r="Z390" s="35"/>
      <c r="AA390" s="35"/>
    </row>
    <row r="391" spans="1:27" ht="15">
      <c r="A391" s="65" t="s">
        <v>227</v>
      </c>
      <c r="B391" s="65" t="s">
        <v>203</v>
      </c>
      <c r="C391" s="66" t="s">
        <v>1612</v>
      </c>
      <c r="D391" s="67">
        <v>5</v>
      </c>
      <c r="E391" s="68"/>
      <c r="F391" s="69">
        <v>25</v>
      </c>
      <c r="G391" s="66"/>
      <c r="H391" s="70"/>
      <c r="I391" s="71"/>
      <c r="J391" s="71"/>
      <c r="K391" s="35" t="s">
        <v>65</v>
      </c>
      <c r="L391" s="79">
        <v>391</v>
      </c>
      <c r="M391" s="79"/>
      <c r="N391" s="73"/>
      <c r="O391" s="81" t="s">
        <v>379</v>
      </c>
      <c r="P391">
        <v>1</v>
      </c>
      <c r="Q391" s="80" t="str">
        <f>REPLACE(INDEX(GroupVertices[Group],MATCH(Edges[[#This Row],[Vertex 1]],GroupVertices[Vertex],0)),1,1,"")</f>
        <v>1</v>
      </c>
      <c r="R391" s="80" t="str">
        <f>REPLACE(INDEX(GroupVertices[Group],MATCH(Edges[[#This Row],[Vertex 2]],GroupVertices[Vertex],0)),1,1,"")</f>
        <v>1</v>
      </c>
      <c r="S391" s="35"/>
      <c r="T391" s="35"/>
      <c r="U391" s="35"/>
      <c r="V391" s="35"/>
      <c r="W391" s="35"/>
      <c r="X391" s="35"/>
      <c r="Y391" s="35"/>
      <c r="Z391" s="35"/>
      <c r="AA391" s="35"/>
    </row>
    <row r="392" spans="1:27" ht="15">
      <c r="A392" s="65" t="s">
        <v>215</v>
      </c>
      <c r="B392" s="65" t="s">
        <v>203</v>
      </c>
      <c r="C392" s="66" t="s">
        <v>1612</v>
      </c>
      <c r="D392" s="67">
        <v>5</v>
      </c>
      <c r="E392" s="68"/>
      <c r="F392" s="69">
        <v>25</v>
      </c>
      <c r="G392" s="66"/>
      <c r="H392" s="70"/>
      <c r="I392" s="71"/>
      <c r="J392" s="71"/>
      <c r="K392" s="35" t="s">
        <v>65</v>
      </c>
      <c r="L392" s="79">
        <v>392</v>
      </c>
      <c r="M392" s="79"/>
      <c r="N392" s="73"/>
      <c r="O392" s="81" t="s">
        <v>379</v>
      </c>
      <c r="P392">
        <v>1</v>
      </c>
      <c r="Q392" s="80" t="str">
        <f>REPLACE(INDEX(GroupVertices[Group],MATCH(Edges[[#This Row],[Vertex 1]],GroupVertices[Vertex],0)),1,1,"")</f>
        <v>1</v>
      </c>
      <c r="R392" s="80" t="str">
        <f>REPLACE(INDEX(GroupVertices[Group],MATCH(Edges[[#This Row],[Vertex 2]],GroupVertices[Vertex],0)),1,1,"")</f>
        <v>1</v>
      </c>
      <c r="S392" s="35"/>
      <c r="T392" s="35"/>
      <c r="U392" s="35"/>
      <c r="V392" s="35"/>
      <c r="W392" s="35"/>
      <c r="X392" s="35"/>
      <c r="Y392" s="35"/>
      <c r="Z392" s="35"/>
      <c r="AA392" s="35"/>
    </row>
    <row r="393" spans="1:27" ht="15">
      <c r="A393" s="65" t="s">
        <v>228</v>
      </c>
      <c r="B393" s="65" t="s">
        <v>203</v>
      </c>
      <c r="C393" s="66" t="s">
        <v>1612</v>
      </c>
      <c r="D393" s="67">
        <v>5</v>
      </c>
      <c r="E393" s="68"/>
      <c r="F393" s="69">
        <v>25</v>
      </c>
      <c r="G393" s="66"/>
      <c r="H393" s="70"/>
      <c r="I393" s="71"/>
      <c r="J393" s="71"/>
      <c r="K393" s="35" t="s">
        <v>65</v>
      </c>
      <c r="L393" s="79">
        <v>393</v>
      </c>
      <c r="M393" s="79"/>
      <c r="N393" s="73"/>
      <c r="O393" s="81" t="s">
        <v>379</v>
      </c>
      <c r="P393">
        <v>1</v>
      </c>
      <c r="Q393" s="80" t="str">
        <f>REPLACE(INDEX(GroupVertices[Group],MATCH(Edges[[#This Row],[Vertex 1]],GroupVertices[Vertex],0)),1,1,"")</f>
        <v>1</v>
      </c>
      <c r="R393" s="80" t="str">
        <f>REPLACE(INDEX(GroupVertices[Group],MATCH(Edges[[#This Row],[Vertex 2]],GroupVertices[Vertex],0)),1,1,"")</f>
        <v>1</v>
      </c>
      <c r="S393" s="35"/>
      <c r="T393" s="35"/>
      <c r="U393" s="35"/>
      <c r="V393" s="35"/>
      <c r="W393" s="35"/>
      <c r="X393" s="35"/>
      <c r="Y393" s="35"/>
      <c r="Z393" s="35"/>
      <c r="AA393" s="35"/>
    </row>
    <row r="394" spans="1:27" ht="15">
      <c r="A394" s="65" t="s">
        <v>232</v>
      </c>
      <c r="B394" s="65" t="s">
        <v>203</v>
      </c>
      <c r="C394" s="66" t="s">
        <v>1612</v>
      </c>
      <c r="D394" s="67">
        <v>5</v>
      </c>
      <c r="E394" s="68"/>
      <c r="F394" s="69">
        <v>25</v>
      </c>
      <c r="G394" s="66"/>
      <c r="H394" s="70"/>
      <c r="I394" s="71"/>
      <c r="J394" s="71"/>
      <c r="K394" s="35" t="s">
        <v>65</v>
      </c>
      <c r="L394" s="79">
        <v>394</v>
      </c>
      <c r="M394" s="79"/>
      <c r="N394" s="73"/>
      <c r="O394" s="81" t="s">
        <v>379</v>
      </c>
      <c r="P394">
        <v>1</v>
      </c>
      <c r="Q394" s="80" t="str">
        <f>REPLACE(INDEX(GroupVertices[Group],MATCH(Edges[[#This Row],[Vertex 1]],GroupVertices[Vertex],0)),1,1,"")</f>
        <v>1</v>
      </c>
      <c r="R394" s="80" t="str">
        <f>REPLACE(INDEX(GroupVertices[Group],MATCH(Edges[[#This Row],[Vertex 2]],GroupVertices[Vertex],0)),1,1,"")</f>
        <v>1</v>
      </c>
      <c r="S394" s="35"/>
      <c r="T394" s="35"/>
      <c r="U394" s="35"/>
      <c r="V394" s="35"/>
      <c r="W394" s="35"/>
      <c r="X394" s="35"/>
      <c r="Y394" s="35"/>
      <c r="Z394" s="35"/>
      <c r="AA394" s="35"/>
    </row>
    <row r="395" spans="1:27" ht="15">
      <c r="A395" s="65" t="s">
        <v>219</v>
      </c>
      <c r="B395" s="65" t="s">
        <v>203</v>
      </c>
      <c r="C395" s="66" t="s">
        <v>1612</v>
      </c>
      <c r="D395" s="67">
        <v>5</v>
      </c>
      <c r="E395" s="68"/>
      <c r="F395" s="69">
        <v>25</v>
      </c>
      <c r="G395" s="66"/>
      <c r="H395" s="70"/>
      <c r="I395" s="71"/>
      <c r="J395" s="71"/>
      <c r="K395" s="35" t="s">
        <v>65</v>
      </c>
      <c r="L395" s="79">
        <v>395</v>
      </c>
      <c r="M395" s="79"/>
      <c r="N395" s="73"/>
      <c r="O395" s="81" t="s">
        <v>379</v>
      </c>
      <c r="P395">
        <v>1</v>
      </c>
      <c r="Q395" s="80" t="str">
        <f>REPLACE(INDEX(GroupVertices[Group],MATCH(Edges[[#This Row],[Vertex 1]],GroupVertices[Vertex],0)),1,1,"")</f>
        <v>1</v>
      </c>
      <c r="R395" s="80" t="str">
        <f>REPLACE(INDEX(GroupVertices[Group],MATCH(Edges[[#This Row],[Vertex 2]],GroupVertices[Vertex],0)),1,1,"")</f>
        <v>1</v>
      </c>
      <c r="S395" s="35"/>
      <c r="T395" s="35"/>
      <c r="U395" s="35"/>
      <c r="V395" s="35"/>
      <c r="W395" s="35"/>
      <c r="X395" s="35"/>
      <c r="Y395" s="35"/>
      <c r="Z395" s="35"/>
      <c r="AA395" s="35"/>
    </row>
    <row r="396" spans="1:27" ht="15">
      <c r="A396" s="65" t="s">
        <v>221</v>
      </c>
      <c r="B396" s="65" t="s">
        <v>203</v>
      </c>
      <c r="C396" s="66" t="s">
        <v>1612</v>
      </c>
      <c r="D396" s="67">
        <v>5</v>
      </c>
      <c r="E396" s="68"/>
      <c r="F396" s="69">
        <v>25</v>
      </c>
      <c r="G396" s="66"/>
      <c r="H396" s="70"/>
      <c r="I396" s="71"/>
      <c r="J396" s="71"/>
      <c r="K396" s="35" t="s">
        <v>65</v>
      </c>
      <c r="L396" s="79">
        <v>396</v>
      </c>
      <c r="M396" s="79"/>
      <c r="N396" s="73"/>
      <c r="O396" s="81" t="s">
        <v>379</v>
      </c>
      <c r="P396">
        <v>1</v>
      </c>
      <c r="Q396" s="80" t="str">
        <f>REPLACE(INDEX(GroupVertices[Group],MATCH(Edges[[#This Row],[Vertex 1]],GroupVertices[Vertex],0)),1,1,"")</f>
        <v>1</v>
      </c>
      <c r="R396" s="80" t="str">
        <f>REPLACE(INDEX(GroupVertices[Group],MATCH(Edges[[#This Row],[Vertex 2]],GroupVertices[Vertex],0)),1,1,"")</f>
        <v>1</v>
      </c>
      <c r="S396" s="35"/>
      <c r="T396" s="35"/>
      <c r="U396" s="35"/>
      <c r="V396" s="35"/>
      <c r="W396" s="35"/>
      <c r="X396" s="35"/>
      <c r="Y396" s="35"/>
      <c r="Z396" s="35"/>
      <c r="AA396" s="35"/>
    </row>
    <row r="397" spans="1:27" ht="15">
      <c r="A397" s="65" t="s">
        <v>222</v>
      </c>
      <c r="B397" s="65" t="s">
        <v>203</v>
      </c>
      <c r="C397" s="66" t="s">
        <v>1612</v>
      </c>
      <c r="D397" s="67">
        <v>5</v>
      </c>
      <c r="E397" s="68"/>
      <c r="F397" s="69">
        <v>25</v>
      </c>
      <c r="G397" s="66"/>
      <c r="H397" s="70"/>
      <c r="I397" s="71"/>
      <c r="J397" s="71"/>
      <c r="K397" s="35" t="s">
        <v>65</v>
      </c>
      <c r="L397" s="79">
        <v>397</v>
      </c>
      <c r="M397" s="79"/>
      <c r="N397" s="73"/>
      <c r="O397" s="81" t="s">
        <v>379</v>
      </c>
      <c r="P397">
        <v>1</v>
      </c>
      <c r="Q397" s="80" t="str">
        <f>REPLACE(INDEX(GroupVertices[Group],MATCH(Edges[[#This Row],[Vertex 1]],GroupVertices[Vertex],0)),1,1,"")</f>
        <v>1</v>
      </c>
      <c r="R397" s="80" t="str">
        <f>REPLACE(INDEX(GroupVertices[Group],MATCH(Edges[[#This Row],[Vertex 2]],GroupVertices[Vertex],0)),1,1,"")</f>
        <v>1</v>
      </c>
      <c r="S397" s="35"/>
      <c r="T397" s="35"/>
      <c r="U397" s="35"/>
      <c r="V397" s="35"/>
      <c r="W397" s="35"/>
      <c r="X397" s="35"/>
      <c r="Y397" s="35"/>
      <c r="Z397" s="35"/>
      <c r="AA397" s="35"/>
    </row>
    <row r="398" spans="1:27" ht="15">
      <c r="A398" s="65" t="s">
        <v>223</v>
      </c>
      <c r="B398" s="65" t="s">
        <v>203</v>
      </c>
      <c r="C398" s="66" t="s">
        <v>1612</v>
      </c>
      <c r="D398" s="67">
        <v>5</v>
      </c>
      <c r="E398" s="68"/>
      <c r="F398" s="69">
        <v>25</v>
      </c>
      <c r="G398" s="66"/>
      <c r="H398" s="70"/>
      <c r="I398" s="71"/>
      <c r="J398" s="71"/>
      <c r="K398" s="35" t="s">
        <v>65</v>
      </c>
      <c r="L398" s="79">
        <v>398</v>
      </c>
      <c r="M398" s="79"/>
      <c r="N398" s="73"/>
      <c r="O398" s="81" t="s">
        <v>379</v>
      </c>
      <c r="P398">
        <v>1</v>
      </c>
      <c r="Q398" s="80" t="str">
        <f>REPLACE(INDEX(GroupVertices[Group],MATCH(Edges[[#This Row],[Vertex 1]],GroupVertices[Vertex],0)),1,1,"")</f>
        <v>1</v>
      </c>
      <c r="R398" s="80" t="str">
        <f>REPLACE(INDEX(GroupVertices[Group],MATCH(Edges[[#This Row],[Vertex 2]],GroupVertices[Vertex],0)),1,1,"")</f>
        <v>1</v>
      </c>
      <c r="S398" s="35"/>
      <c r="T398" s="35"/>
      <c r="U398" s="35"/>
      <c r="V398" s="35"/>
      <c r="W398" s="35"/>
      <c r="X398" s="35"/>
      <c r="Y398" s="35"/>
      <c r="Z398" s="35"/>
      <c r="AA398" s="35"/>
    </row>
    <row r="399" spans="1:27" ht="15">
      <c r="A399" s="65" t="s">
        <v>229</v>
      </c>
      <c r="B399" s="65" t="s">
        <v>203</v>
      </c>
      <c r="C399" s="66" t="s">
        <v>1612</v>
      </c>
      <c r="D399" s="67">
        <v>5</v>
      </c>
      <c r="E399" s="68"/>
      <c r="F399" s="69">
        <v>25</v>
      </c>
      <c r="G399" s="66"/>
      <c r="H399" s="70"/>
      <c r="I399" s="71"/>
      <c r="J399" s="71"/>
      <c r="K399" s="35" t="s">
        <v>65</v>
      </c>
      <c r="L399" s="79">
        <v>399</v>
      </c>
      <c r="M399" s="79"/>
      <c r="N399" s="73"/>
      <c r="O399" s="81" t="s">
        <v>379</v>
      </c>
      <c r="P399">
        <v>1</v>
      </c>
      <c r="Q399" s="80" t="str">
        <f>REPLACE(INDEX(GroupVertices[Group],MATCH(Edges[[#This Row],[Vertex 1]],GroupVertices[Vertex],0)),1,1,"")</f>
        <v>1</v>
      </c>
      <c r="R399" s="80" t="str">
        <f>REPLACE(INDEX(GroupVertices[Group],MATCH(Edges[[#This Row],[Vertex 2]],GroupVertices[Vertex],0)),1,1,"")</f>
        <v>1</v>
      </c>
      <c r="S399" s="35"/>
      <c r="T399" s="35"/>
      <c r="U399" s="35"/>
      <c r="V399" s="35"/>
      <c r="W399" s="35"/>
      <c r="X399" s="35"/>
      <c r="Y399" s="35"/>
      <c r="Z399" s="35"/>
      <c r="AA399" s="35"/>
    </row>
    <row r="400" spans="1:27" ht="15">
      <c r="A400" s="65" t="s">
        <v>230</v>
      </c>
      <c r="B400" s="65" t="s">
        <v>203</v>
      </c>
      <c r="C400" s="66" t="s">
        <v>1612</v>
      </c>
      <c r="D400" s="67">
        <v>5</v>
      </c>
      <c r="E400" s="68"/>
      <c r="F400" s="69">
        <v>25</v>
      </c>
      <c r="G400" s="66"/>
      <c r="H400" s="70"/>
      <c r="I400" s="71"/>
      <c r="J400" s="71"/>
      <c r="K400" s="35" t="s">
        <v>65</v>
      </c>
      <c r="L400" s="79">
        <v>400</v>
      </c>
      <c r="M400" s="79"/>
      <c r="N400" s="73"/>
      <c r="O400" s="81" t="s">
        <v>379</v>
      </c>
      <c r="P400">
        <v>1</v>
      </c>
      <c r="Q400" s="80" t="str">
        <f>REPLACE(INDEX(GroupVertices[Group],MATCH(Edges[[#This Row],[Vertex 1]],GroupVertices[Vertex],0)),1,1,"")</f>
        <v>2</v>
      </c>
      <c r="R400" s="80" t="str">
        <f>REPLACE(INDEX(GroupVertices[Group],MATCH(Edges[[#This Row],[Vertex 2]],GroupVertices[Vertex],0)),1,1,"")</f>
        <v>1</v>
      </c>
      <c r="S400" s="35"/>
      <c r="T400" s="35"/>
      <c r="U400" s="35"/>
      <c r="V400" s="35"/>
      <c r="W400" s="35"/>
      <c r="X400" s="35"/>
      <c r="Y400" s="35"/>
      <c r="Z400" s="35"/>
      <c r="AA400" s="35"/>
    </row>
    <row r="401" spans="1:27" ht="15">
      <c r="A401" s="65" t="s">
        <v>224</v>
      </c>
      <c r="B401" s="65" t="s">
        <v>203</v>
      </c>
      <c r="C401" s="66" t="s">
        <v>1612</v>
      </c>
      <c r="D401" s="67">
        <v>5</v>
      </c>
      <c r="E401" s="68"/>
      <c r="F401" s="69">
        <v>25</v>
      </c>
      <c r="G401" s="66"/>
      <c r="H401" s="70"/>
      <c r="I401" s="71"/>
      <c r="J401" s="71"/>
      <c r="K401" s="35" t="s">
        <v>65</v>
      </c>
      <c r="L401" s="79">
        <v>401</v>
      </c>
      <c r="M401" s="79"/>
      <c r="N401" s="73"/>
      <c r="O401" s="81" t="s">
        <v>379</v>
      </c>
      <c r="P401">
        <v>1</v>
      </c>
      <c r="Q401" s="80" t="str">
        <f>REPLACE(INDEX(GroupVertices[Group],MATCH(Edges[[#This Row],[Vertex 1]],GroupVertices[Vertex],0)),1,1,"")</f>
        <v>1</v>
      </c>
      <c r="R401" s="80" t="str">
        <f>REPLACE(INDEX(GroupVertices[Group],MATCH(Edges[[#This Row],[Vertex 2]],GroupVertices[Vertex],0)),1,1,"")</f>
        <v>1</v>
      </c>
      <c r="S401" s="35"/>
      <c r="T401" s="35"/>
      <c r="U401" s="35"/>
      <c r="V401" s="35"/>
      <c r="W401" s="35"/>
      <c r="X401" s="35"/>
      <c r="Y401" s="35"/>
      <c r="Z401" s="35"/>
      <c r="AA401" s="35"/>
    </row>
    <row r="402" spans="1:27" ht="15">
      <c r="A402" s="65" t="s">
        <v>225</v>
      </c>
      <c r="B402" s="65" t="s">
        <v>203</v>
      </c>
      <c r="C402" s="66" t="s">
        <v>1612</v>
      </c>
      <c r="D402" s="67">
        <v>5</v>
      </c>
      <c r="E402" s="68"/>
      <c r="F402" s="69">
        <v>25</v>
      </c>
      <c r="G402" s="66"/>
      <c r="H402" s="70"/>
      <c r="I402" s="71"/>
      <c r="J402" s="71"/>
      <c r="K402" s="35" t="s">
        <v>65</v>
      </c>
      <c r="L402" s="79">
        <v>402</v>
      </c>
      <c r="M402" s="79"/>
      <c r="N402" s="73"/>
      <c r="O402" s="81" t="s">
        <v>379</v>
      </c>
      <c r="P402">
        <v>1</v>
      </c>
      <c r="Q402" s="80" t="str">
        <f>REPLACE(INDEX(GroupVertices[Group],MATCH(Edges[[#This Row],[Vertex 1]],GroupVertices[Vertex],0)),1,1,"")</f>
        <v>1</v>
      </c>
      <c r="R402" s="80" t="str">
        <f>REPLACE(INDEX(GroupVertices[Group],MATCH(Edges[[#This Row],[Vertex 2]],GroupVertices[Vertex],0)),1,1,"")</f>
        <v>1</v>
      </c>
      <c r="S402" s="35"/>
      <c r="T402" s="35"/>
      <c r="U402" s="35"/>
      <c r="V402" s="35"/>
      <c r="W402" s="35"/>
      <c r="X402" s="35"/>
      <c r="Y402" s="35"/>
      <c r="Z402" s="35"/>
      <c r="AA402" s="35"/>
    </row>
    <row r="403" spans="1:27" ht="15">
      <c r="A403" s="65" t="s">
        <v>234</v>
      </c>
      <c r="B403" s="65" t="s">
        <v>203</v>
      </c>
      <c r="C403" s="66" t="s">
        <v>1612</v>
      </c>
      <c r="D403" s="67">
        <v>5</v>
      </c>
      <c r="E403" s="68"/>
      <c r="F403" s="69">
        <v>25</v>
      </c>
      <c r="G403" s="66"/>
      <c r="H403" s="70"/>
      <c r="I403" s="71"/>
      <c r="J403" s="71"/>
      <c r="K403" s="35" t="s">
        <v>66</v>
      </c>
      <c r="L403" s="79">
        <v>403</v>
      </c>
      <c r="M403" s="79"/>
      <c r="N403" s="73"/>
      <c r="O403" s="81" t="s">
        <v>378</v>
      </c>
      <c r="P403">
        <v>1</v>
      </c>
      <c r="Q403" s="80" t="str">
        <f>REPLACE(INDEX(GroupVertices[Group],MATCH(Edges[[#This Row],[Vertex 1]],GroupVertices[Vertex],0)),1,1,"")</f>
        <v>1</v>
      </c>
      <c r="R403" s="80" t="str">
        <f>REPLACE(INDEX(GroupVertices[Group],MATCH(Edges[[#This Row],[Vertex 2]],GroupVertices[Vertex],0)),1,1,"")</f>
        <v>1</v>
      </c>
      <c r="S403" s="35"/>
      <c r="T403" s="35"/>
      <c r="U403" s="35"/>
      <c r="V403" s="35"/>
      <c r="W403" s="35"/>
      <c r="X403" s="35"/>
      <c r="Y403" s="35"/>
      <c r="Z403" s="35"/>
      <c r="AA403" s="35"/>
    </row>
    <row r="404" spans="1:27" ht="15">
      <c r="A404" s="65" t="s">
        <v>204</v>
      </c>
      <c r="B404" s="65" t="s">
        <v>231</v>
      </c>
      <c r="C404" s="66" t="s">
        <v>1612</v>
      </c>
      <c r="D404" s="67">
        <v>5</v>
      </c>
      <c r="E404" s="68"/>
      <c r="F404" s="69">
        <v>25</v>
      </c>
      <c r="G404" s="66"/>
      <c r="H404" s="70"/>
      <c r="I404" s="71"/>
      <c r="J404" s="71"/>
      <c r="K404" s="35" t="s">
        <v>66</v>
      </c>
      <c r="L404" s="79">
        <v>404</v>
      </c>
      <c r="M404" s="79"/>
      <c r="N404" s="73"/>
      <c r="O404" s="81" t="s">
        <v>377</v>
      </c>
      <c r="P404">
        <v>1</v>
      </c>
      <c r="Q404" s="80" t="str">
        <f>REPLACE(INDEX(GroupVertices[Group],MATCH(Edges[[#This Row],[Vertex 1]],GroupVertices[Vertex],0)),1,1,"")</f>
        <v>1</v>
      </c>
      <c r="R404" s="80" t="str">
        <f>REPLACE(INDEX(GroupVertices[Group],MATCH(Edges[[#This Row],[Vertex 2]],GroupVertices[Vertex],0)),1,1,"")</f>
        <v>1</v>
      </c>
      <c r="S404" s="35"/>
      <c r="T404" s="35"/>
      <c r="U404" s="35"/>
      <c r="V404" s="35"/>
      <c r="W404" s="35"/>
      <c r="X404" s="35"/>
      <c r="Y404" s="35"/>
      <c r="Z404" s="35"/>
      <c r="AA404" s="35"/>
    </row>
    <row r="405" spans="1:27" ht="15">
      <c r="A405" s="65" t="s">
        <v>204</v>
      </c>
      <c r="B405" s="65" t="s">
        <v>223</v>
      </c>
      <c r="C405" s="66" t="s">
        <v>1612</v>
      </c>
      <c r="D405" s="67">
        <v>5</v>
      </c>
      <c r="E405" s="68"/>
      <c r="F405" s="69">
        <v>25</v>
      </c>
      <c r="G405" s="66"/>
      <c r="H405" s="70"/>
      <c r="I405" s="71"/>
      <c r="J405" s="71"/>
      <c r="K405" s="35" t="s">
        <v>66</v>
      </c>
      <c r="L405" s="79">
        <v>405</v>
      </c>
      <c r="M405" s="79"/>
      <c r="N405" s="73"/>
      <c r="O405" s="81" t="s">
        <v>377</v>
      </c>
      <c r="P405">
        <v>1</v>
      </c>
      <c r="Q405" s="80" t="str">
        <f>REPLACE(INDEX(GroupVertices[Group],MATCH(Edges[[#This Row],[Vertex 1]],GroupVertices[Vertex],0)),1,1,"")</f>
        <v>1</v>
      </c>
      <c r="R405" s="80" t="str">
        <f>REPLACE(INDEX(GroupVertices[Group],MATCH(Edges[[#This Row],[Vertex 2]],GroupVertices[Vertex],0)),1,1,"")</f>
        <v>1</v>
      </c>
      <c r="S405" s="35"/>
      <c r="T405" s="35"/>
      <c r="U405" s="35"/>
      <c r="V405" s="35"/>
      <c r="W405" s="35"/>
      <c r="X405" s="35"/>
      <c r="Y405" s="35"/>
      <c r="Z405" s="35"/>
      <c r="AA405" s="35"/>
    </row>
    <row r="406" spans="1:27" ht="15">
      <c r="A406" s="65" t="s">
        <v>204</v>
      </c>
      <c r="B406" s="65" t="s">
        <v>230</v>
      </c>
      <c r="C406" s="66" t="s">
        <v>1612</v>
      </c>
      <c r="D406" s="67">
        <v>5</v>
      </c>
      <c r="E406" s="68"/>
      <c r="F406" s="69">
        <v>25</v>
      </c>
      <c r="G406" s="66"/>
      <c r="H406" s="70"/>
      <c r="I406" s="71"/>
      <c r="J406" s="71"/>
      <c r="K406" s="35" t="s">
        <v>66</v>
      </c>
      <c r="L406" s="79">
        <v>406</v>
      </c>
      <c r="M406" s="79"/>
      <c r="N406" s="73"/>
      <c r="O406" s="81" t="s">
        <v>377</v>
      </c>
      <c r="P406">
        <v>1</v>
      </c>
      <c r="Q406" s="80" t="str">
        <f>REPLACE(INDEX(GroupVertices[Group],MATCH(Edges[[#This Row],[Vertex 1]],GroupVertices[Vertex],0)),1,1,"")</f>
        <v>1</v>
      </c>
      <c r="R406" s="80" t="str">
        <f>REPLACE(INDEX(GroupVertices[Group],MATCH(Edges[[#This Row],[Vertex 2]],GroupVertices[Vertex],0)),1,1,"")</f>
        <v>2</v>
      </c>
      <c r="S406" s="35"/>
      <c r="T406" s="35"/>
      <c r="U406" s="35"/>
      <c r="V406" s="35"/>
      <c r="W406" s="35"/>
      <c r="X406" s="35"/>
      <c r="Y406" s="35"/>
      <c r="Z406" s="35"/>
      <c r="AA406" s="35"/>
    </row>
    <row r="407" spans="1:27" ht="15">
      <c r="A407" s="65" t="s">
        <v>207</v>
      </c>
      <c r="B407" s="65" t="s">
        <v>204</v>
      </c>
      <c r="C407" s="66" t="s">
        <v>1612</v>
      </c>
      <c r="D407" s="67">
        <v>5</v>
      </c>
      <c r="E407" s="68"/>
      <c r="F407" s="69">
        <v>25</v>
      </c>
      <c r="G407" s="66"/>
      <c r="H407" s="70"/>
      <c r="I407" s="71"/>
      <c r="J407" s="71"/>
      <c r="K407" s="35" t="s">
        <v>65</v>
      </c>
      <c r="L407" s="79">
        <v>407</v>
      </c>
      <c r="M407" s="79"/>
      <c r="N407" s="73"/>
      <c r="O407" s="81" t="s">
        <v>379</v>
      </c>
      <c r="P407">
        <v>1</v>
      </c>
      <c r="Q407" s="80" t="str">
        <f>REPLACE(INDEX(GroupVertices[Group],MATCH(Edges[[#This Row],[Vertex 1]],GroupVertices[Vertex],0)),1,1,"")</f>
        <v>4</v>
      </c>
      <c r="R407" s="80" t="str">
        <f>REPLACE(INDEX(GroupVertices[Group],MATCH(Edges[[#This Row],[Vertex 2]],GroupVertices[Vertex],0)),1,1,"")</f>
        <v>1</v>
      </c>
      <c r="S407" s="35"/>
      <c r="T407" s="35"/>
      <c r="U407" s="35"/>
      <c r="V407" s="35"/>
      <c r="W407" s="35"/>
      <c r="X407" s="35"/>
      <c r="Y407" s="35"/>
      <c r="Z407" s="35"/>
      <c r="AA407" s="35"/>
    </row>
    <row r="408" spans="1:27" ht="15">
      <c r="A408" s="65" t="s">
        <v>212</v>
      </c>
      <c r="B408" s="65" t="s">
        <v>204</v>
      </c>
      <c r="C408" s="66" t="s">
        <v>1612</v>
      </c>
      <c r="D408" s="67">
        <v>5</v>
      </c>
      <c r="E408" s="68"/>
      <c r="F408" s="69">
        <v>25</v>
      </c>
      <c r="G408" s="66"/>
      <c r="H408" s="70"/>
      <c r="I408" s="71"/>
      <c r="J408" s="71"/>
      <c r="K408" s="35" t="s">
        <v>65</v>
      </c>
      <c r="L408" s="79">
        <v>408</v>
      </c>
      <c r="M408" s="79"/>
      <c r="N408" s="73"/>
      <c r="O408" s="81" t="s">
        <v>379</v>
      </c>
      <c r="P408">
        <v>1</v>
      </c>
      <c r="Q408" s="80" t="str">
        <f>REPLACE(INDEX(GroupVertices[Group],MATCH(Edges[[#This Row],[Vertex 1]],GroupVertices[Vertex],0)),1,1,"")</f>
        <v>1</v>
      </c>
      <c r="R408" s="80" t="str">
        <f>REPLACE(INDEX(GroupVertices[Group],MATCH(Edges[[#This Row],[Vertex 2]],GroupVertices[Vertex],0)),1,1,"")</f>
        <v>1</v>
      </c>
      <c r="S408" s="35"/>
      <c r="T408" s="35"/>
      <c r="U408" s="35"/>
      <c r="V408" s="35"/>
      <c r="W408" s="35"/>
      <c r="X408" s="35"/>
      <c r="Y408" s="35"/>
      <c r="Z408" s="35"/>
      <c r="AA408" s="35"/>
    </row>
    <row r="409" spans="1:27" ht="15">
      <c r="A409" s="65" t="s">
        <v>226</v>
      </c>
      <c r="B409" s="65" t="s">
        <v>204</v>
      </c>
      <c r="C409" s="66" t="s">
        <v>1612</v>
      </c>
      <c r="D409" s="67">
        <v>5</v>
      </c>
      <c r="E409" s="68"/>
      <c r="F409" s="69">
        <v>25</v>
      </c>
      <c r="G409" s="66"/>
      <c r="H409" s="70"/>
      <c r="I409" s="71"/>
      <c r="J409" s="71"/>
      <c r="K409" s="35" t="s">
        <v>65</v>
      </c>
      <c r="L409" s="79">
        <v>409</v>
      </c>
      <c r="M409" s="79"/>
      <c r="N409" s="73"/>
      <c r="O409" s="81" t="s">
        <v>379</v>
      </c>
      <c r="P409">
        <v>1</v>
      </c>
      <c r="Q409" s="80" t="str">
        <f>REPLACE(INDEX(GroupVertices[Group],MATCH(Edges[[#This Row],[Vertex 1]],GroupVertices[Vertex],0)),1,1,"")</f>
        <v>8</v>
      </c>
      <c r="R409" s="80" t="str">
        <f>REPLACE(INDEX(GroupVertices[Group],MATCH(Edges[[#This Row],[Vertex 2]],GroupVertices[Vertex],0)),1,1,"")</f>
        <v>1</v>
      </c>
      <c r="S409" s="35"/>
      <c r="T409" s="35"/>
      <c r="U409" s="35"/>
      <c r="V409" s="35"/>
      <c r="W409" s="35"/>
      <c r="X409" s="35"/>
      <c r="Y409" s="35"/>
      <c r="Z409" s="35"/>
      <c r="AA409" s="35"/>
    </row>
    <row r="410" spans="1:27" ht="15">
      <c r="A410" s="65" t="s">
        <v>214</v>
      </c>
      <c r="B410" s="65" t="s">
        <v>204</v>
      </c>
      <c r="C410" s="66" t="s">
        <v>1612</v>
      </c>
      <c r="D410" s="67">
        <v>5</v>
      </c>
      <c r="E410" s="68"/>
      <c r="F410" s="69">
        <v>25</v>
      </c>
      <c r="G410" s="66"/>
      <c r="H410" s="70"/>
      <c r="I410" s="71"/>
      <c r="J410" s="71"/>
      <c r="K410" s="35" t="s">
        <v>65</v>
      </c>
      <c r="L410" s="79">
        <v>410</v>
      </c>
      <c r="M410" s="79"/>
      <c r="N410" s="73"/>
      <c r="O410" s="81" t="s">
        <v>379</v>
      </c>
      <c r="P410">
        <v>1</v>
      </c>
      <c r="Q410" s="80" t="str">
        <f>REPLACE(INDEX(GroupVertices[Group],MATCH(Edges[[#This Row],[Vertex 1]],GroupVertices[Vertex],0)),1,1,"")</f>
        <v>1</v>
      </c>
      <c r="R410" s="80" t="str">
        <f>REPLACE(INDEX(GroupVertices[Group],MATCH(Edges[[#This Row],[Vertex 2]],GroupVertices[Vertex],0)),1,1,"")</f>
        <v>1</v>
      </c>
      <c r="S410" s="35"/>
      <c r="T410" s="35"/>
      <c r="U410" s="35"/>
      <c r="V410" s="35"/>
      <c r="W410" s="35"/>
      <c r="X410" s="35"/>
      <c r="Y410" s="35"/>
      <c r="Z410" s="35"/>
      <c r="AA410" s="35"/>
    </row>
    <row r="411" spans="1:27" ht="15">
      <c r="A411" s="65" t="s">
        <v>227</v>
      </c>
      <c r="B411" s="65" t="s">
        <v>204</v>
      </c>
      <c r="C411" s="66" t="s">
        <v>1612</v>
      </c>
      <c r="D411" s="67">
        <v>5</v>
      </c>
      <c r="E411" s="68"/>
      <c r="F411" s="69">
        <v>25</v>
      </c>
      <c r="G411" s="66"/>
      <c r="H411" s="70"/>
      <c r="I411" s="71"/>
      <c r="J411" s="71"/>
      <c r="K411" s="35" t="s">
        <v>65</v>
      </c>
      <c r="L411" s="79">
        <v>411</v>
      </c>
      <c r="M411" s="79"/>
      <c r="N411" s="73"/>
      <c r="O411" s="81" t="s">
        <v>379</v>
      </c>
      <c r="P411">
        <v>1</v>
      </c>
      <c r="Q411" s="80" t="str">
        <f>REPLACE(INDEX(GroupVertices[Group],MATCH(Edges[[#This Row],[Vertex 1]],GroupVertices[Vertex],0)),1,1,"")</f>
        <v>1</v>
      </c>
      <c r="R411" s="80" t="str">
        <f>REPLACE(INDEX(GroupVertices[Group],MATCH(Edges[[#This Row],[Vertex 2]],GroupVertices[Vertex],0)),1,1,"")</f>
        <v>1</v>
      </c>
      <c r="S411" s="35"/>
      <c r="T411" s="35"/>
      <c r="U411" s="35"/>
      <c r="V411" s="35"/>
      <c r="W411" s="35"/>
      <c r="X411" s="35"/>
      <c r="Y411" s="35"/>
      <c r="Z411" s="35"/>
      <c r="AA411" s="35"/>
    </row>
    <row r="412" spans="1:27" ht="15">
      <c r="A412" s="65" t="s">
        <v>215</v>
      </c>
      <c r="B412" s="65" t="s">
        <v>204</v>
      </c>
      <c r="C412" s="66" t="s">
        <v>1612</v>
      </c>
      <c r="D412" s="67">
        <v>5</v>
      </c>
      <c r="E412" s="68"/>
      <c r="F412" s="69">
        <v>25</v>
      </c>
      <c r="G412" s="66"/>
      <c r="H412" s="70"/>
      <c r="I412" s="71"/>
      <c r="J412" s="71"/>
      <c r="K412" s="35" t="s">
        <v>65</v>
      </c>
      <c r="L412" s="79">
        <v>412</v>
      </c>
      <c r="M412" s="79"/>
      <c r="N412" s="73"/>
      <c r="O412" s="81" t="s">
        <v>379</v>
      </c>
      <c r="P412">
        <v>1</v>
      </c>
      <c r="Q412" s="80" t="str">
        <f>REPLACE(INDEX(GroupVertices[Group],MATCH(Edges[[#This Row],[Vertex 1]],GroupVertices[Vertex],0)),1,1,"")</f>
        <v>1</v>
      </c>
      <c r="R412" s="80" t="str">
        <f>REPLACE(INDEX(GroupVertices[Group],MATCH(Edges[[#This Row],[Vertex 2]],GroupVertices[Vertex],0)),1,1,"")</f>
        <v>1</v>
      </c>
      <c r="S412" s="35"/>
      <c r="T412" s="35"/>
      <c r="U412" s="35"/>
      <c r="V412" s="35"/>
      <c r="W412" s="35"/>
      <c r="X412" s="35"/>
      <c r="Y412" s="35"/>
      <c r="Z412" s="35"/>
      <c r="AA412" s="35"/>
    </row>
    <row r="413" spans="1:27" ht="15">
      <c r="A413" s="65" t="s">
        <v>228</v>
      </c>
      <c r="B413" s="65" t="s">
        <v>204</v>
      </c>
      <c r="C413" s="66" t="s">
        <v>1612</v>
      </c>
      <c r="D413" s="67">
        <v>5</v>
      </c>
      <c r="E413" s="68"/>
      <c r="F413" s="69">
        <v>25</v>
      </c>
      <c r="G413" s="66"/>
      <c r="H413" s="70"/>
      <c r="I413" s="71"/>
      <c r="J413" s="71"/>
      <c r="K413" s="35" t="s">
        <v>65</v>
      </c>
      <c r="L413" s="79">
        <v>413</v>
      </c>
      <c r="M413" s="79"/>
      <c r="N413" s="73"/>
      <c r="O413" s="81" t="s">
        <v>379</v>
      </c>
      <c r="P413">
        <v>1</v>
      </c>
      <c r="Q413" s="80" t="str">
        <f>REPLACE(INDEX(GroupVertices[Group],MATCH(Edges[[#This Row],[Vertex 1]],GroupVertices[Vertex],0)),1,1,"")</f>
        <v>1</v>
      </c>
      <c r="R413" s="80" t="str">
        <f>REPLACE(INDEX(GroupVertices[Group],MATCH(Edges[[#This Row],[Vertex 2]],GroupVertices[Vertex],0)),1,1,"")</f>
        <v>1</v>
      </c>
      <c r="S413" s="35"/>
      <c r="T413" s="35"/>
      <c r="U413" s="35"/>
      <c r="V413" s="35"/>
      <c r="W413" s="35"/>
      <c r="X413" s="35"/>
      <c r="Y413" s="35"/>
      <c r="Z413" s="35"/>
      <c r="AA413" s="35"/>
    </row>
    <row r="414" spans="1:27" ht="15">
      <c r="A414" s="65" t="s">
        <v>231</v>
      </c>
      <c r="B414" s="65" t="s">
        <v>204</v>
      </c>
      <c r="C414" s="66" t="s">
        <v>1612</v>
      </c>
      <c r="D414" s="67">
        <v>5</v>
      </c>
      <c r="E414" s="68"/>
      <c r="F414" s="69">
        <v>25</v>
      </c>
      <c r="G414" s="66"/>
      <c r="H414" s="70"/>
      <c r="I414" s="71"/>
      <c r="J414" s="71"/>
      <c r="K414" s="35" t="s">
        <v>66</v>
      </c>
      <c r="L414" s="79">
        <v>414</v>
      </c>
      <c r="M414" s="79"/>
      <c r="N414" s="73"/>
      <c r="O414" s="81" t="s">
        <v>379</v>
      </c>
      <c r="P414">
        <v>1</v>
      </c>
      <c r="Q414" s="80" t="str">
        <f>REPLACE(INDEX(GroupVertices[Group],MATCH(Edges[[#This Row],[Vertex 1]],GroupVertices[Vertex],0)),1,1,"")</f>
        <v>1</v>
      </c>
      <c r="R414" s="80" t="str">
        <f>REPLACE(INDEX(GroupVertices[Group],MATCH(Edges[[#This Row],[Vertex 2]],GroupVertices[Vertex],0)),1,1,"")</f>
        <v>1</v>
      </c>
      <c r="S414" s="35"/>
      <c r="T414" s="35"/>
      <c r="U414" s="35"/>
      <c r="V414" s="35"/>
      <c r="W414" s="35"/>
      <c r="X414" s="35"/>
      <c r="Y414" s="35"/>
      <c r="Z414" s="35"/>
      <c r="AA414" s="35"/>
    </row>
    <row r="415" spans="1:27" ht="15">
      <c r="A415" s="65" t="s">
        <v>232</v>
      </c>
      <c r="B415" s="65" t="s">
        <v>204</v>
      </c>
      <c r="C415" s="66" t="s">
        <v>1612</v>
      </c>
      <c r="D415" s="67">
        <v>5</v>
      </c>
      <c r="E415" s="68"/>
      <c r="F415" s="69">
        <v>25</v>
      </c>
      <c r="G415" s="66"/>
      <c r="H415" s="70"/>
      <c r="I415" s="71"/>
      <c r="J415" s="71"/>
      <c r="K415" s="35" t="s">
        <v>65</v>
      </c>
      <c r="L415" s="79">
        <v>415</v>
      </c>
      <c r="M415" s="79"/>
      <c r="N415" s="73"/>
      <c r="O415" s="81" t="s">
        <v>379</v>
      </c>
      <c r="P415">
        <v>1</v>
      </c>
      <c r="Q415" s="80" t="str">
        <f>REPLACE(INDEX(GroupVertices[Group],MATCH(Edges[[#This Row],[Vertex 1]],GroupVertices[Vertex],0)),1,1,"")</f>
        <v>1</v>
      </c>
      <c r="R415" s="80" t="str">
        <f>REPLACE(INDEX(GroupVertices[Group],MATCH(Edges[[#This Row],[Vertex 2]],GroupVertices[Vertex],0)),1,1,"")</f>
        <v>1</v>
      </c>
      <c r="S415" s="35"/>
      <c r="T415" s="35"/>
      <c r="U415" s="35"/>
      <c r="V415" s="35"/>
      <c r="W415" s="35"/>
      <c r="X415" s="35"/>
      <c r="Y415" s="35"/>
      <c r="Z415" s="35"/>
      <c r="AA415" s="35"/>
    </row>
    <row r="416" spans="1:27" ht="15">
      <c r="A416" s="65" t="s">
        <v>219</v>
      </c>
      <c r="B416" s="65" t="s">
        <v>204</v>
      </c>
      <c r="C416" s="66" t="s">
        <v>1612</v>
      </c>
      <c r="D416" s="67">
        <v>5</v>
      </c>
      <c r="E416" s="68"/>
      <c r="F416" s="69">
        <v>25</v>
      </c>
      <c r="G416" s="66"/>
      <c r="H416" s="70"/>
      <c r="I416" s="71"/>
      <c r="J416" s="71"/>
      <c r="K416" s="35" t="s">
        <v>65</v>
      </c>
      <c r="L416" s="79">
        <v>416</v>
      </c>
      <c r="M416" s="79"/>
      <c r="N416" s="73"/>
      <c r="O416" s="81" t="s">
        <v>379</v>
      </c>
      <c r="P416">
        <v>1</v>
      </c>
      <c r="Q416" s="80" t="str">
        <f>REPLACE(INDEX(GroupVertices[Group],MATCH(Edges[[#This Row],[Vertex 1]],GroupVertices[Vertex],0)),1,1,"")</f>
        <v>1</v>
      </c>
      <c r="R416" s="80" t="str">
        <f>REPLACE(INDEX(GroupVertices[Group],MATCH(Edges[[#This Row],[Vertex 2]],GroupVertices[Vertex],0)),1,1,"")</f>
        <v>1</v>
      </c>
      <c r="S416" s="35"/>
      <c r="T416" s="35"/>
      <c r="U416" s="35"/>
      <c r="V416" s="35"/>
      <c r="W416" s="35"/>
      <c r="X416" s="35"/>
      <c r="Y416" s="35"/>
      <c r="Z416" s="35"/>
      <c r="AA416" s="35"/>
    </row>
    <row r="417" spans="1:27" ht="15">
      <c r="A417" s="65" t="s">
        <v>221</v>
      </c>
      <c r="B417" s="65" t="s">
        <v>204</v>
      </c>
      <c r="C417" s="66" t="s">
        <v>1612</v>
      </c>
      <c r="D417" s="67">
        <v>5</v>
      </c>
      <c r="E417" s="68"/>
      <c r="F417" s="69">
        <v>25</v>
      </c>
      <c r="G417" s="66"/>
      <c r="H417" s="70"/>
      <c r="I417" s="71"/>
      <c r="J417" s="71"/>
      <c r="K417" s="35" t="s">
        <v>65</v>
      </c>
      <c r="L417" s="79">
        <v>417</v>
      </c>
      <c r="M417" s="79"/>
      <c r="N417" s="73"/>
      <c r="O417" s="81" t="s">
        <v>379</v>
      </c>
      <c r="P417">
        <v>1</v>
      </c>
      <c r="Q417" s="80" t="str">
        <f>REPLACE(INDEX(GroupVertices[Group],MATCH(Edges[[#This Row],[Vertex 1]],GroupVertices[Vertex],0)),1,1,"")</f>
        <v>1</v>
      </c>
      <c r="R417" s="80" t="str">
        <f>REPLACE(INDEX(GroupVertices[Group],MATCH(Edges[[#This Row],[Vertex 2]],GroupVertices[Vertex],0)),1,1,"")</f>
        <v>1</v>
      </c>
      <c r="S417" s="35"/>
      <c r="T417" s="35"/>
      <c r="U417" s="35"/>
      <c r="V417" s="35"/>
      <c r="W417" s="35"/>
      <c r="X417" s="35"/>
      <c r="Y417" s="35"/>
      <c r="Z417" s="35"/>
      <c r="AA417" s="35"/>
    </row>
    <row r="418" spans="1:27" ht="15">
      <c r="A418" s="65" t="s">
        <v>222</v>
      </c>
      <c r="B418" s="65" t="s">
        <v>204</v>
      </c>
      <c r="C418" s="66" t="s">
        <v>1612</v>
      </c>
      <c r="D418" s="67">
        <v>5</v>
      </c>
      <c r="E418" s="68"/>
      <c r="F418" s="69">
        <v>25</v>
      </c>
      <c r="G418" s="66"/>
      <c r="H418" s="70"/>
      <c r="I418" s="71"/>
      <c r="J418" s="71"/>
      <c r="K418" s="35" t="s">
        <v>65</v>
      </c>
      <c r="L418" s="79">
        <v>418</v>
      </c>
      <c r="M418" s="79"/>
      <c r="N418" s="73"/>
      <c r="O418" s="81" t="s">
        <v>379</v>
      </c>
      <c r="P418">
        <v>1</v>
      </c>
      <c r="Q418" s="80" t="str">
        <f>REPLACE(INDEX(GroupVertices[Group],MATCH(Edges[[#This Row],[Vertex 1]],GroupVertices[Vertex],0)),1,1,"")</f>
        <v>1</v>
      </c>
      <c r="R418" s="80" t="str">
        <f>REPLACE(INDEX(GroupVertices[Group],MATCH(Edges[[#This Row],[Vertex 2]],GroupVertices[Vertex],0)),1,1,"")</f>
        <v>1</v>
      </c>
      <c r="S418" s="35"/>
      <c r="T418" s="35"/>
      <c r="U418" s="35"/>
      <c r="V418" s="35"/>
      <c r="W418" s="35"/>
      <c r="X418" s="35"/>
      <c r="Y418" s="35"/>
      <c r="Z418" s="35"/>
      <c r="AA418" s="35"/>
    </row>
    <row r="419" spans="1:27" ht="15">
      <c r="A419" s="65" t="s">
        <v>223</v>
      </c>
      <c r="B419" s="65" t="s">
        <v>204</v>
      </c>
      <c r="C419" s="66" t="s">
        <v>1612</v>
      </c>
      <c r="D419" s="67">
        <v>5</v>
      </c>
      <c r="E419" s="68"/>
      <c r="F419" s="69">
        <v>25</v>
      </c>
      <c r="G419" s="66"/>
      <c r="H419" s="70"/>
      <c r="I419" s="71"/>
      <c r="J419" s="71"/>
      <c r="K419" s="35" t="s">
        <v>66</v>
      </c>
      <c r="L419" s="79">
        <v>419</v>
      </c>
      <c r="M419" s="79"/>
      <c r="N419" s="73"/>
      <c r="O419" s="81" t="s">
        <v>379</v>
      </c>
      <c r="P419">
        <v>1</v>
      </c>
      <c r="Q419" s="80" t="str">
        <f>REPLACE(INDEX(GroupVertices[Group],MATCH(Edges[[#This Row],[Vertex 1]],GroupVertices[Vertex],0)),1,1,"")</f>
        <v>1</v>
      </c>
      <c r="R419" s="80" t="str">
        <f>REPLACE(INDEX(GroupVertices[Group],MATCH(Edges[[#This Row],[Vertex 2]],GroupVertices[Vertex],0)),1,1,"")</f>
        <v>1</v>
      </c>
      <c r="S419" s="35"/>
      <c r="T419" s="35"/>
      <c r="U419" s="35"/>
      <c r="V419" s="35"/>
      <c r="W419" s="35"/>
      <c r="X419" s="35"/>
      <c r="Y419" s="35"/>
      <c r="Z419" s="35"/>
      <c r="AA419" s="35"/>
    </row>
    <row r="420" spans="1:27" ht="15">
      <c r="A420" s="65" t="s">
        <v>229</v>
      </c>
      <c r="B420" s="65" t="s">
        <v>204</v>
      </c>
      <c r="C420" s="66" t="s">
        <v>1612</v>
      </c>
      <c r="D420" s="67">
        <v>5</v>
      </c>
      <c r="E420" s="68"/>
      <c r="F420" s="69">
        <v>25</v>
      </c>
      <c r="G420" s="66"/>
      <c r="H420" s="70"/>
      <c r="I420" s="71"/>
      <c r="J420" s="71"/>
      <c r="K420" s="35" t="s">
        <v>65</v>
      </c>
      <c r="L420" s="79">
        <v>420</v>
      </c>
      <c r="M420" s="79"/>
      <c r="N420" s="73"/>
      <c r="O420" s="81" t="s">
        <v>379</v>
      </c>
      <c r="P420">
        <v>1</v>
      </c>
      <c r="Q420" s="80" t="str">
        <f>REPLACE(INDEX(GroupVertices[Group],MATCH(Edges[[#This Row],[Vertex 1]],GroupVertices[Vertex],0)),1,1,"")</f>
        <v>1</v>
      </c>
      <c r="R420" s="80" t="str">
        <f>REPLACE(INDEX(GroupVertices[Group],MATCH(Edges[[#This Row],[Vertex 2]],GroupVertices[Vertex],0)),1,1,"")</f>
        <v>1</v>
      </c>
      <c r="S420" s="35"/>
      <c r="T420" s="35"/>
      <c r="U420" s="35"/>
      <c r="V420" s="35"/>
      <c r="W420" s="35"/>
      <c r="X420" s="35"/>
      <c r="Y420" s="35"/>
      <c r="Z420" s="35"/>
      <c r="AA420" s="35"/>
    </row>
    <row r="421" spans="1:27" ht="15">
      <c r="A421" s="65" t="s">
        <v>230</v>
      </c>
      <c r="B421" s="65" t="s">
        <v>204</v>
      </c>
      <c r="C421" s="66" t="s">
        <v>1612</v>
      </c>
      <c r="D421" s="67">
        <v>5</v>
      </c>
      <c r="E421" s="68"/>
      <c r="F421" s="69">
        <v>25</v>
      </c>
      <c r="G421" s="66"/>
      <c r="H421" s="70"/>
      <c r="I421" s="71"/>
      <c r="J421" s="71"/>
      <c r="K421" s="35" t="s">
        <v>66</v>
      </c>
      <c r="L421" s="79">
        <v>421</v>
      </c>
      <c r="M421" s="79"/>
      <c r="N421" s="73"/>
      <c r="O421" s="81" t="s">
        <v>379</v>
      </c>
      <c r="P421">
        <v>1</v>
      </c>
      <c r="Q421" s="80" t="str">
        <f>REPLACE(INDEX(GroupVertices[Group],MATCH(Edges[[#This Row],[Vertex 1]],GroupVertices[Vertex],0)),1,1,"")</f>
        <v>2</v>
      </c>
      <c r="R421" s="80" t="str">
        <f>REPLACE(INDEX(GroupVertices[Group],MATCH(Edges[[#This Row],[Vertex 2]],GroupVertices[Vertex],0)),1,1,"")</f>
        <v>1</v>
      </c>
      <c r="S421" s="35"/>
      <c r="T421" s="35"/>
      <c r="U421" s="35"/>
      <c r="V421" s="35"/>
      <c r="W421" s="35"/>
      <c r="X421" s="35"/>
      <c r="Y421" s="35"/>
      <c r="Z421" s="35"/>
      <c r="AA421" s="35"/>
    </row>
    <row r="422" spans="1:27" ht="15">
      <c r="A422" s="65" t="s">
        <v>224</v>
      </c>
      <c r="B422" s="65" t="s">
        <v>204</v>
      </c>
      <c r="C422" s="66" t="s">
        <v>1612</v>
      </c>
      <c r="D422" s="67">
        <v>5</v>
      </c>
      <c r="E422" s="68"/>
      <c r="F422" s="69">
        <v>25</v>
      </c>
      <c r="G422" s="66"/>
      <c r="H422" s="70"/>
      <c r="I422" s="71"/>
      <c r="J422" s="71"/>
      <c r="K422" s="35" t="s">
        <v>65</v>
      </c>
      <c r="L422" s="79">
        <v>422</v>
      </c>
      <c r="M422" s="79"/>
      <c r="N422" s="73"/>
      <c r="O422" s="81" t="s">
        <v>379</v>
      </c>
      <c r="P422">
        <v>1</v>
      </c>
      <c r="Q422" s="80" t="str">
        <f>REPLACE(INDEX(GroupVertices[Group],MATCH(Edges[[#This Row],[Vertex 1]],GroupVertices[Vertex],0)),1,1,"")</f>
        <v>1</v>
      </c>
      <c r="R422" s="80" t="str">
        <f>REPLACE(INDEX(GroupVertices[Group],MATCH(Edges[[#This Row],[Vertex 2]],GroupVertices[Vertex],0)),1,1,"")</f>
        <v>1</v>
      </c>
      <c r="S422" s="35"/>
      <c r="T422" s="35"/>
      <c r="U422" s="35"/>
      <c r="V422" s="35"/>
      <c r="W422" s="35"/>
      <c r="X422" s="35"/>
      <c r="Y422" s="35"/>
      <c r="Z422" s="35"/>
      <c r="AA422" s="35"/>
    </row>
    <row r="423" spans="1:27" ht="15">
      <c r="A423" s="65" t="s">
        <v>225</v>
      </c>
      <c r="B423" s="65" t="s">
        <v>204</v>
      </c>
      <c r="C423" s="66" t="s">
        <v>1612</v>
      </c>
      <c r="D423" s="67">
        <v>5</v>
      </c>
      <c r="E423" s="68"/>
      <c r="F423" s="69">
        <v>25</v>
      </c>
      <c r="G423" s="66"/>
      <c r="H423" s="70"/>
      <c r="I423" s="71"/>
      <c r="J423" s="71"/>
      <c r="K423" s="35" t="s">
        <v>65</v>
      </c>
      <c r="L423" s="79">
        <v>423</v>
      </c>
      <c r="M423" s="79"/>
      <c r="N423" s="73"/>
      <c r="O423" s="81" t="s">
        <v>379</v>
      </c>
      <c r="P423">
        <v>1</v>
      </c>
      <c r="Q423" s="80" t="str">
        <f>REPLACE(INDEX(GroupVertices[Group],MATCH(Edges[[#This Row],[Vertex 1]],GroupVertices[Vertex],0)),1,1,"")</f>
        <v>1</v>
      </c>
      <c r="R423" s="80" t="str">
        <f>REPLACE(INDEX(GroupVertices[Group],MATCH(Edges[[#This Row],[Vertex 2]],GroupVertices[Vertex],0)),1,1,"")</f>
        <v>1</v>
      </c>
      <c r="S423" s="35"/>
      <c r="T423" s="35"/>
      <c r="U423" s="35"/>
      <c r="V423" s="35"/>
      <c r="W423" s="35"/>
      <c r="X423" s="35"/>
      <c r="Y423" s="35"/>
      <c r="Z423" s="35"/>
      <c r="AA423" s="35"/>
    </row>
    <row r="424" spans="1:27" ht="15">
      <c r="A424" s="65" t="s">
        <v>234</v>
      </c>
      <c r="B424" s="65" t="s">
        <v>204</v>
      </c>
      <c r="C424" s="66" t="s">
        <v>1612</v>
      </c>
      <c r="D424" s="67">
        <v>5</v>
      </c>
      <c r="E424" s="68"/>
      <c r="F424" s="69">
        <v>25</v>
      </c>
      <c r="G424" s="66"/>
      <c r="H424" s="70"/>
      <c r="I424" s="71"/>
      <c r="J424" s="71"/>
      <c r="K424" s="35" t="s">
        <v>65</v>
      </c>
      <c r="L424" s="79">
        <v>424</v>
      </c>
      <c r="M424" s="79"/>
      <c r="N424" s="73"/>
      <c r="O424" s="81" t="s">
        <v>378</v>
      </c>
      <c r="P424">
        <v>1</v>
      </c>
      <c r="Q424" s="80" t="str">
        <f>REPLACE(INDEX(GroupVertices[Group],MATCH(Edges[[#This Row],[Vertex 1]],GroupVertices[Vertex],0)),1,1,"")</f>
        <v>1</v>
      </c>
      <c r="R424" s="80" t="str">
        <f>REPLACE(INDEX(GroupVertices[Group],MATCH(Edges[[#This Row],[Vertex 2]],GroupVertices[Vertex],0)),1,1,"")</f>
        <v>1</v>
      </c>
      <c r="S424" s="35"/>
      <c r="T424" s="35"/>
      <c r="U424" s="35"/>
      <c r="V424" s="35"/>
      <c r="W424" s="35"/>
      <c r="X424" s="35"/>
      <c r="Y424" s="35"/>
      <c r="Z424" s="35"/>
      <c r="AA424" s="35"/>
    </row>
    <row r="425" spans="1:27" ht="15">
      <c r="A425" s="65" t="s">
        <v>234</v>
      </c>
      <c r="B425" s="65" t="s">
        <v>232</v>
      </c>
      <c r="C425" s="66" t="s">
        <v>1612</v>
      </c>
      <c r="D425" s="67">
        <v>5</v>
      </c>
      <c r="E425" s="68"/>
      <c r="F425" s="69">
        <v>25</v>
      </c>
      <c r="G425" s="66"/>
      <c r="H425" s="70"/>
      <c r="I425" s="71"/>
      <c r="J425" s="71"/>
      <c r="K425" s="35" t="s">
        <v>65</v>
      </c>
      <c r="L425" s="79">
        <v>425</v>
      </c>
      <c r="M425" s="79"/>
      <c r="N425" s="73"/>
      <c r="O425" s="81" t="s">
        <v>378</v>
      </c>
      <c r="P425">
        <v>1</v>
      </c>
      <c r="Q425" s="80" t="str">
        <f>REPLACE(INDEX(GroupVertices[Group],MATCH(Edges[[#This Row],[Vertex 1]],GroupVertices[Vertex],0)),1,1,"")</f>
        <v>1</v>
      </c>
      <c r="R425" s="80" t="str">
        <f>REPLACE(INDEX(GroupVertices[Group],MATCH(Edges[[#This Row],[Vertex 2]],GroupVertices[Vertex],0)),1,1,"")</f>
        <v>1</v>
      </c>
      <c r="S425" s="35"/>
      <c r="T425" s="35"/>
      <c r="U425" s="35"/>
      <c r="V425" s="35"/>
      <c r="W425" s="35"/>
      <c r="X425" s="35"/>
      <c r="Y425" s="35"/>
      <c r="Z425" s="35"/>
      <c r="AA425" s="35"/>
    </row>
    <row r="426" spans="1:27" ht="15">
      <c r="A426" s="65" t="s">
        <v>234</v>
      </c>
      <c r="B426" s="65" t="s">
        <v>224</v>
      </c>
      <c r="C426" s="66" t="s">
        <v>1612</v>
      </c>
      <c r="D426" s="67">
        <v>5</v>
      </c>
      <c r="E426" s="68"/>
      <c r="F426" s="69">
        <v>25</v>
      </c>
      <c r="G426" s="66"/>
      <c r="H426" s="70"/>
      <c r="I426" s="71"/>
      <c r="J426" s="71"/>
      <c r="K426" s="35" t="s">
        <v>65</v>
      </c>
      <c r="L426" s="79">
        <v>426</v>
      </c>
      <c r="M426" s="79"/>
      <c r="N426" s="73"/>
      <c r="O426" s="81" t="s">
        <v>378</v>
      </c>
      <c r="P426">
        <v>1</v>
      </c>
      <c r="Q426" s="80" t="str">
        <f>REPLACE(INDEX(GroupVertices[Group],MATCH(Edges[[#This Row],[Vertex 1]],GroupVertices[Vertex],0)),1,1,"")</f>
        <v>1</v>
      </c>
      <c r="R426" s="80" t="str">
        <f>REPLACE(INDEX(GroupVertices[Group],MATCH(Edges[[#This Row],[Vertex 2]],GroupVertices[Vertex],0)),1,1,"")</f>
        <v>1</v>
      </c>
      <c r="S426" s="35"/>
      <c r="T426" s="35"/>
      <c r="U426" s="35"/>
      <c r="V426" s="35"/>
      <c r="W426" s="35"/>
      <c r="X426" s="35"/>
      <c r="Y426" s="35"/>
      <c r="Z426" s="35"/>
      <c r="AA426" s="35"/>
    </row>
    <row r="427" spans="1:27" ht="15">
      <c r="A427" s="65" t="s">
        <v>234</v>
      </c>
      <c r="B427" s="65" t="s">
        <v>227</v>
      </c>
      <c r="C427" s="66" t="s">
        <v>1612</v>
      </c>
      <c r="D427" s="67">
        <v>5</v>
      </c>
      <c r="E427" s="68"/>
      <c r="F427" s="69">
        <v>25</v>
      </c>
      <c r="G427" s="66"/>
      <c r="H427" s="70"/>
      <c r="I427" s="71"/>
      <c r="J427" s="71"/>
      <c r="K427" s="35" t="s">
        <v>65</v>
      </c>
      <c r="L427" s="79">
        <v>427</v>
      </c>
      <c r="M427" s="79"/>
      <c r="N427" s="73"/>
      <c r="O427" s="81" t="s">
        <v>378</v>
      </c>
      <c r="P427">
        <v>1</v>
      </c>
      <c r="Q427" s="80" t="str">
        <f>REPLACE(INDEX(GroupVertices[Group],MATCH(Edges[[#This Row],[Vertex 1]],GroupVertices[Vertex],0)),1,1,"")</f>
        <v>1</v>
      </c>
      <c r="R427" s="80" t="str">
        <f>REPLACE(INDEX(GroupVertices[Group],MATCH(Edges[[#This Row],[Vertex 2]],GroupVertices[Vertex],0)),1,1,"")</f>
        <v>1</v>
      </c>
      <c r="S427" s="35"/>
      <c r="T427" s="35"/>
      <c r="U427" s="35"/>
      <c r="V427" s="35"/>
      <c r="W427" s="35"/>
      <c r="X427" s="35"/>
      <c r="Y427" s="35"/>
      <c r="Z427" s="35"/>
      <c r="AA427" s="35"/>
    </row>
    <row r="428" spans="1:27" ht="15">
      <c r="A428" s="65" t="s">
        <v>234</v>
      </c>
      <c r="B428" s="65" t="s">
        <v>231</v>
      </c>
      <c r="C428" s="66" t="s">
        <v>1612</v>
      </c>
      <c r="D428" s="67">
        <v>5</v>
      </c>
      <c r="E428" s="68"/>
      <c r="F428" s="69">
        <v>25</v>
      </c>
      <c r="G428" s="66"/>
      <c r="H428" s="70"/>
      <c r="I428" s="71"/>
      <c r="J428" s="71"/>
      <c r="K428" s="35" t="s">
        <v>65</v>
      </c>
      <c r="L428" s="79">
        <v>428</v>
      </c>
      <c r="M428" s="79"/>
      <c r="N428" s="73"/>
      <c r="O428" s="81" t="s">
        <v>378</v>
      </c>
      <c r="P428">
        <v>1</v>
      </c>
      <c r="Q428" s="80" t="str">
        <f>REPLACE(INDEX(GroupVertices[Group],MATCH(Edges[[#This Row],[Vertex 1]],GroupVertices[Vertex],0)),1,1,"")</f>
        <v>1</v>
      </c>
      <c r="R428" s="80" t="str">
        <f>REPLACE(INDEX(GroupVertices[Group],MATCH(Edges[[#This Row],[Vertex 2]],GroupVertices[Vertex],0)),1,1,"")</f>
        <v>1</v>
      </c>
      <c r="S428" s="35"/>
      <c r="T428" s="35"/>
      <c r="U428" s="35"/>
      <c r="V428" s="35"/>
      <c r="W428" s="35"/>
      <c r="X428" s="35"/>
      <c r="Y428" s="35"/>
      <c r="Z428" s="35"/>
      <c r="AA428" s="35"/>
    </row>
    <row r="429" spans="1:27" ht="15">
      <c r="A429" s="65" t="s">
        <v>234</v>
      </c>
      <c r="B429" s="65" t="s">
        <v>229</v>
      </c>
      <c r="C429" s="66" t="s">
        <v>1612</v>
      </c>
      <c r="D429" s="67">
        <v>5</v>
      </c>
      <c r="E429" s="68"/>
      <c r="F429" s="69">
        <v>25</v>
      </c>
      <c r="G429" s="66"/>
      <c r="H429" s="70"/>
      <c r="I429" s="71"/>
      <c r="J429" s="71"/>
      <c r="K429" s="35" t="s">
        <v>65</v>
      </c>
      <c r="L429" s="79">
        <v>429</v>
      </c>
      <c r="M429" s="79"/>
      <c r="N429" s="73"/>
      <c r="O429" s="81" t="s">
        <v>378</v>
      </c>
      <c r="P429">
        <v>1</v>
      </c>
      <c r="Q429" s="80" t="str">
        <f>REPLACE(INDEX(GroupVertices[Group],MATCH(Edges[[#This Row],[Vertex 1]],GroupVertices[Vertex],0)),1,1,"")</f>
        <v>1</v>
      </c>
      <c r="R429" s="80" t="str">
        <f>REPLACE(INDEX(GroupVertices[Group],MATCH(Edges[[#This Row],[Vertex 2]],GroupVertices[Vertex],0)),1,1,"")</f>
        <v>1</v>
      </c>
      <c r="S429" s="35"/>
      <c r="T429" s="35"/>
      <c r="U429" s="35"/>
      <c r="V429" s="35"/>
      <c r="W429" s="35"/>
      <c r="X429" s="35"/>
      <c r="Y429" s="35"/>
      <c r="Z429" s="35"/>
      <c r="AA429" s="35"/>
    </row>
    <row r="430" spans="1:27" ht="15">
      <c r="A430" s="65" t="s">
        <v>234</v>
      </c>
      <c r="B430" s="65" t="s">
        <v>221</v>
      </c>
      <c r="C430" s="66" t="s">
        <v>1612</v>
      </c>
      <c r="D430" s="67">
        <v>5</v>
      </c>
      <c r="E430" s="68"/>
      <c r="F430" s="69">
        <v>25</v>
      </c>
      <c r="G430" s="66"/>
      <c r="H430" s="70"/>
      <c r="I430" s="71"/>
      <c r="J430" s="71"/>
      <c r="K430" s="35" t="s">
        <v>65</v>
      </c>
      <c r="L430" s="79">
        <v>430</v>
      </c>
      <c r="M430" s="79"/>
      <c r="N430" s="73"/>
      <c r="O430" s="81" t="s">
        <v>378</v>
      </c>
      <c r="P430">
        <v>1</v>
      </c>
      <c r="Q430" s="80" t="str">
        <f>REPLACE(INDEX(GroupVertices[Group],MATCH(Edges[[#This Row],[Vertex 1]],GroupVertices[Vertex],0)),1,1,"")</f>
        <v>1</v>
      </c>
      <c r="R430" s="80" t="str">
        <f>REPLACE(INDEX(GroupVertices[Group],MATCH(Edges[[#This Row],[Vertex 2]],GroupVertices[Vertex],0)),1,1,"")</f>
        <v>1</v>
      </c>
      <c r="S430" s="35"/>
      <c r="T430" s="35"/>
      <c r="U430" s="35"/>
      <c r="V430" s="35"/>
      <c r="W430" s="35"/>
      <c r="X430" s="35"/>
      <c r="Y430" s="35"/>
      <c r="Z430" s="35"/>
      <c r="AA430" s="35"/>
    </row>
    <row r="431" spans="1:27" ht="15">
      <c r="A431" s="65" t="s">
        <v>234</v>
      </c>
      <c r="B431" s="65" t="s">
        <v>230</v>
      </c>
      <c r="C431" s="66" t="s">
        <v>1612</v>
      </c>
      <c r="D431" s="67">
        <v>5</v>
      </c>
      <c r="E431" s="68"/>
      <c r="F431" s="69">
        <v>25</v>
      </c>
      <c r="G431" s="66"/>
      <c r="H431" s="70"/>
      <c r="I431" s="71"/>
      <c r="J431" s="71"/>
      <c r="K431" s="35" t="s">
        <v>65</v>
      </c>
      <c r="L431" s="79">
        <v>431</v>
      </c>
      <c r="M431" s="79"/>
      <c r="N431" s="73"/>
      <c r="O431" s="81" t="s">
        <v>378</v>
      </c>
      <c r="P431">
        <v>1</v>
      </c>
      <c r="Q431" s="80" t="str">
        <f>REPLACE(INDEX(GroupVertices[Group],MATCH(Edges[[#This Row],[Vertex 1]],GroupVertices[Vertex],0)),1,1,"")</f>
        <v>1</v>
      </c>
      <c r="R431" s="80" t="str">
        <f>REPLACE(INDEX(GroupVertices[Group],MATCH(Edges[[#This Row],[Vertex 2]],GroupVertices[Vertex],0)),1,1,"")</f>
        <v>2</v>
      </c>
      <c r="S431" s="35"/>
      <c r="T431" s="35"/>
      <c r="U431" s="35"/>
      <c r="V431" s="35"/>
      <c r="W431" s="35"/>
      <c r="X431" s="35"/>
      <c r="Y431" s="35"/>
      <c r="Z431" s="35"/>
      <c r="AA431" s="35"/>
    </row>
    <row r="432" spans="1:27" ht="15">
      <c r="A432" s="65" t="s">
        <v>227</v>
      </c>
      <c r="B432" s="65" t="s">
        <v>369</v>
      </c>
      <c r="C432" s="66" t="s">
        <v>1612</v>
      </c>
      <c r="D432" s="67">
        <v>5</v>
      </c>
      <c r="E432" s="68"/>
      <c r="F432" s="69">
        <v>25</v>
      </c>
      <c r="G432" s="66"/>
      <c r="H432" s="70"/>
      <c r="I432" s="71"/>
      <c r="J432" s="71"/>
      <c r="K432" s="35" t="s">
        <v>65</v>
      </c>
      <c r="L432" s="79">
        <v>432</v>
      </c>
      <c r="M432" s="79"/>
      <c r="N432" s="73"/>
      <c r="O432" s="81" t="s">
        <v>377</v>
      </c>
      <c r="P432">
        <v>1</v>
      </c>
      <c r="Q432" s="80" t="str">
        <f>REPLACE(INDEX(GroupVertices[Group],MATCH(Edges[[#This Row],[Vertex 1]],GroupVertices[Vertex],0)),1,1,"")</f>
        <v>1</v>
      </c>
      <c r="R432" s="80" t="str">
        <f>REPLACE(INDEX(GroupVertices[Group],MATCH(Edges[[#This Row],[Vertex 2]],GroupVertices[Vertex],0)),1,1,"")</f>
        <v>1</v>
      </c>
      <c r="S432" s="35"/>
      <c r="T432" s="35"/>
      <c r="U432" s="35"/>
      <c r="V432" s="35"/>
      <c r="W432" s="35"/>
      <c r="X432" s="35"/>
      <c r="Y432" s="35"/>
      <c r="Z432" s="35"/>
      <c r="AA432" s="35"/>
    </row>
    <row r="433" spans="1:27" ht="15">
      <c r="A433" s="65" t="s">
        <v>227</v>
      </c>
      <c r="B433" s="65" t="s">
        <v>369</v>
      </c>
      <c r="C433" s="66" t="s">
        <v>1612</v>
      </c>
      <c r="D433" s="67">
        <v>5</v>
      </c>
      <c r="E433" s="68"/>
      <c r="F433" s="69">
        <v>25</v>
      </c>
      <c r="G433" s="66"/>
      <c r="H433" s="70"/>
      <c r="I433" s="71"/>
      <c r="J433" s="71"/>
      <c r="K433" s="35" t="s">
        <v>65</v>
      </c>
      <c r="L433" s="79">
        <v>433</v>
      </c>
      <c r="M433" s="79"/>
      <c r="N433" s="73"/>
      <c r="O433" s="81" t="s">
        <v>378</v>
      </c>
      <c r="P433">
        <v>1</v>
      </c>
      <c r="Q433" s="80" t="str">
        <f>REPLACE(INDEX(GroupVertices[Group],MATCH(Edges[[#This Row],[Vertex 1]],GroupVertices[Vertex],0)),1,1,"")</f>
        <v>1</v>
      </c>
      <c r="R433" s="80" t="str">
        <f>REPLACE(INDEX(GroupVertices[Group],MATCH(Edges[[#This Row],[Vertex 2]],GroupVertices[Vertex],0)),1,1,"")</f>
        <v>1</v>
      </c>
      <c r="S433" s="35"/>
      <c r="T433" s="35"/>
      <c r="U433" s="35"/>
      <c r="V433" s="35"/>
      <c r="W433" s="35"/>
      <c r="X433" s="35"/>
      <c r="Y433" s="35"/>
      <c r="Z433" s="35"/>
      <c r="AA433" s="35"/>
    </row>
    <row r="434" spans="1:27" ht="15">
      <c r="A434" s="65" t="s">
        <v>207</v>
      </c>
      <c r="B434" s="65" t="s">
        <v>222</v>
      </c>
      <c r="C434" s="66" t="s">
        <v>1612</v>
      </c>
      <c r="D434" s="67">
        <v>5</v>
      </c>
      <c r="E434" s="68"/>
      <c r="F434" s="69">
        <v>25</v>
      </c>
      <c r="G434" s="66"/>
      <c r="H434" s="70"/>
      <c r="I434" s="71"/>
      <c r="J434" s="71"/>
      <c r="K434" s="35" t="s">
        <v>65</v>
      </c>
      <c r="L434" s="79">
        <v>434</v>
      </c>
      <c r="M434" s="79"/>
      <c r="N434" s="73"/>
      <c r="O434" s="81" t="s">
        <v>377</v>
      </c>
      <c r="P434">
        <v>1</v>
      </c>
      <c r="Q434" s="80" t="str">
        <f>REPLACE(INDEX(GroupVertices[Group],MATCH(Edges[[#This Row],[Vertex 1]],GroupVertices[Vertex],0)),1,1,"")</f>
        <v>4</v>
      </c>
      <c r="R434" s="80" t="str">
        <f>REPLACE(INDEX(GroupVertices[Group],MATCH(Edges[[#This Row],[Vertex 2]],GroupVertices[Vertex],0)),1,1,"")</f>
        <v>1</v>
      </c>
      <c r="S434" s="35"/>
      <c r="T434" s="35"/>
      <c r="U434" s="35"/>
      <c r="V434" s="35"/>
      <c r="W434" s="35"/>
      <c r="X434" s="35"/>
      <c r="Y434" s="35"/>
      <c r="Z434" s="35"/>
      <c r="AA434" s="35"/>
    </row>
    <row r="435" spans="1:27" ht="15">
      <c r="A435" s="65" t="s">
        <v>207</v>
      </c>
      <c r="B435" s="65" t="s">
        <v>232</v>
      </c>
      <c r="C435" s="66" t="s">
        <v>1612</v>
      </c>
      <c r="D435" s="67">
        <v>5</v>
      </c>
      <c r="E435" s="68"/>
      <c r="F435" s="69">
        <v>25</v>
      </c>
      <c r="G435" s="66"/>
      <c r="H435" s="70"/>
      <c r="I435" s="71"/>
      <c r="J435" s="71"/>
      <c r="K435" s="35" t="s">
        <v>66</v>
      </c>
      <c r="L435" s="79">
        <v>435</v>
      </c>
      <c r="M435" s="79"/>
      <c r="N435" s="73"/>
      <c r="O435" s="81" t="s">
        <v>377</v>
      </c>
      <c r="P435">
        <v>1</v>
      </c>
      <c r="Q435" s="80" t="str">
        <f>REPLACE(INDEX(GroupVertices[Group],MATCH(Edges[[#This Row],[Vertex 1]],GroupVertices[Vertex],0)),1,1,"")</f>
        <v>4</v>
      </c>
      <c r="R435" s="80" t="str">
        <f>REPLACE(INDEX(GroupVertices[Group],MATCH(Edges[[#This Row],[Vertex 2]],GroupVertices[Vertex],0)),1,1,"")</f>
        <v>1</v>
      </c>
      <c r="S435" s="35"/>
      <c r="T435" s="35"/>
      <c r="U435" s="35"/>
      <c r="V435" s="35"/>
      <c r="W435" s="35"/>
      <c r="X435" s="35"/>
      <c r="Y435" s="35"/>
      <c r="Z435" s="35"/>
      <c r="AA435" s="35"/>
    </row>
    <row r="436" spans="1:27" ht="15">
      <c r="A436" s="65" t="s">
        <v>207</v>
      </c>
      <c r="B436" s="65" t="s">
        <v>223</v>
      </c>
      <c r="C436" s="66" t="s">
        <v>1612</v>
      </c>
      <c r="D436" s="67">
        <v>5</v>
      </c>
      <c r="E436" s="68"/>
      <c r="F436" s="69">
        <v>25</v>
      </c>
      <c r="G436" s="66"/>
      <c r="H436" s="70"/>
      <c r="I436" s="71"/>
      <c r="J436" s="71"/>
      <c r="K436" s="35" t="s">
        <v>65</v>
      </c>
      <c r="L436" s="79">
        <v>436</v>
      </c>
      <c r="M436" s="79"/>
      <c r="N436" s="73"/>
      <c r="O436" s="81" t="s">
        <v>377</v>
      </c>
      <c r="P436">
        <v>1</v>
      </c>
      <c r="Q436" s="80" t="str">
        <f>REPLACE(INDEX(GroupVertices[Group],MATCH(Edges[[#This Row],[Vertex 1]],GroupVertices[Vertex],0)),1,1,"")</f>
        <v>4</v>
      </c>
      <c r="R436" s="80" t="str">
        <f>REPLACE(INDEX(GroupVertices[Group],MATCH(Edges[[#This Row],[Vertex 2]],GroupVertices[Vertex],0)),1,1,"")</f>
        <v>1</v>
      </c>
      <c r="S436" s="35"/>
      <c r="T436" s="35"/>
      <c r="U436" s="35"/>
      <c r="V436" s="35"/>
      <c r="W436" s="35"/>
      <c r="X436" s="35"/>
      <c r="Y436" s="35"/>
      <c r="Z436" s="35"/>
      <c r="AA436" s="35"/>
    </row>
    <row r="437" spans="1:27" ht="15">
      <c r="A437" s="65" t="s">
        <v>207</v>
      </c>
      <c r="B437" s="65" t="s">
        <v>212</v>
      </c>
      <c r="C437" s="66" t="s">
        <v>1612</v>
      </c>
      <c r="D437" s="67">
        <v>5</v>
      </c>
      <c r="E437" s="68"/>
      <c r="F437" s="69">
        <v>25</v>
      </c>
      <c r="G437" s="66"/>
      <c r="H437" s="70"/>
      <c r="I437" s="71"/>
      <c r="J437" s="71"/>
      <c r="K437" s="35" t="s">
        <v>65</v>
      </c>
      <c r="L437" s="79">
        <v>437</v>
      </c>
      <c r="M437" s="79"/>
      <c r="N437" s="73"/>
      <c r="O437" s="81" t="s">
        <v>377</v>
      </c>
      <c r="P437">
        <v>1</v>
      </c>
      <c r="Q437" s="80" t="str">
        <f>REPLACE(INDEX(GroupVertices[Group],MATCH(Edges[[#This Row],[Vertex 1]],GroupVertices[Vertex],0)),1,1,"")</f>
        <v>4</v>
      </c>
      <c r="R437" s="80" t="str">
        <f>REPLACE(INDEX(GroupVertices[Group],MATCH(Edges[[#This Row],[Vertex 2]],GroupVertices[Vertex],0)),1,1,"")</f>
        <v>1</v>
      </c>
      <c r="S437" s="35"/>
      <c r="T437" s="35"/>
      <c r="U437" s="35"/>
      <c r="V437" s="35"/>
      <c r="W437" s="35"/>
      <c r="X437" s="35"/>
      <c r="Y437" s="35"/>
      <c r="Z437" s="35"/>
      <c r="AA437" s="35"/>
    </row>
    <row r="438" spans="1:27" ht="15">
      <c r="A438" s="65" t="s">
        <v>227</v>
      </c>
      <c r="B438" s="65" t="s">
        <v>207</v>
      </c>
      <c r="C438" s="66" t="s">
        <v>1612</v>
      </c>
      <c r="D438" s="67">
        <v>5</v>
      </c>
      <c r="E438" s="68"/>
      <c r="F438" s="69">
        <v>25</v>
      </c>
      <c r="G438" s="66"/>
      <c r="H438" s="70"/>
      <c r="I438" s="71"/>
      <c r="J438" s="71"/>
      <c r="K438" s="35" t="s">
        <v>65</v>
      </c>
      <c r="L438" s="79">
        <v>438</v>
      </c>
      <c r="M438" s="79"/>
      <c r="N438" s="73"/>
      <c r="O438" s="81" t="s">
        <v>377</v>
      </c>
      <c r="P438">
        <v>1</v>
      </c>
      <c r="Q438" s="80" t="str">
        <f>REPLACE(INDEX(GroupVertices[Group],MATCH(Edges[[#This Row],[Vertex 1]],GroupVertices[Vertex],0)),1,1,"")</f>
        <v>1</v>
      </c>
      <c r="R438" s="80" t="str">
        <f>REPLACE(INDEX(GroupVertices[Group],MATCH(Edges[[#This Row],[Vertex 2]],GroupVertices[Vertex],0)),1,1,"")</f>
        <v>4</v>
      </c>
      <c r="S438" s="35"/>
      <c r="T438" s="35"/>
      <c r="U438" s="35"/>
      <c r="V438" s="35"/>
      <c r="W438" s="35"/>
      <c r="X438" s="35"/>
      <c r="Y438" s="35"/>
      <c r="Z438" s="35"/>
      <c r="AA438" s="35"/>
    </row>
    <row r="439" spans="1:27" ht="15">
      <c r="A439" s="65" t="s">
        <v>225</v>
      </c>
      <c r="B439" s="65" t="s">
        <v>207</v>
      </c>
      <c r="C439" s="66" t="s">
        <v>1612</v>
      </c>
      <c r="D439" s="67">
        <v>5</v>
      </c>
      <c r="E439" s="68"/>
      <c r="F439" s="69">
        <v>25</v>
      </c>
      <c r="G439" s="66"/>
      <c r="H439" s="70"/>
      <c r="I439" s="71"/>
      <c r="J439" s="71"/>
      <c r="K439" s="35" t="s">
        <v>65</v>
      </c>
      <c r="L439" s="79">
        <v>439</v>
      </c>
      <c r="M439" s="79"/>
      <c r="N439" s="73"/>
      <c r="O439" s="81" t="s">
        <v>377</v>
      </c>
      <c r="P439">
        <v>1</v>
      </c>
      <c r="Q439" s="80" t="str">
        <f>REPLACE(INDEX(GroupVertices[Group],MATCH(Edges[[#This Row],[Vertex 1]],GroupVertices[Vertex],0)),1,1,"")</f>
        <v>1</v>
      </c>
      <c r="R439" s="80" t="str">
        <f>REPLACE(INDEX(GroupVertices[Group],MATCH(Edges[[#This Row],[Vertex 2]],GroupVertices[Vertex],0)),1,1,"")</f>
        <v>4</v>
      </c>
      <c r="S439" s="35"/>
      <c r="T439" s="35"/>
      <c r="U439" s="35"/>
      <c r="V439" s="35"/>
      <c r="W439" s="35"/>
      <c r="X439" s="35"/>
      <c r="Y439" s="35"/>
      <c r="Z439" s="35"/>
      <c r="AA439" s="35"/>
    </row>
    <row r="440" spans="1:27" ht="15">
      <c r="A440" s="65" t="s">
        <v>227</v>
      </c>
      <c r="B440" s="65" t="s">
        <v>207</v>
      </c>
      <c r="C440" s="66" t="s">
        <v>1612</v>
      </c>
      <c r="D440" s="67">
        <v>5</v>
      </c>
      <c r="E440" s="68"/>
      <c r="F440" s="69">
        <v>25</v>
      </c>
      <c r="G440" s="66"/>
      <c r="H440" s="70"/>
      <c r="I440" s="71"/>
      <c r="J440" s="71"/>
      <c r="K440" s="35" t="s">
        <v>65</v>
      </c>
      <c r="L440" s="79">
        <v>440</v>
      </c>
      <c r="M440" s="79"/>
      <c r="N440" s="73"/>
      <c r="O440" s="81" t="s">
        <v>379</v>
      </c>
      <c r="P440">
        <v>1</v>
      </c>
      <c r="Q440" s="80" t="str">
        <f>REPLACE(INDEX(GroupVertices[Group],MATCH(Edges[[#This Row],[Vertex 1]],GroupVertices[Vertex],0)),1,1,"")</f>
        <v>1</v>
      </c>
      <c r="R440" s="80" t="str">
        <f>REPLACE(INDEX(GroupVertices[Group],MATCH(Edges[[#This Row],[Vertex 2]],GroupVertices[Vertex],0)),1,1,"")</f>
        <v>4</v>
      </c>
      <c r="S440" s="35"/>
      <c r="T440" s="35"/>
      <c r="U440" s="35"/>
      <c r="V440" s="35"/>
      <c r="W440" s="35"/>
      <c r="X440" s="35"/>
      <c r="Y440" s="35"/>
      <c r="Z440" s="35"/>
      <c r="AA440" s="35"/>
    </row>
    <row r="441" spans="1:27" ht="15">
      <c r="A441" s="65" t="s">
        <v>215</v>
      </c>
      <c r="B441" s="65" t="s">
        <v>207</v>
      </c>
      <c r="C441" s="66" t="s">
        <v>1612</v>
      </c>
      <c r="D441" s="67">
        <v>5</v>
      </c>
      <c r="E441" s="68"/>
      <c r="F441" s="69">
        <v>25</v>
      </c>
      <c r="G441" s="66"/>
      <c r="H441" s="70"/>
      <c r="I441" s="71"/>
      <c r="J441" s="71"/>
      <c r="K441" s="35" t="s">
        <v>65</v>
      </c>
      <c r="L441" s="79">
        <v>441</v>
      </c>
      <c r="M441" s="79"/>
      <c r="N441" s="73"/>
      <c r="O441" s="81" t="s">
        <v>379</v>
      </c>
      <c r="P441">
        <v>1</v>
      </c>
      <c r="Q441" s="80" t="str">
        <f>REPLACE(INDEX(GroupVertices[Group],MATCH(Edges[[#This Row],[Vertex 1]],GroupVertices[Vertex],0)),1,1,"")</f>
        <v>1</v>
      </c>
      <c r="R441" s="80" t="str">
        <f>REPLACE(INDEX(GroupVertices[Group],MATCH(Edges[[#This Row],[Vertex 2]],GroupVertices[Vertex],0)),1,1,"")</f>
        <v>4</v>
      </c>
      <c r="S441" s="35"/>
      <c r="T441" s="35"/>
      <c r="U441" s="35"/>
      <c r="V441" s="35"/>
      <c r="W441" s="35"/>
      <c r="X441" s="35"/>
      <c r="Y441" s="35"/>
      <c r="Z441" s="35"/>
      <c r="AA441" s="35"/>
    </row>
    <row r="442" spans="1:27" ht="15">
      <c r="A442" s="65" t="s">
        <v>228</v>
      </c>
      <c r="B442" s="65" t="s">
        <v>207</v>
      </c>
      <c r="C442" s="66" t="s">
        <v>1612</v>
      </c>
      <c r="D442" s="67">
        <v>5</v>
      </c>
      <c r="E442" s="68"/>
      <c r="F442" s="69">
        <v>25</v>
      </c>
      <c r="G442" s="66"/>
      <c r="H442" s="70"/>
      <c r="I442" s="71"/>
      <c r="J442" s="71"/>
      <c r="K442" s="35" t="s">
        <v>65</v>
      </c>
      <c r="L442" s="79">
        <v>442</v>
      </c>
      <c r="M442" s="79"/>
      <c r="N442" s="73"/>
      <c r="O442" s="81" t="s">
        <v>379</v>
      </c>
      <c r="P442">
        <v>1</v>
      </c>
      <c r="Q442" s="80" t="str">
        <f>REPLACE(INDEX(GroupVertices[Group],MATCH(Edges[[#This Row],[Vertex 1]],GroupVertices[Vertex],0)),1,1,"")</f>
        <v>1</v>
      </c>
      <c r="R442" s="80" t="str">
        <f>REPLACE(INDEX(GroupVertices[Group],MATCH(Edges[[#This Row],[Vertex 2]],GroupVertices[Vertex],0)),1,1,"")</f>
        <v>4</v>
      </c>
      <c r="S442" s="35"/>
      <c r="T442" s="35"/>
      <c r="U442" s="35"/>
      <c r="V442" s="35"/>
      <c r="W442" s="35"/>
      <c r="X442" s="35"/>
      <c r="Y442" s="35"/>
      <c r="Z442" s="35"/>
      <c r="AA442" s="35"/>
    </row>
    <row r="443" spans="1:27" ht="15">
      <c r="A443" s="65" t="s">
        <v>231</v>
      </c>
      <c r="B443" s="65" t="s">
        <v>207</v>
      </c>
      <c r="C443" s="66" t="s">
        <v>1612</v>
      </c>
      <c r="D443" s="67">
        <v>5</v>
      </c>
      <c r="E443" s="68"/>
      <c r="F443" s="69">
        <v>25</v>
      </c>
      <c r="G443" s="66"/>
      <c r="H443" s="70"/>
      <c r="I443" s="71"/>
      <c r="J443" s="71"/>
      <c r="K443" s="35" t="s">
        <v>65</v>
      </c>
      <c r="L443" s="79">
        <v>443</v>
      </c>
      <c r="M443" s="79"/>
      <c r="N443" s="73"/>
      <c r="O443" s="81" t="s">
        <v>379</v>
      </c>
      <c r="P443">
        <v>1</v>
      </c>
      <c r="Q443" s="80" t="str">
        <f>REPLACE(INDEX(GroupVertices[Group],MATCH(Edges[[#This Row],[Vertex 1]],GroupVertices[Vertex],0)),1,1,"")</f>
        <v>1</v>
      </c>
      <c r="R443" s="80" t="str">
        <f>REPLACE(INDEX(GroupVertices[Group],MATCH(Edges[[#This Row],[Vertex 2]],GroupVertices[Vertex],0)),1,1,"")</f>
        <v>4</v>
      </c>
      <c r="S443" s="35"/>
      <c r="T443" s="35"/>
      <c r="U443" s="35"/>
      <c r="V443" s="35"/>
      <c r="W443" s="35"/>
      <c r="X443" s="35"/>
      <c r="Y443" s="35"/>
      <c r="Z443" s="35"/>
      <c r="AA443" s="35"/>
    </row>
    <row r="444" spans="1:27" ht="15">
      <c r="A444" s="65" t="s">
        <v>232</v>
      </c>
      <c r="B444" s="65" t="s">
        <v>207</v>
      </c>
      <c r="C444" s="66" t="s">
        <v>1612</v>
      </c>
      <c r="D444" s="67">
        <v>5</v>
      </c>
      <c r="E444" s="68"/>
      <c r="F444" s="69">
        <v>25</v>
      </c>
      <c r="G444" s="66"/>
      <c r="H444" s="70"/>
      <c r="I444" s="71"/>
      <c r="J444" s="71"/>
      <c r="K444" s="35" t="s">
        <v>66</v>
      </c>
      <c r="L444" s="79">
        <v>444</v>
      </c>
      <c r="M444" s="79"/>
      <c r="N444" s="73"/>
      <c r="O444" s="81" t="s">
        <v>379</v>
      </c>
      <c r="P444">
        <v>1</v>
      </c>
      <c r="Q444" s="80" t="str">
        <f>REPLACE(INDEX(GroupVertices[Group],MATCH(Edges[[#This Row],[Vertex 1]],GroupVertices[Vertex],0)),1,1,"")</f>
        <v>1</v>
      </c>
      <c r="R444" s="80" t="str">
        <f>REPLACE(INDEX(GroupVertices[Group],MATCH(Edges[[#This Row],[Vertex 2]],GroupVertices[Vertex],0)),1,1,"")</f>
        <v>4</v>
      </c>
      <c r="S444" s="35"/>
      <c r="T444" s="35"/>
      <c r="U444" s="35"/>
      <c r="V444" s="35"/>
      <c r="W444" s="35"/>
      <c r="X444" s="35"/>
      <c r="Y444" s="35"/>
      <c r="Z444" s="35"/>
      <c r="AA444" s="35"/>
    </row>
    <row r="445" spans="1:27" ht="15">
      <c r="A445" s="65" t="s">
        <v>219</v>
      </c>
      <c r="B445" s="65" t="s">
        <v>207</v>
      </c>
      <c r="C445" s="66" t="s">
        <v>1612</v>
      </c>
      <c r="D445" s="67">
        <v>5</v>
      </c>
      <c r="E445" s="68"/>
      <c r="F445" s="69">
        <v>25</v>
      </c>
      <c r="G445" s="66"/>
      <c r="H445" s="70"/>
      <c r="I445" s="71"/>
      <c r="J445" s="71"/>
      <c r="K445" s="35" t="s">
        <v>65</v>
      </c>
      <c r="L445" s="79">
        <v>445</v>
      </c>
      <c r="M445" s="79"/>
      <c r="N445" s="73"/>
      <c r="O445" s="81" t="s">
        <v>379</v>
      </c>
      <c r="P445">
        <v>1</v>
      </c>
      <c r="Q445" s="80" t="str">
        <f>REPLACE(INDEX(GroupVertices[Group],MATCH(Edges[[#This Row],[Vertex 1]],GroupVertices[Vertex],0)),1,1,"")</f>
        <v>1</v>
      </c>
      <c r="R445" s="80" t="str">
        <f>REPLACE(INDEX(GroupVertices[Group],MATCH(Edges[[#This Row],[Vertex 2]],GroupVertices[Vertex],0)),1,1,"")</f>
        <v>4</v>
      </c>
      <c r="S445" s="35"/>
      <c r="T445" s="35"/>
      <c r="U445" s="35"/>
      <c r="V445" s="35"/>
      <c r="W445" s="35"/>
      <c r="X445" s="35"/>
      <c r="Y445" s="35"/>
      <c r="Z445" s="35"/>
      <c r="AA445" s="35"/>
    </row>
    <row r="446" spans="1:27" ht="15">
      <c r="A446" s="65" t="s">
        <v>221</v>
      </c>
      <c r="B446" s="65" t="s">
        <v>207</v>
      </c>
      <c r="C446" s="66" t="s">
        <v>1612</v>
      </c>
      <c r="D446" s="67">
        <v>5</v>
      </c>
      <c r="E446" s="68"/>
      <c r="F446" s="69">
        <v>25</v>
      </c>
      <c r="G446" s="66"/>
      <c r="H446" s="70"/>
      <c r="I446" s="71"/>
      <c r="J446" s="71"/>
      <c r="K446" s="35" t="s">
        <v>65</v>
      </c>
      <c r="L446" s="79">
        <v>446</v>
      </c>
      <c r="M446" s="79"/>
      <c r="N446" s="73"/>
      <c r="O446" s="81" t="s">
        <v>379</v>
      </c>
      <c r="P446">
        <v>1</v>
      </c>
      <c r="Q446" s="80" t="str">
        <f>REPLACE(INDEX(GroupVertices[Group],MATCH(Edges[[#This Row],[Vertex 1]],GroupVertices[Vertex],0)),1,1,"")</f>
        <v>1</v>
      </c>
      <c r="R446" s="80" t="str">
        <f>REPLACE(INDEX(GroupVertices[Group],MATCH(Edges[[#This Row],[Vertex 2]],GroupVertices[Vertex],0)),1,1,"")</f>
        <v>4</v>
      </c>
      <c r="S446" s="35"/>
      <c r="T446" s="35"/>
      <c r="U446" s="35"/>
      <c r="V446" s="35"/>
      <c r="W446" s="35"/>
      <c r="X446" s="35"/>
      <c r="Y446" s="35"/>
      <c r="Z446" s="35"/>
      <c r="AA446" s="35"/>
    </row>
    <row r="447" spans="1:27" ht="15">
      <c r="A447" s="65" t="s">
        <v>229</v>
      </c>
      <c r="B447" s="65" t="s">
        <v>207</v>
      </c>
      <c r="C447" s="66" t="s">
        <v>1612</v>
      </c>
      <c r="D447" s="67">
        <v>5</v>
      </c>
      <c r="E447" s="68"/>
      <c r="F447" s="69">
        <v>25</v>
      </c>
      <c r="G447" s="66"/>
      <c r="H447" s="70"/>
      <c r="I447" s="71"/>
      <c r="J447" s="71"/>
      <c r="K447" s="35" t="s">
        <v>65</v>
      </c>
      <c r="L447" s="79">
        <v>447</v>
      </c>
      <c r="M447" s="79"/>
      <c r="N447" s="73"/>
      <c r="O447" s="81" t="s">
        <v>379</v>
      </c>
      <c r="P447">
        <v>1</v>
      </c>
      <c r="Q447" s="80" t="str">
        <f>REPLACE(INDEX(GroupVertices[Group],MATCH(Edges[[#This Row],[Vertex 1]],GroupVertices[Vertex],0)),1,1,"")</f>
        <v>1</v>
      </c>
      <c r="R447" s="80" t="str">
        <f>REPLACE(INDEX(GroupVertices[Group],MATCH(Edges[[#This Row],[Vertex 2]],GroupVertices[Vertex],0)),1,1,"")</f>
        <v>4</v>
      </c>
      <c r="S447" s="35"/>
      <c r="T447" s="35"/>
      <c r="U447" s="35"/>
      <c r="V447" s="35"/>
      <c r="W447" s="35"/>
      <c r="X447" s="35"/>
      <c r="Y447" s="35"/>
      <c r="Z447" s="35"/>
      <c r="AA447" s="35"/>
    </row>
    <row r="448" spans="1:27" ht="15">
      <c r="A448" s="65" t="s">
        <v>230</v>
      </c>
      <c r="B448" s="65" t="s">
        <v>207</v>
      </c>
      <c r="C448" s="66" t="s">
        <v>1612</v>
      </c>
      <c r="D448" s="67">
        <v>5</v>
      </c>
      <c r="E448" s="68"/>
      <c r="F448" s="69">
        <v>25</v>
      </c>
      <c r="G448" s="66"/>
      <c r="H448" s="70"/>
      <c r="I448" s="71"/>
      <c r="J448" s="71"/>
      <c r="K448" s="35" t="s">
        <v>65</v>
      </c>
      <c r="L448" s="79">
        <v>448</v>
      </c>
      <c r="M448" s="79"/>
      <c r="N448" s="73"/>
      <c r="O448" s="81" t="s">
        <v>379</v>
      </c>
      <c r="P448">
        <v>1</v>
      </c>
      <c r="Q448" s="80" t="str">
        <f>REPLACE(INDEX(GroupVertices[Group],MATCH(Edges[[#This Row],[Vertex 1]],GroupVertices[Vertex],0)),1,1,"")</f>
        <v>2</v>
      </c>
      <c r="R448" s="80" t="str">
        <f>REPLACE(INDEX(GroupVertices[Group],MATCH(Edges[[#This Row],[Vertex 2]],GroupVertices[Vertex],0)),1,1,"")</f>
        <v>4</v>
      </c>
      <c r="S448" s="35"/>
      <c r="T448" s="35"/>
      <c r="U448" s="35"/>
      <c r="V448" s="35"/>
      <c r="W448" s="35"/>
      <c r="X448" s="35"/>
      <c r="Y448" s="35"/>
      <c r="Z448" s="35"/>
      <c r="AA448" s="35"/>
    </row>
    <row r="449" spans="1:27" ht="15">
      <c r="A449" s="65" t="s">
        <v>227</v>
      </c>
      <c r="B449" s="65" t="s">
        <v>207</v>
      </c>
      <c r="C449" s="66" t="s">
        <v>1612</v>
      </c>
      <c r="D449" s="67">
        <v>5</v>
      </c>
      <c r="E449" s="68"/>
      <c r="F449" s="69">
        <v>25</v>
      </c>
      <c r="G449" s="66"/>
      <c r="H449" s="70"/>
      <c r="I449" s="71"/>
      <c r="J449" s="71"/>
      <c r="K449" s="35" t="s">
        <v>65</v>
      </c>
      <c r="L449" s="79">
        <v>449</v>
      </c>
      <c r="M449" s="79"/>
      <c r="N449" s="73"/>
      <c r="O449" s="81" t="s">
        <v>378</v>
      </c>
      <c r="P449">
        <v>1</v>
      </c>
      <c r="Q449" s="80" t="str">
        <f>REPLACE(INDEX(GroupVertices[Group],MATCH(Edges[[#This Row],[Vertex 1]],GroupVertices[Vertex],0)),1,1,"")</f>
        <v>1</v>
      </c>
      <c r="R449" s="80" t="str">
        <f>REPLACE(INDEX(GroupVertices[Group],MATCH(Edges[[#This Row],[Vertex 2]],GroupVertices[Vertex],0)),1,1,"")</f>
        <v>4</v>
      </c>
      <c r="S449" s="35"/>
      <c r="T449" s="35"/>
      <c r="U449" s="35"/>
      <c r="V449" s="35"/>
      <c r="W449" s="35"/>
      <c r="X449" s="35"/>
      <c r="Y449" s="35"/>
      <c r="Z449" s="35"/>
      <c r="AA449" s="35"/>
    </row>
    <row r="450" spans="1:27" ht="15">
      <c r="A450" s="65" t="s">
        <v>232</v>
      </c>
      <c r="B450" s="65" t="s">
        <v>208</v>
      </c>
      <c r="C450" s="66" t="s">
        <v>1612</v>
      </c>
      <c r="D450" s="67">
        <v>5</v>
      </c>
      <c r="E450" s="68"/>
      <c r="F450" s="69">
        <v>25</v>
      </c>
      <c r="G450" s="66"/>
      <c r="H450" s="70"/>
      <c r="I450" s="71"/>
      <c r="J450" s="71"/>
      <c r="K450" s="35" t="s">
        <v>65</v>
      </c>
      <c r="L450" s="79">
        <v>450</v>
      </c>
      <c r="M450" s="79"/>
      <c r="N450" s="73"/>
      <c r="O450" s="81" t="s">
        <v>377</v>
      </c>
      <c r="P450">
        <v>1</v>
      </c>
      <c r="Q450" s="80" t="str">
        <f>REPLACE(INDEX(GroupVertices[Group],MATCH(Edges[[#This Row],[Vertex 1]],GroupVertices[Vertex],0)),1,1,"")</f>
        <v>1</v>
      </c>
      <c r="R450" s="80" t="str">
        <f>REPLACE(INDEX(GroupVertices[Group],MATCH(Edges[[#This Row],[Vertex 2]],GroupVertices[Vertex],0)),1,1,"")</f>
        <v>3</v>
      </c>
      <c r="S450" s="35"/>
      <c r="T450" s="35"/>
      <c r="U450" s="35"/>
      <c r="V450" s="35"/>
      <c r="W450" s="35"/>
      <c r="X450" s="35"/>
      <c r="Y450" s="35"/>
      <c r="Z450" s="35"/>
      <c r="AA450" s="35"/>
    </row>
    <row r="451" spans="1:27" ht="15">
      <c r="A451" s="65" t="s">
        <v>212</v>
      </c>
      <c r="B451" s="65" t="s">
        <v>208</v>
      </c>
      <c r="C451" s="66" t="s">
        <v>1612</v>
      </c>
      <c r="D451" s="67">
        <v>5</v>
      </c>
      <c r="E451" s="68"/>
      <c r="F451" s="69">
        <v>25</v>
      </c>
      <c r="G451" s="66"/>
      <c r="H451" s="70"/>
      <c r="I451" s="71"/>
      <c r="J451" s="71"/>
      <c r="K451" s="35" t="s">
        <v>65</v>
      </c>
      <c r="L451" s="79">
        <v>451</v>
      </c>
      <c r="M451" s="79"/>
      <c r="N451" s="73"/>
      <c r="O451" s="81" t="s">
        <v>379</v>
      </c>
      <c r="P451">
        <v>1</v>
      </c>
      <c r="Q451" s="80" t="str">
        <f>REPLACE(INDEX(GroupVertices[Group],MATCH(Edges[[#This Row],[Vertex 1]],GroupVertices[Vertex],0)),1,1,"")</f>
        <v>1</v>
      </c>
      <c r="R451" s="80" t="str">
        <f>REPLACE(INDEX(GroupVertices[Group],MATCH(Edges[[#This Row],[Vertex 2]],GroupVertices[Vertex],0)),1,1,"")</f>
        <v>3</v>
      </c>
      <c r="S451" s="35"/>
      <c r="T451" s="35"/>
      <c r="U451" s="35"/>
      <c r="V451" s="35"/>
      <c r="W451" s="35"/>
      <c r="X451" s="35"/>
      <c r="Y451" s="35"/>
      <c r="Z451" s="35"/>
      <c r="AA451" s="35"/>
    </row>
    <row r="452" spans="1:27" ht="15">
      <c r="A452" s="65" t="s">
        <v>214</v>
      </c>
      <c r="B452" s="65" t="s">
        <v>208</v>
      </c>
      <c r="C452" s="66" t="s">
        <v>1612</v>
      </c>
      <c r="D452" s="67">
        <v>5</v>
      </c>
      <c r="E452" s="68"/>
      <c r="F452" s="69">
        <v>25</v>
      </c>
      <c r="G452" s="66"/>
      <c r="H452" s="70"/>
      <c r="I452" s="71"/>
      <c r="J452" s="71"/>
      <c r="K452" s="35" t="s">
        <v>65</v>
      </c>
      <c r="L452" s="79">
        <v>452</v>
      </c>
      <c r="M452" s="79"/>
      <c r="N452" s="73"/>
      <c r="O452" s="81" t="s">
        <v>379</v>
      </c>
      <c r="P452">
        <v>1</v>
      </c>
      <c r="Q452" s="80" t="str">
        <f>REPLACE(INDEX(GroupVertices[Group],MATCH(Edges[[#This Row],[Vertex 1]],GroupVertices[Vertex],0)),1,1,"")</f>
        <v>1</v>
      </c>
      <c r="R452" s="80" t="str">
        <f>REPLACE(INDEX(GroupVertices[Group],MATCH(Edges[[#This Row],[Vertex 2]],GroupVertices[Vertex],0)),1,1,"")</f>
        <v>3</v>
      </c>
      <c r="S452" s="35"/>
      <c r="T452" s="35"/>
      <c r="U452" s="35"/>
      <c r="V452" s="35"/>
      <c r="W452" s="35"/>
      <c r="X452" s="35"/>
      <c r="Y452" s="35"/>
      <c r="Z452" s="35"/>
      <c r="AA452" s="35"/>
    </row>
    <row r="453" spans="1:27" ht="15">
      <c r="A453" s="65" t="s">
        <v>215</v>
      </c>
      <c r="B453" s="65" t="s">
        <v>208</v>
      </c>
      <c r="C453" s="66" t="s">
        <v>1612</v>
      </c>
      <c r="D453" s="67">
        <v>5</v>
      </c>
      <c r="E453" s="68"/>
      <c r="F453" s="69">
        <v>25</v>
      </c>
      <c r="G453" s="66"/>
      <c r="H453" s="70"/>
      <c r="I453" s="71"/>
      <c r="J453" s="71"/>
      <c r="K453" s="35" t="s">
        <v>65</v>
      </c>
      <c r="L453" s="79">
        <v>453</v>
      </c>
      <c r="M453" s="79"/>
      <c r="N453" s="73"/>
      <c r="O453" s="81" t="s">
        <v>379</v>
      </c>
      <c r="P453">
        <v>1</v>
      </c>
      <c r="Q453" s="80" t="str">
        <f>REPLACE(INDEX(GroupVertices[Group],MATCH(Edges[[#This Row],[Vertex 1]],GroupVertices[Vertex],0)),1,1,"")</f>
        <v>1</v>
      </c>
      <c r="R453" s="80" t="str">
        <f>REPLACE(INDEX(GroupVertices[Group],MATCH(Edges[[#This Row],[Vertex 2]],GroupVertices[Vertex],0)),1,1,"")</f>
        <v>3</v>
      </c>
      <c r="S453" s="35"/>
      <c r="T453" s="35"/>
      <c r="U453" s="35"/>
      <c r="V453" s="35"/>
      <c r="W453" s="35"/>
      <c r="X453" s="35"/>
      <c r="Y453" s="35"/>
      <c r="Z453" s="35"/>
      <c r="AA453" s="35"/>
    </row>
    <row r="454" spans="1:27" ht="15">
      <c r="A454" s="65" t="s">
        <v>221</v>
      </c>
      <c r="B454" s="65" t="s">
        <v>208</v>
      </c>
      <c r="C454" s="66" t="s">
        <v>1612</v>
      </c>
      <c r="D454" s="67">
        <v>5</v>
      </c>
      <c r="E454" s="68"/>
      <c r="F454" s="69">
        <v>25</v>
      </c>
      <c r="G454" s="66"/>
      <c r="H454" s="70"/>
      <c r="I454" s="71"/>
      <c r="J454" s="71"/>
      <c r="K454" s="35" t="s">
        <v>65</v>
      </c>
      <c r="L454" s="79">
        <v>454</v>
      </c>
      <c r="M454" s="79"/>
      <c r="N454" s="73"/>
      <c r="O454" s="81" t="s">
        <v>379</v>
      </c>
      <c r="P454">
        <v>1</v>
      </c>
      <c r="Q454" s="80" t="str">
        <f>REPLACE(INDEX(GroupVertices[Group],MATCH(Edges[[#This Row],[Vertex 1]],GroupVertices[Vertex],0)),1,1,"")</f>
        <v>1</v>
      </c>
      <c r="R454" s="80" t="str">
        <f>REPLACE(INDEX(GroupVertices[Group],MATCH(Edges[[#This Row],[Vertex 2]],GroupVertices[Vertex],0)),1,1,"")</f>
        <v>3</v>
      </c>
      <c r="S454" s="35"/>
      <c r="T454" s="35"/>
      <c r="U454" s="35"/>
      <c r="V454" s="35"/>
      <c r="W454" s="35"/>
      <c r="X454" s="35"/>
      <c r="Y454" s="35"/>
      <c r="Z454" s="35"/>
      <c r="AA454" s="35"/>
    </row>
    <row r="455" spans="1:27" ht="15">
      <c r="A455" s="65" t="s">
        <v>232</v>
      </c>
      <c r="B455" s="65" t="s">
        <v>208</v>
      </c>
      <c r="C455" s="66" t="s">
        <v>1612</v>
      </c>
      <c r="D455" s="67">
        <v>5</v>
      </c>
      <c r="E455" s="68"/>
      <c r="F455" s="69">
        <v>25</v>
      </c>
      <c r="G455" s="66"/>
      <c r="H455" s="70"/>
      <c r="I455" s="71"/>
      <c r="J455" s="71"/>
      <c r="K455" s="35" t="s">
        <v>65</v>
      </c>
      <c r="L455" s="79">
        <v>455</v>
      </c>
      <c r="M455" s="79"/>
      <c r="N455" s="73"/>
      <c r="O455" s="81" t="s">
        <v>378</v>
      </c>
      <c r="P455">
        <v>1</v>
      </c>
      <c r="Q455" s="80" t="str">
        <f>REPLACE(INDEX(GroupVertices[Group],MATCH(Edges[[#This Row],[Vertex 1]],GroupVertices[Vertex],0)),1,1,"")</f>
        <v>1</v>
      </c>
      <c r="R455" s="80" t="str">
        <f>REPLACE(INDEX(GroupVertices[Group],MATCH(Edges[[#This Row],[Vertex 2]],GroupVertices[Vertex],0)),1,1,"")</f>
        <v>3</v>
      </c>
      <c r="S455" s="35"/>
      <c r="T455" s="35"/>
      <c r="U455" s="35"/>
      <c r="V455" s="35"/>
      <c r="W455" s="35"/>
      <c r="X455" s="35"/>
      <c r="Y455" s="35"/>
      <c r="Z455" s="35"/>
      <c r="AA455" s="35"/>
    </row>
    <row r="456" spans="1:27" ht="15">
      <c r="A456" s="65" t="s">
        <v>209</v>
      </c>
      <c r="B456" s="65" t="s">
        <v>213</v>
      </c>
      <c r="C456" s="66" t="s">
        <v>1612</v>
      </c>
      <c r="D456" s="67">
        <v>5</v>
      </c>
      <c r="E456" s="68"/>
      <c r="F456" s="69">
        <v>25</v>
      </c>
      <c r="G456" s="66"/>
      <c r="H456" s="70"/>
      <c r="I456" s="71"/>
      <c r="J456" s="71"/>
      <c r="K456" s="35" t="s">
        <v>66</v>
      </c>
      <c r="L456" s="79">
        <v>456</v>
      </c>
      <c r="M456" s="79"/>
      <c r="N456" s="73"/>
      <c r="O456" s="81" t="s">
        <v>377</v>
      </c>
      <c r="P456">
        <v>1</v>
      </c>
      <c r="Q456" s="80" t="str">
        <f>REPLACE(INDEX(GroupVertices[Group],MATCH(Edges[[#This Row],[Vertex 1]],GroupVertices[Vertex],0)),1,1,"")</f>
        <v>2</v>
      </c>
      <c r="R456" s="80" t="str">
        <f>REPLACE(INDEX(GroupVertices[Group],MATCH(Edges[[#This Row],[Vertex 2]],GroupVertices[Vertex],0)),1,1,"")</f>
        <v>2</v>
      </c>
      <c r="S456" s="35"/>
      <c r="T456" s="35"/>
      <c r="U456" s="35"/>
      <c r="V456" s="35"/>
      <c r="W456" s="35"/>
      <c r="X456" s="35"/>
      <c r="Y456" s="35"/>
      <c r="Z456" s="35"/>
      <c r="AA456" s="35"/>
    </row>
    <row r="457" spans="1:27" ht="15">
      <c r="A457" s="65" t="s">
        <v>209</v>
      </c>
      <c r="B457" s="65" t="s">
        <v>370</v>
      </c>
      <c r="C457" s="66" t="s">
        <v>1612</v>
      </c>
      <c r="D457" s="67">
        <v>5</v>
      </c>
      <c r="E457" s="68"/>
      <c r="F457" s="69">
        <v>25</v>
      </c>
      <c r="G457" s="66"/>
      <c r="H457" s="70"/>
      <c r="I457" s="71"/>
      <c r="J457" s="71"/>
      <c r="K457" s="35" t="s">
        <v>65</v>
      </c>
      <c r="L457" s="79">
        <v>457</v>
      </c>
      <c r="M457" s="79"/>
      <c r="N457" s="73"/>
      <c r="O457" s="81" t="s">
        <v>377</v>
      </c>
      <c r="P457">
        <v>1</v>
      </c>
      <c r="Q457" s="80" t="str">
        <f>REPLACE(INDEX(GroupVertices[Group],MATCH(Edges[[#This Row],[Vertex 1]],GroupVertices[Vertex],0)),1,1,"")</f>
        <v>2</v>
      </c>
      <c r="R457" s="80" t="str">
        <f>REPLACE(INDEX(GroupVertices[Group],MATCH(Edges[[#This Row],[Vertex 2]],GroupVertices[Vertex],0)),1,1,"")</f>
        <v>2</v>
      </c>
      <c r="S457" s="35"/>
      <c r="T457" s="35"/>
      <c r="U457" s="35"/>
      <c r="V457" s="35"/>
      <c r="W457" s="35"/>
      <c r="X457" s="35"/>
      <c r="Y457" s="35"/>
      <c r="Z457" s="35"/>
      <c r="AA457" s="35"/>
    </row>
    <row r="458" spans="1:27" ht="15">
      <c r="A458" s="65" t="s">
        <v>209</v>
      </c>
      <c r="B458" s="65" t="s">
        <v>220</v>
      </c>
      <c r="C458" s="66" t="s">
        <v>1612</v>
      </c>
      <c r="D458" s="67">
        <v>5</v>
      </c>
      <c r="E458" s="68"/>
      <c r="F458" s="69">
        <v>25</v>
      </c>
      <c r="G458" s="66"/>
      <c r="H458" s="70"/>
      <c r="I458" s="71"/>
      <c r="J458" s="71"/>
      <c r="K458" s="35" t="s">
        <v>65</v>
      </c>
      <c r="L458" s="79">
        <v>458</v>
      </c>
      <c r="M458" s="79"/>
      <c r="N458" s="73"/>
      <c r="O458" s="81" t="s">
        <v>377</v>
      </c>
      <c r="P458">
        <v>1</v>
      </c>
      <c r="Q458" s="80" t="str">
        <f>REPLACE(INDEX(GroupVertices[Group],MATCH(Edges[[#This Row],[Vertex 1]],GroupVertices[Vertex],0)),1,1,"")</f>
        <v>2</v>
      </c>
      <c r="R458" s="80" t="str">
        <f>REPLACE(INDEX(GroupVertices[Group],MATCH(Edges[[#This Row],[Vertex 2]],GroupVertices[Vertex],0)),1,1,"")</f>
        <v>2</v>
      </c>
      <c r="S458" s="35"/>
      <c r="T458" s="35"/>
      <c r="U458" s="35"/>
      <c r="V458" s="35"/>
      <c r="W458" s="35"/>
      <c r="X458" s="35"/>
      <c r="Y458" s="35"/>
      <c r="Z458" s="35"/>
      <c r="AA458" s="35"/>
    </row>
    <row r="459" spans="1:27" ht="15">
      <c r="A459" s="65" t="s">
        <v>232</v>
      </c>
      <c r="B459" s="65" t="s">
        <v>209</v>
      </c>
      <c r="C459" s="66" t="s">
        <v>1612</v>
      </c>
      <c r="D459" s="67">
        <v>5</v>
      </c>
      <c r="E459" s="68"/>
      <c r="F459" s="69">
        <v>25</v>
      </c>
      <c r="G459" s="66"/>
      <c r="H459" s="70"/>
      <c r="I459" s="71"/>
      <c r="J459" s="71"/>
      <c r="K459" s="35" t="s">
        <v>65</v>
      </c>
      <c r="L459" s="79">
        <v>459</v>
      </c>
      <c r="M459" s="79"/>
      <c r="N459" s="73"/>
      <c r="O459" s="81" t="s">
        <v>377</v>
      </c>
      <c r="P459">
        <v>1</v>
      </c>
      <c r="Q459" s="80" t="str">
        <f>REPLACE(INDEX(GroupVertices[Group],MATCH(Edges[[#This Row],[Vertex 1]],GroupVertices[Vertex],0)),1,1,"")</f>
        <v>1</v>
      </c>
      <c r="R459" s="80" t="str">
        <f>REPLACE(INDEX(GroupVertices[Group],MATCH(Edges[[#This Row],[Vertex 2]],GroupVertices[Vertex],0)),1,1,"")</f>
        <v>2</v>
      </c>
      <c r="S459" s="35"/>
      <c r="T459" s="35"/>
      <c r="U459" s="35"/>
      <c r="V459" s="35"/>
      <c r="W459" s="35"/>
      <c r="X459" s="35"/>
      <c r="Y459" s="35"/>
      <c r="Z459" s="35"/>
      <c r="AA459" s="35"/>
    </row>
    <row r="460" spans="1:27" ht="15">
      <c r="A460" s="65" t="s">
        <v>210</v>
      </c>
      <c r="B460" s="65" t="s">
        <v>209</v>
      </c>
      <c r="C460" s="66" t="s">
        <v>1612</v>
      </c>
      <c r="D460" s="67">
        <v>5</v>
      </c>
      <c r="E460" s="68"/>
      <c r="F460" s="69">
        <v>25</v>
      </c>
      <c r="G460" s="66"/>
      <c r="H460" s="70"/>
      <c r="I460" s="71"/>
      <c r="J460" s="71"/>
      <c r="K460" s="35" t="s">
        <v>65</v>
      </c>
      <c r="L460" s="79">
        <v>460</v>
      </c>
      <c r="M460" s="79"/>
      <c r="N460" s="73"/>
      <c r="O460" s="81" t="s">
        <v>379</v>
      </c>
      <c r="P460">
        <v>1</v>
      </c>
      <c r="Q460" s="80" t="str">
        <f>REPLACE(INDEX(GroupVertices[Group],MATCH(Edges[[#This Row],[Vertex 1]],GroupVertices[Vertex],0)),1,1,"")</f>
        <v>2</v>
      </c>
      <c r="R460" s="80" t="str">
        <f>REPLACE(INDEX(GroupVertices[Group],MATCH(Edges[[#This Row],[Vertex 2]],GroupVertices[Vertex],0)),1,1,"")</f>
        <v>2</v>
      </c>
      <c r="S460" s="35"/>
      <c r="T460" s="35"/>
      <c r="U460" s="35"/>
      <c r="V460" s="35"/>
      <c r="W460" s="35"/>
      <c r="X460" s="35"/>
      <c r="Y460" s="35"/>
      <c r="Z460" s="35"/>
      <c r="AA460" s="35"/>
    </row>
    <row r="461" spans="1:27" ht="15">
      <c r="A461" s="65" t="s">
        <v>213</v>
      </c>
      <c r="B461" s="65" t="s">
        <v>209</v>
      </c>
      <c r="C461" s="66" t="s">
        <v>1612</v>
      </c>
      <c r="D461" s="67">
        <v>5</v>
      </c>
      <c r="E461" s="68"/>
      <c r="F461" s="69">
        <v>25</v>
      </c>
      <c r="G461" s="66"/>
      <c r="H461" s="70"/>
      <c r="I461" s="71"/>
      <c r="J461" s="71"/>
      <c r="K461" s="35" t="s">
        <v>66</v>
      </c>
      <c r="L461" s="79">
        <v>461</v>
      </c>
      <c r="M461" s="79"/>
      <c r="N461" s="73"/>
      <c r="O461" s="81" t="s">
        <v>379</v>
      </c>
      <c r="P461">
        <v>1</v>
      </c>
      <c r="Q461" s="80" t="str">
        <f>REPLACE(INDEX(GroupVertices[Group],MATCH(Edges[[#This Row],[Vertex 1]],GroupVertices[Vertex],0)),1,1,"")</f>
        <v>2</v>
      </c>
      <c r="R461" s="80" t="str">
        <f>REPLACE(INDEX(GroupVertices[Group],MATCH(Edges[[#This Row],[Vertex 2]],GroupVertices[Vertex],0)),1,1,"")</f>
        <v>2</v>
      </c>
      <c r="S461" s="35"/>
      <c r="T461" s="35"/>
      <c r="U461" s="35"/>
      <c r="V461" s="35"/>
      <c r="W461" s="35"/>
      <c r="X461" s="35"/>
      <c r="Y461" s="35"/>
      <c r="Z461" s="35"/>
      <c r="AA461" s="35"/>
    </row>
    <row r="462" spans="1:27" ht="15">
      <c r="A462" s="65" t="s">
        <v>214</v>
      </c>
      <c r="B462" s="65" t="s">
        <v>209</v>
      </c>
      <c r="C462" s="66" t="s">
        <v>1612</v>
      </c>
      <c r="D462" s="67">
        <v>5</v>
      </c>
      <c r="E462" s="68"/>
      <c r="F462" s="69">
        <v>25</v>
      </c>
      <c r="G462" s="66"/>
      <c r="H462" s="70"/>
      <c r="I462" s="71"/>
      <c r="J462" s="71"/>
      <c r="K462" s="35" t="s">
        <v>65</v>
      </c>
      <c r="L462" s="79">
        <v>462</v>
      </c>
      <c r="M462" s="79"/>
      <c r="N462" s="73"/>
      <c r="O462" s="81" t="s">
        <v>379</v>
      </c>
      <c r="P462">
        <v>1</v>
      </c>
      <c r="Q462" s="80" t="str">
        <f>REPLACE(INDEX(GroupVertices[Group],MATCH(Edges[[#This Row],[Vertex 1]],GroupVertices[Vertex],0)),1,1,"")</f>
        <v>1</v>
      </c>
      <c r="R462" s="80" t="str">
        <f>REPLACE(INDEX(GroupVertices[Group],MATCH(Edges[[#This Row],[Vertex 2]],GroupVertices[Vertex],0)),1,1,"")</f>
        <v>2</v>
      </c>
      <c r="S462" s="35"/>
      <c r="T462" s="35"/>
      <c r="U462" s="35"/>
      <c r="V462" s="35"/>
      <c r="W462" s="35"/>
      <c r="X462" s="35"/>
      <c r="Y462" s="35"/>
      <c r="Z462" s="35"/>
      <c r="AA462" s="35"/>
    </row>
    <row r="463" spans="1:27" ht="15">
      <c r="A463" s="65" t="s">
        <v>227</v>
      </c>
      <c r="B463" s="65" t="s">
        <v>209</v>
      </c>
      <c r="C463" s="66" t="s">
        <v>1612</v>
      </c>
      <c r="D463" s="67">
        <v>5</v>
      </c>
      <c r="E463" s="68"/>
      <c r="F463" s="69">
        <v>25</v>
      </c>
      <c r="G463" s="66"/>
      <c r="H463" s="70"/>
      <c r="I463" s="71"/>
      <c r="J463" s="71"/>
      <c r="K463" s="35" t="s">
        <v>65</v>
      </c>
      <c r="L463" s="79">
        <v>463</v>
      </c>
      <c r="M463" s="79"/>
      <c r="N463" s="73"/>
      <c r="O463" s="81" t="s">
        <v>379</v>
      </c>
      <c r="P463">
        <v>1</v>
      </c>
      <c r="Q463" s="80" t="str">
        <f>REPLACE(INDEX(GroupVertices[Group],MATCH(Edges[[#This Row],[Vertex 1]],GroupVertices[Vertex],0)),1,1,"")</f>
        <v>1</v>
      </c>
      <c r="R463" s="80" t="str">
        <f>REPLACE(INDEX(GroupVertices[Group],MATCH(Edges[[#This Row],[Vertex 2]],GroupVertices[Vertex],0)),1,1,"")</f>
        <v>2</v>
      </c>
      <c r="S463" s="35"/>
      <c r="T463" s="35"/>
      <c r="U463" s="35"/>
      <c r="V463" s="35"/>
      <c r="W463" s="35"/>
      <c r="X463" s="35"/>
      <c r="Y463" s="35"/>
      <c r="Z463" s="35"/>
      <c r="AA463" s="35"/>
    </row>
    <row r="464" spans="1:27" ht="15">
      <c r="A464" s="65" t="s">
        <v>216</v>
      </c>
      <c r="B464" s="65" t="s">
        <v>209</v>
      </c>
      <c r="C464" s="66" t="s">
        <v>1612</v>
      </c>
      <c r="D464" s="67">
        <v>5</v>
      </c>
      <c r="E464" s="68"/>
      <c r="F464" s="69">
        <v>25</v>
      </c>
      <c r="G464" s="66"/>
      <c r="H464" s="70"/>
      <c r="I464" s="71"/>
      <c r="J464" s="71"/>
      <c r="K464" s="35" t="s">
        <v>65</v>
      </c>
      <c r="L464" s="79">
        <v>464</v>
      </c>
      <c r="M464" s="79"/>
      <c r="N464" s="73"/>
      <c r="O464" s="81" t="s">
        <v>379</v>
      </c>
      <c r="P464">
        <v>1</v>
      </c>
      <c r="Q464" s="80" t="str">
        <f>REPLACE(INDEX(GroupVertices[Group],MATCH(Edges[[#This Row],[Vertex 1]],GroupVertices[Vertex],0)),1,1,"")</f>
        <v>2</v>
      </c>
      <c r="R464" s="80" t="str">
        <f>REPLACE(INDEX(GroupVertices[Group],MATCH(Edges[[#This Row],[Vertex 2]],GroupVertices[Vertex],0)),1,1,"")</f>
        <v>2</v>
      </c>
      <c r="S464" s="35"/>
      <c r="T464" s="35"/>
      <c r="U464" s="35"/>
      <c r="V464" s="35"/>
      <c r="W464" s="35"/>
      <c r="X464" s="35"/>
      <c r="Y464" s="35"/>
      <c r="Z464" s="35"/>
      <c r="AA464" s="35"/>
    </row>
    <row r="465" spans="1:27" ht="15">
      <c r="A465" s="65" t="s">
        <v>217</v>
      </c>
      <c r="B465" s="65" t="s">
        <v>209</v>
      </c>
      <c r="C465" s="66" t="s">
        <v>1612</v>
      </c>
      <c r="D465" s="67">
        <v>5</v>
      </c>
      <c r="E465" s="68"/>
      <c r="F465" s="69">
        <v>25</v>
      </c>
      <c r="G465" s="66"/>
      <c r="H465" s="70"/>
      <c r="I465" s="71"/>
      <c r="J465" s="71"/>
      <c r="K465" s="35" t="s">
        <v>65</v>
      </c>
      <c r="L465" s="79">
        <v>465</v>
      </c>
      <c r="M465" s="79"/>
      <c r="N465" s="73"/>
      <c r="O465" s="81" t="s">
        <v>379</v>
      </c>
      <c r="P465">
        <v>1</v>
      </c>
      <c r="Q465" s="80" t="str">
        <f>REPLACE(INDEX(GroupVertices[Group],MATCH(Edges[[#This Row],[Vertex 1]],GroupVertices[Vertex],0)),1,1,"")</f>
        <v>5</v>
      </c>
      <c r="R465" s="80" t="str">
        <f>REPLACE(INDEX(GroupVertices[Group],MATCH(Edges[[#This Row],[Vertex 2]],GroupVertices[Vertex],0)),1,1,"")</f>
        <v>2</v>
      </c>
      <c r="S465" s="35"/>
      <c r="T465" s="35"/>
      <c r="U465" s="35"/>
      <c r="V465" s="35"/>
      <c r="W465" s="35"/>
      <c r="X465" s="35"/>
      <c r="Y465" s="35"/>
      <c r="Z465" s="35"/>
      <c r="AA465" s="35"/>
    </row>
    <row r="466" spans="1:27" ht="15">
      <c r="A466" s="65" t="s">
        <v>218</v>
      </c>
      <c r="B466" s="65" t="s">
        <v>209</v>
      </c>
      <c r="C466" s="66" t="s">
        <v>1612</v>
      </c>
      <c r="D466" s="67">
        <v>5</v>
      </c>
      <c r="E466" s="68"/>
      <c r="F466" s="69">
        <v>25</v>
      </c>
      <c r="G466" s="66"/>
      <c r="H466" s="70"/>
      <c r="I466" s="71"/>
      <c r="J466" s="71"/>
      <c r="K466" s="35" t="s">
        <v>65</v>
      </c>
      <c r="L466" s="79">
        <v>466</v>
      </c>
      <c r="M466" s="79"/>
      <c r="N466" s="73"/>
      <c r="O466" s="81" t="s">
        <v>379</v>
      </c>
      <c r="P466">
        <v>1</v>
      </c>
      <c r="Q466" s="80" t="str">
        <f>REPLACE(INDEX(GroupVertices[Group],MATCH(Edges[[#This Row],[Vertex 1]],GroupVertices[Vertex],0)),1,1,"")</f>
        <v>2</v>
      </c>
      <c r="R466" s="80" t="str">
        <f>REPLACE(INDEX(GroupVertices[Group],MATCH(Edges[[#This Row],[Vertex 2]],GroupVertices[Vertex],0)),1,1,"")</f>
        <v>2</v>
      </c>
      <c r="S466" s="35"/>
      <c r="T466" s="35"/>
      <c r="U466" s="35"/>
      <c r="V466" s="35"/>
      <c r="W466" s="35"/>
      <c r="X466" s="35"/>
      <c r="Y466" s="35"/>
      <c r="Z466" s="35"/>
      <c r="AA466" s="35"/>
    </row>
    <row r="467" spans="1:27" ht="15">
      <c r="A467" s="65" t="s">
        <v>228</v>
      </c>
      <c r="B467" s="65" t="s">
        <v>209</v>
      </c>
      <c r="C467" s="66" t="s">
        <v>1612</v>
      </c>
      <c r="D467" s="67">
        <v>5</v>
      </c>
      <c r="E467" s="68"/>
      <c r="F467" s="69">
        <v>25</v>
      </c>
      <c r="G467" s="66"/>
      <c r="H467" s="70"/>
      <c r="I467" s="71"/>
      <c r="J467" s="71"/>
      <c r="K467" s="35" t="s">
        <v>65</v>
      </c>
      <c r="L467" s="79">
        <v>467</v>
      </c>
      <c r="M467" s="79"/>
      <c r="N467" s="73"/>
      <c r="O467" s="81" t="s">
        <v>379</v>
      </c>
      <c r="P467">
        <v>1</v>
      </c>
      <c r="Q467" s="80" t="str">
        <f>REPLACE(INDEX(GroupVertices[Group],MATCH(Edges[[#This Row],[Vertex 1]],GroupVertices[Vertex],0)),1,1,"")</f>
        <v>1</v>
      </c>
      <c r="R467" s="80" t="str">
        <f>REPLACE(INDEX(GroupVertices[Group],MATCH(Edges[[#This Row],[Vertex 2]],GroupVertices[Vertex],0)),1,1,"")</f>
        <v>2</v>
      </c>
      <c r="S467" s="35"/>
      <c r="T467" s="35"/>
      <c r="U467" s="35"/>
      <c r="V467" s="35"/>
      <c r="W467" s="35"/>
      <c r="X467" s="35"/>
      <c r="Y467" s="35"/>
      <c r="Z467" s="35"/>
      <c r="AA467" s="35"/>
    </row>
    <row r="468" spans="1:27" ht="15">
      <c r="A468" s="65" t="s">
        <v>231</v>
      </c>
      <c r="B468" s="65" t="s">
        <v>209</v>
      </c>
      <c r="C468" s="66" t="s">
        <v>1612</v>
      </c>
      <c r="D468" s="67">
        <v>5</v>
      </c>
      <c r="E468" s="68"/>
      <c r="F468" s="69">
        <v>25</v>
      </c>
      <c r="G468" s="66"/>
      <c r="H468" s="70"/>
      <c r="I468" s="71"/>
      <c r="J468" s="71"/>
      <c r="K468" s="35" t="s">
        <v>65</v>
      </c>
      <c r="L468" s="79">
        <v>468</v>
      </c>
      <c r="M468" s="79"/>
      <c r="N468" s="73"/>
      <c r="O468" s="81" t="s">
        <v>379</v>
      </c>
      <c r="P468">
        <v>1</v>
      </c>
      <c r="Q468" s="80" t="str">
        <f>REPLACE(INDEX(GroupVertices[Group],MATCH(Edges[[#This Row],[Vertex 1]],GroupVertices[Vertex],0)),1,1,"")</f>
        <v>1</v>
      </c>
      <c r="R468" s="80" t="str">
        <f>REPLACE(INDEX(GroupVertices[Group],MATCH(Edges[[#This Row],[Vertex 2]],GroupVertices[Vertex],0)),1,1,"")</f>
        <v>2</v>
      </c>
      <c r="S468" s="35"/>
      <c r="T468" s="35"/>
      <c r="U468" s="35"/>
      <c r="V468" s="35"/>
      <c r="W468" s="35"/>
      <c r="X468" s="35"/>
      <c r="Y468" s="35"/>
      <c r="Z468" s="35"/>
      <c r="AA468" s="35"/>
    </row>
    <row r="469" spans="1:27" ht="15">
      <c r="A469" s="65" t="s">
        <v>232</v>
      </c>
      <c r="B469" s="65" t="s">
        <v>209</v>
      </c>
      <c r="C469" s="66" t="s">
        <v>1612</v>
      </c>
      <c r="D469" s="67">
        <v>5</v>
      </c>
      <c r="E469" s="68"/>
      <c r="F469" s="69">
        <v>25</v>
      </c>
      <c r="G469" s="66"/>
      <c r="H469" s="70"/>
      <c r="I469" s="71"/>
      <c r="J469" s="71"/>
      <c r="K469" s="35" t="s">
        <v>65</v>
      </c>
      <c r="L469" s="79">
        <v>469</v>
      </c>
      <c r="M469" s="79"/>
      <c r="N469" s="73"/>
      <c r="O469" s="81" t="s">
        <v>379</v>
      </c>
      <c r="P469">
        <v>1</v>
      </c>
      <c r="Q469" s="80" t="str">
        <f>REPLACE(INDEX(GroupVertices[Group],MATCH(Edges[[#This Row],[Vertex 1]],GroupVertices[Vertex],0)),1,1,"")</f>
        <v>1</v>
      </c>
      <c r="R469" s="80" t="str">
        <f>REPLACE(INDEX(GroupVertices[Group],MATCH(Edges[[#This Row],[Vertex 2]],GroupVertices[Vertex],0)),1,1,"")</f>
        <v>2</v>
      </c>
      <c r="S469" s="35"/>
      <c r="T469" s="35"/>
      <c r="U469" s="35"/>
      <c r="V469" s="35"/>
      <c r="W469" s="35"/>
      <c r="X469" s="35"/>
      <c r="Y469" s="35"/>
      <c r="Z469" s="35"/>
      <c r="AA469" s="35"/>
    </row>
    <row r="470" spans="1:27" ht="15">
      <c r="A470" s="65" t="s">
        <v>223</v>
      </c>
      <c r="B470" s="65" t="s">
        <v>209</v>
      </c>
      <c r="C470" s="66" t="s">
        <v>1612</v>
      </c>
      <c r="D470" s="67">
        <v>5</v>
      </c>
      <c r="E470" s="68"/>
      <c r="F470" s="69">
        <v>25</v>
      </c>
      <c r="G470" s="66"/>
      <c r="H470" s="70"/>
      <c r="I470" s="71"/>
      <c r="J470" s="71"/>
      <c r="K470" s="35" t="s">
        <v>65</v>
      </c>
      <c r="L470" s="79">
        <v>470</v>
      </c>
      <c r="M470" s="79"/>
      <c r="N470" s="73"/>
      <c r="O470" s="81" t="s">
        <v>379</v>
      </c>
      <c r="P470">
        <v>1</v>
      </c>
      <c r="Q470" s="80" t="str">
        <f>REPLACE(INDEX(GroupVertices[Group],MATCH(Edges[[#This Row],[Vertex 1]],GroupVertices[Vertex],0)),1,1,"")</f>
        <v>1</v>
      </c>
      <c r="R470" s="80" t="str">
        <f>REPLACE(INDEX(GroupVertices[Group],MATCH(Edges[[#This Row],[Vertex 2]],GroupVertices[Vertex],0)),1,1,"")</f>
        <v>2</v>
      </c>
      <c r="S470" s="35"/>
      <c r="T470" s="35"/>
      <c r="U470" s="35"/>
      <c r="V470" s="35"/>
      <c r="W470" s="35"/>
      <c r="X470" s="35"/>
      <c r="Y470" s="35"/>
      <c r="Z470" s="35"/>
      <c r="AA470" s="35"/>
    </row>
    <row r="471" spans="1:27" ht="15">
      <c r="A471" s="65" t="s">
        <v>230</v>
      </c>
      <c r="B471" s="65" t="s">
        <v>209</v>
      </c>
      <c r="C471" s="66" t="s">
        <v>1612</v>
      </c>
      <c r="D471" s="67">
        <v>5</v>
      </c>
      <c r="E471" s="68"/>
      <c r="F471" s="69">
        <v>25</v>
      </c>
      <c r="G471" s="66"/>
      <c r="H471" s="70"/>
      <c r="I471" s="71"/>
      <c r="J471" s="71"/>
      <c r="K471" s="35" t="s">
        <v>65</v>
      </c>
      <c r="L471" s="79">
        <v>471</v>
      </c>
      <c r="M471" s="79"/>
      <c r="N471" s="73"/>
      <c r="O471" s="81" t="s">
        <v>379</v>
      </c>
      <c r="P471">
        <v>1</v>
      </c>
      <c r="Q471" s="80" t="str">
        <f>REPLACE(INDEX(GroupVertices[Group],MATCH(Edges[[#This Row],[Vertex 1]],GroupVertices[Vertex],0)),1,1,"")</f>
        <v>2</v>
      </c>
      <c r="R471" s="80" t="str">
        <f>REPLACE(INDEX(GroupVertices[Group],MATCH(Edges[[#This Row],[Vertex 2]],GroupVertices[Vertex],0)),1,1,"")</f>
        <v>2</v>
      </c>
      <c r="S471" s="35"/>
      <c r="T471" s="35"/>
      <c r="U471" s="35"/>
      <c r="V471" s="35"/>
      <c r="W471" s="35"/>
      <c r="X471" s="35"/>
      <c r="Y471" s="35"/>
      <c r="Z471" s="35"/>
      <c r="AA471" s="35"/>
    </row>
    <row r="472" spans="1:27" ht="15">
      <c r="A472" s="65" t="s">
        <v>232</v>
      </c>
      <c r="B472" s="65" t="s">
        <v>209</v>
      </c>
      <c r="C472" s="66" t="s">
        <v>1612</v>
      </c>
      <c r="D472" s="67">
        <v>5</v>
      </c>
      <c r="E472" s="68"/>
      <c r="F472" s="69">
        <v>25</v>
      </c>
      <c r="G472" s="66"/>
      <c r="H472" s="70"/>
      <c r="I472" s="71"/>
      <c r="J472" s="71"/>
      <c r="K472" s="35" t="s">
        <v>65</v>
      </c>
      <c r="L472" s="79">
        <v>472</v>
      </c>
      <c r="M472" s="79"/>
      <c r="N472" s="73"/>
      <c r="O472" s="81" t="s">
        <v>378</v>
      </c>
      <c r="P472">
        <v>1</v>
      </c>
      <c r="Q472" s="80" t="str">
        <f>REPLACE(INDEX(GroupVertices[Group],MATCH(Edges[[#This Row],[Vertex 1]],GroupVertices[Vertex],0)),1,1,"")</f>
        <v>1</v>
      </c>
      <c r="R472" s="80" t="str">
        <f>REPLACE(INDEX(GroupVertices[Group],MATCH(Edges[[#This Row],[Vertex 2]],GroupVertices[Vertex],0)),1,1,"")</f>
        <v>2</v>
      </c>
      <c r="S472" s="35"/>
      <c r="T472" s="35"/>
      <c r="U472" s="35"/>
      <c r="V472" s="35"/>
      <c r="W472" s="35"/>
      <c r="X472" s="35"/>
      <c r="Y472" s="35"/>
      <c r="Z472" s="35"/>
      <c r="AA472" s="35"/>
    </row>
    <row r="473" spans="1:27" ht="15">
      <c r="A473" s="65" t="s">
        <v>210</v>
      </c>
      <c r="B473" s="65" t="s">
        <v>216</v>
      </c>
      <c r="C473" s="66" t="s">
        <v>1612</v>
      </c>
      <c r="D473" s="67">
        <v>5</v>
      </c>
      <c r="E473" s="68"/>
      <c r="F473" s="69">
        <v>25</v>
      </c>
      <c r="G473" s="66"/>
      <c r="H473" s="70"/>
      <c r="I473" s="71"/>
      <c r="J473" s="71"/>
      <c r="K473" s="35" t="s">
        <v>66</v>
      </c>
      <c r="L473" s="79">
        <v>473</v>
      </c>
      <c r="M473" s="79"/>
      <c r="N473" s="73"/>
      <c r="O473" s="81" t="s">
        <v>377</v>
      </c>
      <c r="P473">
        <v>1</v>
      </c>
      <c r="Q473" s="80" t="str">
        <f>REPLACE(INDEX(GroupVertices[Group],MATCH(Edges[[#This Row],[Vertex 1]],GroupVertices[Vertex],0)),1,1,"")</f>
        <v>2</v>
      </c>
      <c r="R473" s="80" t="str">
        <f>REPLACE(INDEX(GroupVertices[Group],MATCH(Edges[[#This Row],[Vertex 2]],GroupVertices[Vertex],0)),1,1,"")</f>
        <v>2</v>
      </c>
      <c r="S473" s="35"/>
      <c r="T473" s="35"/>
      <c r="U473" s="35"/>
      <c r="V473" s="35"/>
      <c r="W473" s="35"/>
      <c r="X473" s="35"/>
      <c r="Y473" s="35"/>
      <c r="Z473" s="35"/>
      <c r="AA473" s="35"/>
    </row>
    <row r="474" spans="1:27" ht="15">
      <c r="A474" s="65" t="s">
        <v>210</v>
      </c>
      <c r="B474" s="65" t="s">
        <v>371</v>
      </c>
      <c r="C474" s="66" t="s">
        <v>1612</v>
      </c>
      <c r="D474" s="67">
        <v>5</v>
      </c>
      <c r="E474" s="68"/>
      <c r="F474" s="69">
        <v>25</v>
      </c>
      <c r="G474" s="66"/>
      <c r="H474" s="70"/>
      <c r="I474" s="71"/>
      <c r="J474" s="71"/>
      <c r="K474" s="35" t="s">
        <v>65</v>
      </c>
      <c r="L474" s="79">
        <v>474</v>
      </c>
      <c r="M474" s="79"/>
      <c r="N474" s="73"/>
      <c r="O474" s="81" t="s">
        <v>377</v>
      </c>
      <c r="P474">
        <v>1</v>
      </c>
      <c r="Q474" s="80" t="str">
        <f>REPLACE(INDEX(GroupVertices[Group],MATCH(Edges[[#This Row],[Vertex 1]],GroupVertices[Vertex],0)),1,1,"")</f>
        <v>2</v>
      </c>
      <c r="R474" s="80" t="str">
        <f>REPLACE(INDEX(GroupVertices[Group],MATCH(Edges[[#This Row],[Vertex 2]],GroupVertices[Vertex],0)),1,1,"")</f>
        <v>2</v>
      </c>
      <c r="S474" s="35"/>
      <c r="T474" s="35"/>
      <c r="U474" s="35"/>
      <c r="V474" s="35"/>
      <c r="W474" s="35"/>
      <c r="X474" s="35"/>
      <c r="Y474" s="35"/>
      <c r="Z474" s="35"/>
      <c r="AA474" s="35"/>
    </row>
    <row r="475" spans="1:27" ht="15">
      <c r="A475" s="65" t="s">
        <v>210</v>
      </c>
      <c r="B475" s="65" t="s">
        <v>220</v>
      </c>
      <c r="C475" s="66" t="s">
        <v>1612</v>
      </c>
      <c r="D475" s="67">
        <v>5</v>
      </c>
      <c r="E475" s="68"/>
      <c r="F475" s="69">
        <v>25</v>
      </c>
      <c r="G475" s="66"/>
      <c r="H475" s="70"/>
      <c r="I475" s="71"/>
      <c r="J475" s="71"/>
      <c r="K475" s="35" t="s">
        <v>66</v>
      </c>
      <c r="L475" s="79">
        <v>475</v>
      </c>
      <c r="M475" s="79"/>
      <c r="N475" s="73"/>
      <c r="O475" s="81" t="s">
        <v>377</v>
      </c>
      <c r="P475">
        <v>1</v>
      </c>
      <c r="Q475" s="80" t="str">
        <f>REPLACE(INDEX(GroupVertices[Group],MATCH(Edges[[#This Row],[Vertex 1]],GroupVertices[Vertex],0)),1,1,"")</f>
        <v>2</v>
      </c>
      <c r="R475" s="80" t="str">
        <f>REPLACE(INDEX(GroupVertices[Group],MATCH(Edges[[#This Row],[Vertex 2]],GroupVertices[Vertex],0)),1,1,"")</f>
        <v>2</v>
      </c>
      <c r="S475" s="35"/>
      <c r="T475" s="35"/>
      <c r="U475" s="35"/>
      <c r="V475" s="35"/>
      <c r="W475" s="35"/>
      <c r="X475" s="35"/>
      <c r="Y475" s="35"/>
      <c r="Z475" s="35"/>
      <c r="AA475" s="35"/>
    </row>
    <row r="476" spans="1:27" ht="15">
      <c r="A476" s="65" t="s">
        <v>232</v>
      </c>
      <c r="B476" s="65" t="s">
        <v>210</v>
      </c>
      <c r="C476" s="66" t="s">
        <v>1612</v>
      </c>
      <c r="D476" s="67">
        <v>5</v>
      </c>
      <c r="E476" s="68"/>
      <c r="F476" s="69">
        <v>25</v>
      </c>
      <c r="G476" s="66"/>
      <c r="H476" s="70"/>
      <c r="I476" s="71"/>
      <c r="J476" s="71"/>
      <c r="K476" s="35" t="s">
        <v>65</v>
      </c>
      <c r="L476" s="79">
        <v>476</v>
      </c>
      <c r="M476" s="79"/>
      <c r="N476" s="73"/>
      <c r="O476" s="81" t="s">
        <v>377</v>
      </c>
      <c r="P476">
        <v>1</v>
      </c>
      <c r="Q476" s="80" t="str">
        <f>REPLACE(INDEX(GroupVertices[Group],MATCH(Edges[[#This Row],[Vertex 1]],GroupVertices[Vertex],0)),1,1,"")</f>
        <v>1</v>
      </c>
      <c r="R476" s="80" t="str">
        <f>REPLACE(INDEX(GroupVertices[Group],MATCH(Edges[[#This Row],[Vertex 2]],GroupVertices[Vertex],0)),1,1,"")</f>
        <v>2</v>
      </c>
      <c r="S476" s="35"/>
      <c r="T476" s="35"/>
      <c r="U476" s="35"/>
      <c r="V476" s="35"/>
      <c r="W476" s="35"/>
      <c r="X476" s="35"/>
      <c r="Y476" s="35"/>
      <c r="Z476" s="35"/>
      <c r="AA476" s="35"/>
    </row>
    <row r="477" spans="1:27" ht="15">
      <c r="A477" s="65" t="s">
        <v>220</v>
      </c>
      <c r="B477" s="65" t="s">
        <v>210</v>
      </c>
      <c r="C477" s="66" t="s">
        <v>1612</v>
      </c>
      <c r="D477" s="67">
        <v>5</v>
      </c>
      <c r="E477" s="68"/>
      <c r="F477" s="69">
        <v>25</v>
      </c>
      <c r="G477" s="66"/>
      <c r="H477" s="70"/>
      <c r="I477" s="71"/>
      <c r="J477" s="71"/>
      <c r="K477" s="35" t="s">
        <v>66</v>
      </c>
      <c r="L477" s="79">
        <v>477</v>
      </c>
      <c r="M477" s="79"/>
      <c r="N477" s="73"/>
      <c r="O477" s="81" t="s">
        <v>377</v>
      </c>
      <c r="P477">
        <v>1</v>
      </c>
      <c r="Q477" s="80" t="str">
        <f>REPLACE(INDEX(GroupVertices[Group],MATCH(Edges[[#This Row],[Vertex 1]],GroupVertices[Vertex],0)),1,1,"")</f>
        <v>2</v>
      </c>
      <c r="R477" s="80" t="str">
        <f>REPLACE(INDEX(GroupVertices[Group],MATCH(Edges[[#This Row],[Vertex 2]],GroupVertices[Vertex],0)),1,1,"")</f>
        <v>2</v>
      </c>
      <c r="S477" s="35"/>
      <c r="T477" s="35"/>
      <c r="U477" s="35"/>
      <c r="V477" s="35"/>
      <c r="W477" s="35"/>
      <c r="X477" s="35"/>
      <c r="Y477" s="35"/>
      <c r="Z477" s="35"/>
      <c r="AA477" s="35"/>
    </row>
    <row r="478" spans="1:27" ht="15">
      <c r="A478" s="65" t="s">
        <v>213</v>
      </c>
      <c r="B478" s="65" t="s">
        <v>210</v>
      </c>
      <c r="C478" s="66" t="s">
        <v>1612</v>
      </c>
      <c r="D478" s="67">
        <v>5</v>
      </c>
      <c r="E478" s="68"/>
      <c r="F478" s="69">
        <v>25</v>
      </c>
      <c r="G478" s="66"/>
      <c r="H478" s="70"/>
      <c r="I478" s="71"/>
      <c r="J478" s="71"/>
      <c r="K478" s="35" t="s">
        <v>65</v>
      </c>
      <c r="L478" s="79">
        <v>478</v>
      </c>
      <c r="M478" s="79"/>
      <c r="N478" s="73"/>
      <c r="O478" s="81" t="s">
        <v>379</v>
      </c>
      <c r="P478">
        <v>1</v>
      </c>
      <c r="Q478" s="80" t="str">
        <f>REPLACE(INDEX(GroupVertices[Group],MATCH(Edges[[#This Row],[Vertex 1]],GroupVertices[Vertex],0)),1,1,"")</f>
        <v>2</v>
      </c>
      <c r="R478" s="80" t="str">
        <f>REPLACE(INDEX(GroupVertices[Group],MATCH(Edges[[#This Row],[Vertex 2]],GroupVertices[Vertex],0)),1,1,"")</f>
        <v>2</v>
      </c>
      <c r="S478" s="35"/>
      <c r="T478" s="35"/>
      <c r="U478" s="35"/>
      <c r="V478" s="35"/>
      <c r="W478" s="35"/>
      <c r="X478" s="35"/>
      <c r="Y478" s="35"/>
      <c r="Z478" s="35"/>
      <c r="AA478" s="35"/>
    </row>
    <row r="479" spans="1:27" ht="15">
      <c r="A479" s="65" t="s">
        <v>226</v>
      </c>
      <c r="B479" s="65" t="s">
        <v>210</v>
      </c>
      <c r="C479" s="66" t="s">
        <v>1612</v>
      </c>
      <c r="D479" s="67">
        <v>5</v>
      </c>
      <c r="E479" s="68"/>
      <c r="F479" s="69">
        <v>25</v>
      </c>
      <c r="G479" s="66"/>
      <c r="H479" s="70"/>
      <c r="I479" s="71"/>
      <c r="J479" s="71"/>
      <c r="K479" s="35" t="s">
        <v>65</v>
      </c>
      <c r="L479" s="79">
        <v>479</v>
      </c>
      <c r="M479" s="79"/>
      <c r="N479" s="73"/>
      <c r="O479" s="81" t="s">
        <v>379</v>
      </c>
      <c r="P479">
        <v>1</v>
      </c>
      <c r="Q479" s="80" t="str">
        <f>REPLACE(INDEX(GroupVertices[Group],MATCH(Edges[[#This Row],[Vertex 1]],GroupVertices[Vertex],0)),1,1,"")</f>
        <v>8</v>
      </c>
      <c r="R479" s="80" t="str">
        <f>REPLACE(INDEX(GroupVertices[Group],MATCH(Edges[[#This Row],[Vertex 2]],GroupVertices[Vertex],0)),1,1,"")</f>
        <v>2</v>
      </c>
      <c r="S479" s="35"/>
      <c r="T479" s="35"/>
      <c r="U479" s="35"/>
      <c r="V479" s="35"/>
      <c r="W479" s="35"/>
      <c r="X479" s="35"/>
      <c r="Y479" s="35"/>
      <c r="Z479" s="35"/>
      <c r="AA479" s="35"/>
    </row>
    <row r="480" spans="1:27" ht="15">
      <c r="A480" s="65" t="s">
        <v>216</v>
      </c>
      <c r="B480" s="65" t="s">
        <v>210</v>
      </c>
      <c r="C480" s="66" t="s">
        <v>1612</v>
      </c>
      <c r="D480" s="67">
        <v>5</v>
      </c>
      <c r="E480" s="68"/>
      <c r="F480" s="69">
        <v>25</v>
      </c>
      <c r="G480" s="66"/>
      <c r="H480" s="70"/>
      <c r="I480" s="71"/>
      <c r="J480" s="71"/>
      <c r="K480" s="35" t="s">
        <v>66</v>
      </c>
      <c r="L480" s="79">
        <v>480</v>
      </c>
      <c r="M480" s="79"/>
      <c r="N480" s="73"/>
      <c r="O480" s="81" t="s">
        <v>379</v>
      </c>
      <c r="P480">
        <v>1</v>
      </c>
      <c r="Q480" s="80" t="str">
        <f>REPLACE(INDEX(GroupVertices[Group],MATCH(Edges[[#This Row],[Vertex 1]],GroupVertices[Vertex],0)),1,1,"")</f>
        <v>2</v>
      </c>
      <c r="R480" s="80" t="str">
        <f>REPLACE(INDEX(GroupVertices[Group],MATCH(Edges[[#This Row],[Vertex 2]],GroupVertices[Vertex],0)),1,1,"")</f>
        <v>2</v>
      </c>
      <c r="S480" s="35"/>
      <c r="T480" s="35"/>
      <c r="U480" s="35"/>
      <c r="V480" s="35"/>
      <c r="W480" s="35"/>
      <c r="X480" s="35"/>
      <c r="Y480" s="35"/>
      <c r="Z480" s="35"/>
      <c r="AA480" s="35"/>
    </row>
    <row r="481" spans="1:27" ht="15">
      <c r="A481" s="65" t="s">
        <v>218</v>
      </c>
      <c r="B481" s="65" t="s">
        <v>210</v>
      </c>
      <c r="C481" s="66" t="s">
        <v>1612</v>
      </c>
      <c r="D481" s="67">
        <v>5</v>
      </c>
      <c r="E481" s="68"/>
      <c r="F481" s="69">
        <v>25</v>
      </c>
      <c r="G481" s="66"/>
      <c r="H481" s="70"/>
      <c r="I481" s="71"/>
      <c r="J481" s="71"/>
      <c r="K481" s="35" t="s">
        <v>65</v>
      </c>
      <c r="L481" s="79">
        <v>481</v>
      </c>
      <c r="M481" s="79"/>
      <c r="N481" s="73"/>
      <c r="O481" s="81" t="s">
        <v>379</v>
      </c>
      <c r="P481">
        <v>1</v>
      </c>
      <c r="Q481" s="80" t="str">
        <f>REPLACE(INDEX(GroupVertices[Group],MATCH(Edges[[#This Row],[Vertex 1]],GroupVertices[Vertex],0)),1,1,"")</f>
        <v>2</v>
      </c>
      <c r="R481" s="80" t="str">
        <f>REPLACE(INDEX(GroupVertices[Group],MATCH(Edges[[#This Row],[Vertex 2]],GroupVertices[Vertex],0)),1,1,"")</f>
        <v>2</v>
      </c>
      <c r="S481" s="35"/>
      <c r="T481" s="35"/>
      <c r="U481" s="35"/>
      <c r="V481" s="35"/>
      <c r="W481" s="35"/>
      <c r="X481" s="35"/>
      <c r="Y481" s="35"/>
      <c r="Z481" s="35"/>
      <c r="AA481" s="35"/>
    </row>
    <row r="482" spans="1:27" ht="15">
      <c r="A482" s="65" t="s">
        <v>231</v>
      </c>
      <c r="B482" s="65" t="s">
        <v>210</v>
      </c>
      <c r="C482" s="66" t="s">
        <v>1612</v>
      </c>
      <c r="D482" s="67">
        <v>5</v>
      </c>
      <c r="E482" s="68"/>
      <c r="F482" s="69">
        <v>25</v>
      </c>
      <c r="G482" s="66"/>
      <c r="H482" s="70"/>
      <c r="I482" s="71"/>
      <c r="J482" s="71"/>
      <c r="K482" s="35" t="s">
        <v>65</v>
      </c>
      <c r="L482" s="79">
        <v>482</v>
      </c>
      <c r="M482" s="79"/>
      <c r="N482" s="73"/>
      <c r="O482" s="81" t="s">
        <v>379</v>
      </c>
      <c r="P482">
        <v>1</v>
      </c>
      <c r="Q482" s="80" t="str">
        <f>REPLACE(INDEX(GroupVertices[Group],MATCH(Edges[[#This Row],[Vertex 1]],GroupVertices[Vertex],0)),1,1,"")</f>
        <v>1</v>
      </c>
      <c r="R482" s="80" t="str">
        <f>REPLACE(INDEX(GroupVertices[Group],MATCH(Edges[[#This Row],[Vertex 2]],GroupVertices[Vertex],0)),1,1,"")</f>
        <v>2</v>
      </c>
      <c r="S482" s="35"/>
      <c r="T482" s="35"/>
      <c r="U482" s="35"/>
      <c r="V482" s="35"/>
      <c r="W482" s="35"/>
      <c r="X482" s="35"/>
      <c r="Y482" s="35"/>
      <c r="Z482" s="35"/>
      <c r="AA482" s="35"/>
    </row>
    <row r="483" spans="1:27" ht="15">
      <c r="A483" s="65" t="s">
        <v>220</v>
      </c>
      <c r="B483" s="65" t="s">
        <v>210</v>
      </c>
      <c r="C483" s="66" t="s">
        <v>1612</v>
      </c>
      <c r="D483" s="67">
        <v>5</v>
      </c>
      <c r="E483" s="68"/>
      <c r="F483" s="69">
        <v>25</v>
      </c>
      <c r="G483" s="66"/>
      <c r="H483" s="70"/>
      <c r="I483" s="71"/>
      <c r="J483" s="71"/>
      <c r="K483" s="35" t="s">
        <v>66</v>
      </c>
      <c r="L483" s="79">
        <v>483</v>
      </c>
      <c r="M483" s="79"/>
      <c r="N483" s="73"/>
      <c r="O483" s="81" t="s">
        <v>379</v>
      </c>
      <c r="P483">
        <v>1</v>
      </c>
      <c r="Q483" s="80" t="str">
        <f>REPLACE(INDEX(GroupVertices[Group],MATCH(Edges[[#This Row],[Vertex 1]],GroupVertices[Vertex],0)),1,1,"")</f>
        <v>2</v>
      </c>
      <c r="R483" s="80" t="str">
        <f>REPLACE(INDEX(GroupVertices[Group],MATCH(Edges[[#This Row],[Vertex 2]],GroupVertices[Vertex],0)),1,1,"")</f>
        <v>2</v>
      </c>
      <c r="S483" s="35"/>
      <c r="T483" s="35"/>
      <c r="U483" s="35"/>
      <c r="V483" s="35"/>
      <c r="W483" s="35"/>
      <c r="X483" s="35"/>
      <c r="Y483" s="35"/>
      <c r="Z483" s="35"/>
      <c r="AA483" s="35"/>
    </row>
    <row r="484" spans="1:27" ht="15">
      <c r="A484" s="65" t="s">
        <v>229</v>
      </c>
      <c r="B484" s="65" t="s">
        <v>210</v>
      </c>
      <c r="C484" s="66" t="s">
        <v>1612</v>
      </c>
      <c r="D484" s="67">
        <v>5</v>
      </c>
      <c r="E484" s="68"/>
      <c r="F484" s="69">
        <v>25</v>
      </c>
      <c r="G484" s="66"/>
      <c r="H484" s="70"/>
      <c r="I484" s="71"/>
      <c r="J484" s="71"/>
      <c r="K484" s="35" t="s">
        <v>65</v>
      </c>
      <c r="L484" s="79">
        <v>484</v>
      </c>
      <c r="M484" s="79"/>
      <c r="N484" s="73"/>
      <c r="O484" s="81" t="s">
        <v>379</v>
      </c>
      <c r="P484">
        <v>1</v>
      </c>
      <c r="Q484" s="80" t="str">
        <f>REPLACE(INDEX(GroupVertices[Group],MATCH(Edges[[#This Row],[Vertex 1]],GroupVertices[Vertex],0)),1,1,"")</f>
        <v>1</v>
      </c>
      <c r="R484" s="80" t="str">
        <f>REPLACE(INDEX(GroupVertices[Group],MATCH(Edges[[#This Row],[Vertex 2]],GroupVertices[Vertex],0)),1,1,"")</f>
        <v>2</v>
      </c>
      <c r="S484" s="35"/>
      <c r="T484" s="35"/>
      <c r="U484" s="35"/>
      <c r="V484" s="35"/>
      <c r="W484" s="35"/>
      <c r="X484" s="35"/>
      <c r="Y484" s="35"/>
      <c r="Z484" s="35"/>
      <c r="AA484" s="35"/>
    </row>
    <row r="485" spans="1:27" ht="15">
      <c r="A485" s="65" t="s">
        <v>230</v>
      </c>
      <c r="B485" s="65" t="s">
        <v>210</v>
      </c>
      <c r="C485" s="66" t="s">
        <v>1612</v>
      </c>
      <c r="D485" s="67">
        <v>5</v>
      </c>
      <c r="E485" s="68"/>
      <c r="F485" s="69">
        <v>25</v>
      </c>
      <c r="G485" s="66"/>
      <c r="H485" s="70"/>
      <c r="I485" s="71"/>
      <c r="J485" s="71"/>
      <c r="K485" s="35" t="s">
        <v>65</v>
      </c>
      <c r="L485" s="79">
        <v>485</v>
      </c>
      <c r="M485" s="79"/>
      <c r="N485" s="73"/>
      <c r="O485" s="81" t="s">
        <v>379</v>
      </c>
      <c r="P485">
        <v>1</v>
      </c>
      <c r="Q485" s="80" t="str">
        <f>REPLACE(INDEX(GroupVertices[Group],MATCH(Edges[[#This Row],[Vertex 1]],GroupVertices[Vertex],0)),1,1,"")</f>
        <v>2</v>
      </c>
      <c r="R485" s="80" t="str">
        <f>REPLACE(INDEX(GroupVertices[Group],MATCH(Edges[[#This Row],[Vertex 2]],GroupVertices[Vertex],0)),1,1,"")</f>
        <v>2</v>
      </c>
      <c r="S485" s="35"/>
      <c r="T485" s="35"/>
      <c r="U485" s="35"/>
      <c r="V485" s="35"/>
      <c r="W485" s="35"/>
      <c r="X485" s="35"/>
      <c r="Y485" s="35"/>
      <c r="Z485" s="35"/>
      <c r="AA485" s="35"/>
    </row>
    <row r="486" spans="1:27" ht="15">
      <c r="A486" s="65" t="s">
        <v>232</v>
      </c>
      <c r="B486" s="65" t="s">
        <v>210</v>
      </c>
      <c r="C486" s="66" t="s">
        <v>1612</v>
      </c>
      <c r="D486" s="67">
        <v>5</v>
      </c>
      <c r="E486" s="68"/>
      <c r="F486" s="69">
        <v>25</v>
      </c>
      <c r="G486" s="66"/>
      <c r="H486" s="70"/>
      <c r="I486" s="71"/>
      <c r="J486" s="71"/>
      <c r="K486" s="35" t="s">
        <v>65</v>
      </c>
      <c r="L486" s="79">
        <v>486</v>
      </c>
      <c r="M486" s="79"/>
      <c r="N486" s="73"/>
      <c r="O486" s="81" t="s">
        <v>378</v>
      </c>
      <c r="P486">
        <v>1</v>
      </c>
      <c r="Q486" s="80" t="str">
        <f>REPLACE(INDEX(GroupVertices[Group],MATCH(Edges[[#This Row],[Vertex 1]],GroupVertices[Vertex],0)),1,1,"")</f>
        <v>1</v>
      </c>
      <c r="R486" s="80" t="str">
        <f>REPLACE(INDEX(GroupVertices[Group],MATCH(Edges[[#This Row],[Vertex 2]],GroupVertices[Vertex],0)),1,1,"")</f>
        <v>2</v>
      </c>
      <c r="S486" s="35"/>
      <c r="T486" s="35"/>
      <c r="U486" s="35"/>
      <c r="V486" s="35"/>
      <c r="W486" s="35"/>
      <c r="X486" s="35"/>
      <c r="Y486" s="35"/>
      <c r="Z486" s="35"/>
      <c r="AA486" s="35"/>
    </row>
    <row r="487" spans="1:27" ht="15">
      <c r="A487" s="65" t="s">
        <v>232</v>
      </c>
      <c r="B487" s="65" t="s">
        <v>211</v>
      </c>
      <c r="C487" s="66" t="s">
        <v>1612</v>
      </c>
      <c r="D487" s="67">
        <v>5</v>
      </c>
      <c r="E487" s="68"/>
      <c r="F487" s="69">
        <v>25</v>
      </c>
      <c r="G487" s="66"/>
      <c r="H487" s="70"/>
      <c r="I487" s="71"/>
      <c r="J487" s="71"/>
      <c r="K487" s="35" t="s">
        <v>65</v>
      </c>
      <c r="L487" s="79">
        <v>487</v>
      </c>
      <c r="M487" s="79"/>
      <c r="N487" s="73"/>
      <c r="O487" s="81" t="s">
        <v>377</v>
      </c>
      <c r="P487">
        <v>1</v>
      </c>
      <c r="Q487" s="80" t="str">
        <f>REPLACE(INDEX(GroupVertices[Group],MATCH(Edges[[#This Row],[Vertex 1]],GroupVertices[Vertex],0)),1,1,"")</f>
        <v>1</v>
      </c>
      <c r="R487" s="80" t="str">
        <f>REPLACE(INDEX(GroupVertices[Group],MATCH(Edges[[#This Row],[Vertex 2]],GroupVertices[Vertex],0)),1,1,"")</f>
        <v>7</v>
      </c>
      <c r="S487" s="35"/>
      <c r="T487" s="35"/>
      <c r="U487" s="35"/>
      <c r="V487" s="35"/>
      <c r="W487" s="35"/>
      <c r="X487" s="35"/>
      <c r="Y487" s="35"/>
      <c r="Z487" s="35"/>
      <c r="AA487" s="35"/>
    </row>
    <row r="488" spans="1:27" ht="15">
      <c r="A488" s="65" t="s">
        <v>232</v>
      </c>
      <c r="B488" s="65" t="s">
        <v>211</v>
      </c>
      <c r="C488" s="66" t="s">
        <v>1612</v>
      </c>
      <c r="D488" s="67">
        <v>5</v>
      </c>
      <c r="E488" s="68"/>
      <c r="F488" s="69">
        <v>25</v>
      </c>
      <c r="G488" s="66"/>
      <c r="H488" s="70"/>
      <c r="I488" s="71"/>
      <c r="J488" s="71"/>
      <c r="K488" s="35" t="s">
        <v>65</v>
      </c>
      <c r="L488" s="79">
        <v>488</v>
      </c>
      <c r="M488" s="79"/>
      <c r="N488" s="73"/>
      <c r="O488" s="81" t="s">
        <v>378</v>
      </c>
      <c r="P488">
        <v>1</v>
      </c>
      <c r="Q488" s="80" t="str">
        <f>REPLACE(INDEX(GroupVertices[Group],MATCH(Edges[[#This Row],[Vertex 1]],GroupVertices[Vertex],0)),1,1,"")</f>
        <v>1</v>
      </c>
      <c r="R488" s="80" t="str">
        <f>REPLACE(INDEX(GroupVertices[Group],MATCH(Edges[[#This Row],[Vertex 2]],GroupVertices[Vertex],0)),1,1,"")</f>
        <v>7</v>
      </c>
      <c r="S488" s="35"/>
      <c r="T488" s="35"/>
      <c r="U488" s="35"/>
      <c r="V488" s="35"/>
      <c r="W488" s="35"/>
      <c r="X488" s="35"/>
      <c r="Y488" s="35"/>
      <c r="Z488" s="35"/>
      <c r="AA488" s="35"/>
    </row>
    <row r="489" spans="1:27" ht="15">
      <c r="A489" s="65" t="s">
        <v>229</v>
      </c>
      <c r="B489" s="65" t="s">
        <v>371</v>
      </c>
      <c r="C489" s="66" t="s">
        <v>1612</v>
      </c>
      <c r="D489" s="67">
        <v>5</v>
      </c>
      <c r="E489" s="68"/>
      <c r="F489" s="69">
        <v>25</v>
      </c>
      <c r="G489" s="66"/>
      <c r="H489" s="70"/>
      <c r="I489" s="71"/>
      <c r="J489" s="71"/>
      <c r="K489" s="35" t="s">
        <v>65</v>
      </c>
      <c r="L489" s="79">
        <v>489</v>
      </c>
      <c r="M489" s="79"/>
      <c r="N489" s="73"/>
      <c r="O489" s="81" t="s">
        <v>377</v>
      </c>
      <c r="P489">
        <v>1</v>
      </c>
      <c r="Q489" s="80" t="str">
        <f>REPLACE(INDEX(GroupVertices[Group],MATCH(Edges[[#This Row],[Vertex 1]],GroupVertices[Vertex],0)),1,1,"")</f>
        <v>1</v>
      </c>
      <c r="R489" s="80" t="str">
        <f>REPLACE(INDEX(GroupVertices[Group],MATCH(Edges[[#This Row],[Vertex 2]],GroupVertices[Vertex],0)),1,1,"")</f>
        <v>2</v>
      </c>
      <c r="S489" s="35"/>
      <c r="T489" s="35"/>
      <c r="U489" s="35"/>
      <c r="V489" s="35"/>
      <c r="W489" s="35"/>
      <c r="X489" s="35"/>
      <c r="Y489" s="35"/>
      <c r="Z489" s="35"/>
      <c r="AA489" s="35"/>
    </row>
    <row r="490" spans="1:27" ht="15">
      <c r="A490" s="65" t="s">
        <v>229</v>
      </c>
      <c r="B490" s="65" t="s">
        <v>371</v>
      </c>
      <c r="C490" s="66" t="s">
        <v>1612</v>
      </c>
      <c r="D490" s="67">
        <v>5</v>
      </c>
      <c r="E490" s="68"/>
      <c r="F490" s="69">
        <v>25</v>
      </c>
      <c r="G490" s="66"/>
      <c r="H490" s="70"/>
      <c r="I490" s="71"/>
      <c r="J490" s="71"/>
      <c r="K490" s="35" t="s">
        <v>65</v>
      </c>
      <c r="L490" s="79">
        <v>490</v>
      </c>
      <c r="M490" s="79"/>
      <c r="N490" s="73"/>
      <c r="O490" s="81" t="s">
        <v>378</v>
      </c>
      <c r="P490">
        <v>1</v>
      </c>
      <c r="Q490" s="80" t="str">
        <f>REPLACE(INDEX(GroupVertices[Group],MATCH(Edges[[#This Row],[Vertex 1]],GroupVertices[Vertex],0)),1,1,"")</f>
        <v>1</v>
      </c>
      <c r="R490" s="80" t="str">
        <f>REPLACE(INDEX(GroupVertices[Group],MATCH(Edges[[#This Row],[Vertex 2]],GroupVertices[Vertex],0)),1,1,"")</f>
        <v>2</v>
      </c>
      <c r="S490" s="35"/>
      <c r="T490" s="35"/>
      <c r="U490" s="35"/>
      <c r="V490" s="35"/>
      <c r="W490" s="35"/>
      <c r="X490" s="35"/>
      <c r="Y490" s="35"/>
      <c r="Z490" s="35"/>
      <c r="AA490" s="35"/>
    </row>
    <row r="491" spans="1:27" ht="15">
      <c r="A491" s="65" t="s">
        <v>229</v>
      </c>
      <c r="B491" s="65" t="s">
        <v>372</v>
      </c>
      <c r="C491" s="66" t="s">
        <v>1612</v>
      </c>
      <c r="D491" s="67">
        <v>5</v>
      </c>
      <c r="E491" s="68"/>
      <c r="F491" s="69">
        <v>25</v>
      </c>
      <c r="G491" s="66"/>
      <c r="H491" s="70"/>
      <c r="I491" s="71"/>
      <c r="J491" s="71"/>
      <c r="K491" s="35" t="s">
        <v>65</v>
      </c>
      <c r="L491" s="79">
        <v>491</v>
      </c>
      <c r="M491" s="79"/>
      <c r="N491" s="73"/>
      <c r="O491" s="81" t="s">
        <v>377</v>
      </c>
      <c r="P491">
        <v>1</v>
      </c>
      <c r="Q491" s="80" t="str">
        <f>REPLACE(INDEX(GroupVertices[Group],MATCH(Edges[[#This Row],[Vertex 1]],GroupVertices[Vertex],0)),1,1,"")</f>
        <v>1</v>
      </c>
      <c r="R491" s="80" t="str">
        <f>REPLACE(INDEX(GroupVertices[Group],MATCH(Edges[[#This Row],[Vertex 2]],GroupVertices[Vertex],0)),1,1,"")</f>
        <v>1</v>
      </c>
      <c r="S491" s="35"/>
      <c r="T491" s="35"/>
      <c r="U491" s="35"/>
      <c r="V491" s="35"/>
      <c r="W491" s="35"/>
      <c r="X491" s="35"/>
      <c r="Y491" s="35"/>
      <c r="Z491" s="35"/>
      <c r="AA491" s="35"/>
    </row>
    <row r="492" spans="1:27" ht="15">
      <c r="A492" s="65" t="s">
        <v>229</v>
      </c>
      <c r="B492" s="65" t="s">
        <v>372</v>
      </c>
      <c r="C492" s="66" t="s">
        <v>1612</v>
      </c>
      <c r="D492" s="67">
        <v>5</v>
      </c>
      <c r="E492" s="68"/>
      <c r="F492" s="69">
        <v>25</v>
      </c>
      <c r="G492" s="66"/>
      <c r="H492" s="70"/>
      <c r="I492" s="71"/>
      <c r="J492" s="71"/>
      <c r="K492" s="35" t="s">
        <v>65</v>
      </c>
      <c r="L492" s="79">
        <v>492</v>
      </c>
      <c r="M492" s="79"/>
      <c r="N492" s="73"/>
      <c r="O492" s="81" t="s">
        <v>378</v>
      </c>
      <c r="P492">
        <v>1</v>
      </c>
      <c r="Q492" s="80" t="str">
        <f>REPLACE(INDEX(GroupVertices[Group],MATCH(Edges[[#This Row],[Vertex 1]],GroupVertices[Vertex],0)),1,1,"")</f>
        <v>1</v>
      </c>
      <c r="R492" s="80" t="str">
        <f>REPLACE(INDEX(GroupVertices[Group],MATCH(Edges[[#This Row],[Vertex 2]],GroupVertices[Vertex],0)),1,1,"")</f>
        <v>1</v>
      </c>
      <c r="S492" s="35"/>
      <c r="T492" s="35"/>
      <c r="U492" s="35"/>
      <c r="V492" s="35"/>
      <c r="W492" s="35"/>
      <c r="X492" s="35"/>
      <c r="Y492" s="35"/>
      <c r="Z492" s="35"/>
      <c r="AA492" s="35"/>
    </row>
    <row r="493" spans="1:27" ht="15">
      <c r="A493" s="65" t="s">
        <v>212</v>
      </c>
      <c r="B493" s="65" t="s">
        <v>221</v>
      </c>
      <c r="C493" s="66" t="s">
        <v>1612</v>
      </c>
      <c r="D493" s="67">
        <v>5</v>
      </c>
      <c r="E493" s="68"/>
      <c r="F493" s="69">
        <v>25</v>
      </c>
      <c r="G493" s="66"/>
      <c r="H493" s="70"/>
      <c r="I493" s="71"/>
      <c r="J493" s="71"/>
      <c r="K493" s="35" t="s">
        <v>66</v>
      </c>
      <c r="L493" s="79">
        <v>493</v>
      </c>
      <c r="M493" s="79"/>
      <c r="N493" s="73"/>
      <c r="O493" s="81" t="s">
        <v>377</v>
      </c>
      <c r="P493">
        <v>1</v>
      </c>
      <c r="Q493" s="80" t="str">
        <f>REPLACE(INDEX(GroupVertices[Group],MATCH(Edges[[#This Row],[Vertex 1]],GroupVertices[Vertex],0)),1,1,"")</f>
        <v>1</v>
      </c>
      <c r="R493" s="80" t="str">
        <f>REPLACE(INDEX(GroupVertices[Group],MATCH(Edges[[#This Row],[Vertex 2]],GroupVertices[Vertex],0)),1,1,"")</f>
        <v>1</v>
      </c>
      <c r="S493" s="35"/>
      <c r="T493" s="35"/>
      <c r="U493" s="35"/>
      <c r="V493" s="35"/>
      <c r="W493" s="35"/>
      <c r="X493" s="35"/>
      <c r="Y493" s="35"/>
      <c r="Z493" s="35"/>
      <c r="AA493" s="35"/>
    </row>
    <row r="494" spans="1:27" ht="15">
      <c r="A494" s="65" t="s">
        <v>212</v>
      </c>
      <c r="B494" s="65" t="s">
        <v>230</v>
      </c>
      <c r="C494" s="66" t="s">
        <v>1612</v>
      </c>
      <c r="D494" s="67">
        <v>5</v>
      </c>
      <c r="E494" s="68"/>
      <c r="F494" s="69">
        <v>25</v>
      </c>
      <c r="G494" s="66"/>
      <c r="H494" s="70"/>
      <c r="I494" s="71"/>
      <c r="J494" s="71"/>
      <c r="K494" s="35" t="s">
        <v>66</v>
      </c>
      <c r="L494" s="79">
        <v>494</v>
      </c>
      <c r="M494" s="79"/>
      <c r="N494" s="73"/>
      <c r="O494" s="81" t="s">
        <v>377</v>
      </c>
      <c r="P494">
        <v>1</v>
      </c>
      <c r="Q494" s="80" t="str">
        <f>REPLACE(INDEX(GroupVertices[Group],MATCH(Edges[[#This Row],[Vertex 1]],GroupVertices[Vertex],0)),1,1,"")</f>
        <v>1</v>
      </c>
      <c r="R494" s="80" t="str">
        <f>REPLACE(INDEX(GroupVertices[Group],MATCH(Edges[[#This Row],[Vertex 2]],GroupVertices[Vertex],0)),1,1,"")</f>
        <v>2</v>
      </c>
      <c r="S494" s="35"/>
      <c r="T494" s="35"/>
      <c r="U494" s="35"/>
      <c r="V494" s="35"/>
      <c r="W494" s="35"/>
      <c r="X494" s="35"/>
      <c r="Y494" s="35"/>
      <c r="Z494" s="35"/>
      <c r="AA494" s="35"/>
    </row>
    <row r="495" spans="1:27" ht="15">
      <c r="A495" s="65" t="s">
        <v>212</v>
      </c>
      <c r="B495" s="65" t="s">
        <v>229</v>
      </c>
      <c r="C495" s="66" t="s">
        <v>1612</v>
      </c>
      <c r="D495" s="67">
        <v>5</v>
      </c>
      <c r="E495" s="68"/>
      <c r="F495" s="69">
        <v>25</v>
      </c>
      <c r="G495" s="66"/>
      <c r="H495" s="70"/>
      <c r="I495" s="71"/>
      <c r="J495" s="71"/>
      <c r="K495" s="35" t="s">
        <v>66</v>
      </c>
      <c r="L495" s="79">
        <v>495</v>
      </c>
      <c r="M495" s="79"/>
      <c r="N495" s="73"/>
      <c r="O495" s="81" t="s">
        <v>377</v>
      </c>
      <c r="P495">
        <v>1</v>
      </c>
      <c r="Q495" s="80" t="str">
        <f>REPLACE(INDEX(GroupVertices[Group],MATCH(Edges[[#This Row],[Vertex 1]],GroupVertices[Vertex],0)),1,1,"")</f>
        <v>1</v>
      </c>
      <c r="R495" s="80" t="str">
        <f>REPLACE(INDEX(GroupVertices[Group],MATCH(Edges[[#This Row],[Vertex 2]],GroupVertices[Vertex],0)),1,1,"")</f>
        <v>1</v>
      </c>
      <c r="S495" s="35"/>
      <c r="T495" s="35"/>
      <c r="U495" s="35"/>
      <c r="V495" s="35"/>
      <c r="W495" s="35"/>
      <c r="X495" s="35"/>
      <c r="Y495" s="35"/>
      <c r="Z495" s="35"/>
      <c r="AA495" s="35"/>
    </row>
    <row r="496" spans="1:27" ht="15">
      <c r="A496" s="65" t="s">
        <v>227</v>
      </c>
      <c r="B496" s="65" t="s">
        <v>212</v>
      </c>
      <c r="C496" s="66" t="s">
        <v>1612</v>
      </c>
      <c r="D496" s="67">
        <v>5</v>
      </c>
      <c r="E496" s="68"/>
      <c r="F496" s="69">
        <v>25</v>
      </c>
      <c r="G496" s="66"/>
      <c r="H496" s="70"/>
      <c r="I496" s="71"/>
      <c r="J496" s="71"/>
      <c r="K496" s="35" t="s">
        <v>65</v>
      </c>
      <c r="L496" s="79">
        <v>496</v>
      </c>
      <c r="M496" s="79"/>
      <c r="N496" s="73"/>
      <c r="O496" s="81" t="s">
        <v>377</v>
      </c>
      <c r="P496">
        <v>1</v>
      </c>
      <c r="Q496" s="80" t="str">
        <f>REPLACE(INDEX(GroupVertices[Group],MATCH(Edges[[#This Row],[Vertex 1]],GroupVertices[Vertex],0)),1,1,"")</f>
        <v>1</v>
      </c>
      <c r="R496" s="80" t="str">
        <f>REPLACE(INDEX(GroupVertices[Group],MATCH(Edges[[#This Row],[Vertex 2]],GroupVertices[Vertex],0)),1,1,"")</f>
        <v>1</v>
      </c>
      <c r="S496" s="35"/>
      <c r="T496" s="35"/>
      <c r="U496" s="35"/>
      <c r="V496" s="35"/>
      <c r="W496" s="35"/>
      <c r="X496" s="35"/>
      <c r="Y496" s="35"/>
      <c r="Z496" s="35"/>
      <c r="AA496" s="35"/>
    </row>
    <row r="497" spans="1:27" ht="15">
      <c r="A497" s="65" t="s">
        <v>229</v>
      </c>
      <c r="B497" s="65" t="s">
        <v>212</v>
      </c>
      <c r="C497" s="66" t="s">
        <v>1612</v>
      </c>
      <c r="D497" s="67">
        <v>5</v>
      </c>
      <c r="E497" s="68"/>
      <c r="F497" s="69">
        <v>25</v>
      </c>
      <c r="G497" s="66"/>
      <c r="H497" s="70"/>
      <c r="I497" s="71"/>
      <c r="J497" s="71"/>
      <c r="K497" s="35" t="s">
        <v>66</v>
      </c>
      <c r="L497" s="79">
        <v>497</v>
      </c>
      <c r="M497" s="79"/>
      <c r="N497" s="73"/>
      <c r="O497" s="81" t="s">
        <v>377</v>
      </c>
      <c r="P497">
        <v>1</v>
      </c>
      <c r="Q497" s="80" t="str">
        <f>REPLACE(INDEX(GroupVertices[Group],MATCH(Edges[[#This Row],[Vertex 1]],GroupVertices[Vertex],0)),1,1,"")</f>
        <v>1</v>
      </c>
      <c r="R497" s="80" t="str">
        <f>REPLACE(INDEX(GroupVertices[Group],MATCH(Edges[[#This Row],[Vertex 2]],GroupVertices[Vertex],0)),1,1,"")</f>
        <v>1</v>
      </c>
      <c r="S497" s="35"/>
      <c r="T497" s="35"/>
      <c r="U497" s="35"/>
      <c r="V497" s="35"/>
      <c r="W497" s="35"/>
      <c r="X497" s="35"/>
      <c r="Y497" s="35"/>
      <c r="Z497" s="35"/>
      <c r="AA497" s="35"/>
    </row>
    <row r="498" spans="1:27" ht="15">
      <c r="A498" s="65" t="s">
        <v>226</v>
      </c>
      <c r="B498" s="65" t="s">
        <v>212</v>
      </c>
      <c r="C498" s="66" t="s">
        <v>1612</v>
      </c>
      <c r="D498" s="67">
        <v>5</v>
      </c>
      <c r="E498" s="68"/>
      <c r="F498" s="69">
        <v>25</v>
      </c>
      <c r="G498" s="66"/>
      <c r="H498" s="70"/>
      <c r="I498" s="71"/>
      <c r="J498" s="71"/>
      <c r="K498" s="35" t="s">
        <v>65</v>
      </c>
      <c r="L498" s="79">
        <v>498</v>
      </c>
      <c r="M498" s="79"/>
      <c r="N498" s="73"/>
      <c r="O498" s="81" t="s">
        <v>379</v>
      </c>
      <c r="P498">
        <v>1</v>
      </c>
      <c r="Q498" s="80" t="str">
        <f>REPLACE(INDEX(GroupVertices[Group],MATCH(Edges[[#This Row],[Vertex 1]],GroupVertices[Vertex],0)),1,1,"")</f>
        <v>8</v>
      </c>
      <c r="R498" s="80" t="str">
        <f>REPLACE(INDEX(GroupVertices[Group],MATCH(Edges[[#This Row],[Vertex 2]],GroupVertices[Vertex],0)),1,1,"")</f>
        <v>1</v>
      </c>
      <c r="S498" s="35"/>
      <c r="T498" s="35"/>
      <c r="U498" s="35"/>
      <c r="V498" s="35"/>
      <c r="W498" s="35"/>
      <c r="X498" s="35"/>
      <c r="Y498" s="35"/>
      <c r="Z498" s="35"/>
      <c r="AA498" s="35"/>
    </row>
    <row r="499" spans="1:27" ht="15">
      <c r="A499" s="65" t="s">
        <v>214</v>
      </c>
      <c r="B499" s="65" t="s">
        <v>212</v>
      </c>
      <c r="C499" s="66" t="s">
        <v>1612</v>
      </c>
      <c r="D499" s="67">
        <v>5</v>
      </c>
      <c r="E499" s="68"/>
      <c r="F499" s="69">
        <v>25</v>
      </c>
      <c r="G499" s="66"/>
      <c r="H499" s="70"/>
      <c r="I499" s="71"/>
      <c r="J499" s="71"/>
      <c r="K499" s="35" t="s">
        <v>65</v>
      </c>
      <c r="L499" s="79">
        <v>499</v>
      </c>
      <c r="M499" s="79"/>
      <c r="N499" s="73"/>
      <c r="O499" s="81" t="s">
        <v>379</v>
      </c>
      <c r="P499">
        <v>1</v>
      </c>
      <c r="Q499" s="80" t="str">
        <f>REPLACE(INDEX(GroupVertices[Group],MATCH(Edges[[#This Row],[Vertex 1]],GroupVertices[Vertex],0)),1,1,"")</f>
        <v>1</v>
      </c>
      <c r="R499" s="80" t="str">
        <f>REPLACE(INDEX(GroupVertices[Group],MATCH(Edges[[#This Row],[Vertex 2]],GroupVertices[Vertex],0)),1,1,"")</f>
        <v>1</v>
      </c>
      <c r="S499" s="35"/>
      <c r="T499" s="35"/>
      <c r="U499" s="35"/>
      <c r="V499" s="35"/>
      <c r="W499" s="35"/>
      <c r="X499" s="35"/>
      <c r="Y499" s="35"/>
      <c r="Z499" s="35"/>
      <c r="AA499" s="35"/>
    </row>
    <row r="500" spans="1:27" ht="15">
      <c r="A500" s="65" t="s">
        <v>227</v>
      </c>
      <c r="B500" s="65" t="s">
        <v>212</v>
      </c>
      <c r="C500" s="66" t="s">
        <v>1612</v>
      </c>
      <c r="D500" s="67">
        <v>5</v>
      </c>
      <c r="E500" s="68"/>
      <c r="F500" s="69">
        <v>25</v>
      </c>
      <c r="G500" s="66"/>
      <c r="H500" s="70"/>
      <c r="I500" s="71"/>
      <c r="J500" s="71"/>
      <c r="K500" s="35" t="s">
        <v>65</v>
      </c>
      <c r="L500" s="79">
        <v>500</v>
      </c>
      <c r="M500" s="79"/>
      <c r="N500" s="73"/>
      <c r="O500" s="81" t="s">
        <v>379</v>
      </c>
      <c r="P500">
        <v>1</v>
      </c>
      <c r="Q500" s="80" t="str">
        <f>REPLACE(INDEX(GroupVertices[Group],MATCH(Edges[[#This Row],[Vertex 1]],GroupVertices[Vertex],0)),1,1,"")</f>
        <v>1</v>
      </c>
      <c r="R500" s="80" t="str">
        <f>REPLACE(INDEX(GroupVertices[Group],MATCH(Edges[[#This Row],[Vertex 2]],GroupVertices[Vertex],0)),1,1,"")</f>
        <v>1</v>
      </c>
      <c r="S500" s="35"/>
      <c r="T500" s="35"/>
      <c r="U500" s="35"/>
      <c r="V500" s="35"/>
      <c r="W500" s="35"/>
      <c r="X500" s="35"/>
      <c r="Y500" s="35"/>
      <c r="Z500" s="35"/>
      <c r="AA500" s="35"/>
    </row>
    <row r="501" spans="1:27" ht="15">
      <c r="A501" s="65" t="s">
        <v>215</v>
      </c>
      <c r="B501" s="65" t="s">
        <v>212</v>
      </c>
      <c r="C501" s="66" t="s">
        <v>1612</v>
      </c>
      <c r="D501" s="67">
        <v>5</v>
      </c>
      <c r="E501" s="68"/>
      <c r="F501" s="69">
        <v>25</v>
      </c>
      <c r="G501" s="66"/>
      <c r="H501" s="70"/>
      <c r="I501" s="71"/>
      <c r="J501" s="71"/>
      <c r="K501" s="35" t="s">
        <v>65</v>
      </c>
      <c r="L501" s="79">
        <v>501</v>
      </c>
      <c r="M501" s="79"/>
      <c r="N501" s="73"/>
      <c r="O501" s="81" t="s">
        <v>379</v>
      </c>
      <c r="P501">
        <v>1</v>
      </c>
      <c r="Q501" s="80" t="str">
        <f>REPLACE(INDEX(GroupVertices[Group],MATCH(Edges[[#This Row],[Vertex 1]],GroupVertices[Vertex],0)),1,1,"")</f>
        <v>1</v>
      </c>
      <c r="R501" s="80" t="str">
        <f>REPLACE(INDEX(GroupVertices[Group],MATCH(Edges[[#This Row],[Vertex 2]],GroupVertices[Vertex],0)),1,1,"")</f>
        <v>1</v>
      </c>
      <c r="S501" s="35"/>
      <c r="T501" s="35"/>
      <c r="U501" s="35"/>
      <c r="V501" s="35"/>
      <c r="W501" s="35"/>
      <c r="X501" s="35"/>
      <c r="Y501" s="35"/>
      <c r="Z501" s="35"/>
      <c r="AA501" s="35"/>
    </row>
    <row r="502" spans="1:27" ht="15">
      <c r="A502" s="65" t="s">
        <v>228</v>
      </c>
      <c r="B502" s="65" t="s">
        <v>212</v>
      </c>
      <c r="C502" s="66" t="s">
        <v>1612</v>
      </c>
      <c r="D502" s="67">
        <v>5</v>
      </c>
      <c r="E502" s="68"/>
      <c r="F502" s="69">
        <v>25</v>
      </c>
      <c r="G502" s="66"/>
      <c r="H502" s="70"/>
      <c r="I502" s="71"/>
      <c r="J502" s="71"/>
      <c r="K502" s="35" t="s">
        <v>65</v>
      </c>
      <c r="L502" s="79">
        <v>502</v>
      </c>
      <c r="M502" s="79"/>
      <c r="N502" s="73"/>
      <c r="O502" s="81" t="s">
        <v>379</v>
      </c>
      <c r="P502">
        <v>1</v>
      </c>
      <c r="Q502" s="80" t="str">
        <f>REPLACE(INDEX(GroupVertices[Group],MATCH(Edges[[#This Row],[Vertex 1]],GroupVertices[Vertex],0)),1,1,"")</f>
        <v>1</v>
      </c>
      <c r="R502" s="80" t="str">
        <f>REPLACE(INDEX(GroupVertices[Group],MATCH(Edges[[#This Row],[Vertex 2]],GroupVertices[Vertex],0)),1,1,"")</f>
        <v>1</v>
      </c>
      <c r="S502" s="35"/>
      <c r="T502" s="35"/>
      <c r="U502" s="35"/>
      <c r="V502" s="35"/>
      <c r="W502" s="35"/>
      <c r="X502" s="35"/>
      <c r="Y502" s="35"/>
      <c r="Z502" s="35"/>
      <c r="AA502" s="35"/>
    </row>
    <row r="503" spans="1:27" ht="15">
      <c r="A503" s="65" t="s">
        <v>231</v>
      </c>
      <c r="B503" s="65" t="s">
        <v>212</v>
      </c>
      <c r="C503" s="66" t="s">
        <v>1612</v>
      </c>
      <c r="D503" s="67">
        <v>5</v>
      </c>
      <c r="E503" s="68"/>
      <c r="F503" s="69">
        <v>25</v>
      </c>
      <c r="G503" s="66"/>
      <c r="H503" s="70"/>
      <c r="I503" s="71"/>
      <c r="J503" s="71"/>
      <c r="K503" s="35" t="s">
        <v>65</v>
      </c>
      <c r="L503" s="79">
        <v>503</v>
      </c>
      <c r="M503" s="79"/>
      <c r="N503" s="73"/>
      <c r="O503" s="81" t="s">
        <v>379</v>
      </c>
      <c r="P503">
        <v>1</v>
      </c>
      <c r="Q503" s="80" t="str">
        <f>REPLACE(INDEX(GroupVertices[Group],MATCH(Edges[[#This Row],[Vertex 1]],GroupVertices[Vertex],0)),1,1,"")</f>
        <v>1</v>
      </c>
      <c r="R503" s="80" t="str">
        <f>REPLACE(INDEX(GroupVertices[Group],MATCH(Edges[[#This Row],[Vertex 2]],GroupVertices[Vertex],0)),1,1,"")</f>
        <v>1</v>
      </c>
      <c r="S503" s="35"/>
      <c r="T503" s="35"/>
      <c r="U503" s="35"/>
      <c r="V503" s="35"/>
      <c r="W503" s="35"/>
      <c r="X503" s="35"/>
      <c r="Y503" s="35"/>
      <c r="Z503" s="35"/>
      <c r="AA503" s="35"/>
    </row>
    <row r="504" spans="1:27" ht="15">
      <c r="A504" s="65" t="s">
        <v>232</v>
      </c>
      <c r="B504" s="65" t="s">
        <v>212</v>
      </c>
      <c r="C504" s="66" t="s">
        <v>1612</v>
      </c>
      <c r="D504" s="67">
        <v>5</v>
      </c>
      <c r="E504" s="68"/>
      <c r="F504" s="69">
        <v>25</v>
      </c>
      <c r="G504" s="66"/>
      <c r="H504" s="70"/>
      <c r="I504" s="71"/>
      <c r="J504" s="71"/>
      <c r="K504" s="35" t="s">
        <v>65</v>
      </c>
      <c r="L504" s="79">
        <v>504</v>
      </c>
      <c r="M504" s="79"/>
      <c r="N504" s="73"/>
      <c r="O504" s="81" t="s">
        <v>379</v>
      </c>
      <c r="P504">
        <v>1</v>
      </c>
      <c r="Q504" s="80" t="str">
        <f>REPLACE(INDEX(GroupVertices[Group],MATCH(Edges[[#This Row],[Vertex 1]],GroupVertices[Vertex],0)),1,1,"")</f>
        <v>1</v>
      </c>
      <c r="R504" s="80" t="str">
        <f>REPLACE(INDEX(GroupVertices[Group],MATCH(Edges[[#This Row],[Vertex 2]],GroupVertices[Vertex],0)),1,1,"")</f>
        <v>1</v>
      </c>
      <c r="S504" s="35"/>
      <c r="T504" s="35"/>
      <c r="U504" s="35"/>
      <c r="V504" s="35"/>
      <c r="W504" s="35"/>
      <c r="X504" s="35"/>
      <c r="Y504" s="35"/>
      <c r="Z504" s="35"/>
      <c r="AA504" s="35"/>
    </row>
    <row r="505" spans="1:27" ht="15">
      <c r="A505" s="65" t="s">
        <v>221</v>
      </c>
      <c r="B505" s="65" t="s">
        <v>212</v>
      </c>
      <c r="C505" s="66" t="s">
        <v>1612</v>
      </c>
      <c r="D505" s="67">
        <v>5</v>
      </c>
      <c r="E505" s="68"/>
      <c r="F505" s="69">
        <v>25</v>
      </c>
      <c r="G505" s="66"/>
      <c r="H505" s="70"/>
      <c r="I505" s="71"/>
      <c r="J505" s="71"/>
      <c r="K505" s="35" t="s">
        <v>66</v>
      </c>
      <c r="L505" s="79">
        <v>505</v>
      </c>
      <c r="M505" s="79"/>
      <c r="N505" s="73"/>
      <c r="O505" s="81" t="s">
        <v>379</v>
      </c>
      <c r="P505">
        <v>1</v>
      </c>
      <c r="Q505" s="80" t="str">
        <f>REPLACE(INDEX(GroupVertices[Group],MATCH(Edges[[#This Row],[Vertex 1]],GroupVertices[Vertex],0)),1,1,"")</f>
        <v>1</v>
      </c>
      <c r="R505" s="80" t="str">
        <f>REPLACE(INDEX(GroupVertices[Group],MATCH(Edges[[#This Row],[Vertex 2]],GroupVertices[Vertex],0)),1,1,"")</f>
        <v>1</v>
      </c>
      <c r="S505" s="35"/>
      <c r="T505" s="35"/>
      <c r="U505" s="35"/>
      <c r="V505" s="35"/>
      <c r="W505" s="35"/>
      <c r="X505" s="35"/>
      <c r="Y505" s="35"/>
      <c r="Z505" s="35"/>
      <c r="AA505" s="35"/>
    </row>
    <row r="506" spans="1:27" ht="15">
      <c r="A506" s="65" t="s">
        <v>222</v>
      </c>
      <c r="B506" s="65" t="s">
        <v>212</v>
      </c>
      <c r="C506" s="66" t="s">
        <v>1612</v>
      </c>
      <c r="D506" s="67">
        <v>5</v>
      </c>
      <c r="E506" s="68"/>
      <c r="F506" s="69">
        <v>25</v>
      </c>
      <c r="G506" s="66"/>
      <c r="H506" s="70"/>
      <c r="I506" s="71"/>
      <c r="J506" s="71"/>
      <c r="K506" s="35" t="s">
        <v>65</v>
      </c>
      <c r="L506" s="79">
        <v>506</v>
      </c>
      <c r="M506" s="79"/>
      <c r="N506" s="73"/>
      <c r="O506" s="81" t="s">
        <v>379</v>
      </c>
      <c r="P506">
        <v>1</v>
      </c>
      <c r="Q506" s="80" t="str">
        <f>REPLACE(INDEX(GroupVertices[Group],MATCH(Edges[[#This Row],[Vertex 1]],GroupVertices[Vertex],0)),1,1,"")</f>
        <v>1</v>
      </c>
      <c r="R506" s="80" t="str">
        <f>REPLACE(INDEX(GroupVertices[Group],MATCH(Edges[[#This Row],[Vertex 2]],GroupVertices[Vertex],0)),1,1,"")</f>
        <v>1</v>
      </c>
      <c r="S506" s="35"/>
      <c r="T506" s="35"/>
      <c r="U506" s="35"/>
      <c r="V506" s="35"/>
      <c r="W506" s="35"/>
      <c r="X506" s="35"/>
      <c r="Y506" s="35"/>
      <c r="Z506" s="35"/>
      <c r="AA506" s="35"/>
    </row>
    <row r="507" spans="1:27" ht="15">
      <c r="A507" s="65" t="s">
        <v>223</v>
      </c>
      <c r="B507" s="65" t="s">
        <v>212</v>
      </c>
      <c r="C507" s="66" t="s">
        <v>1612</v>
      </c>
      <c r="D507" s="67">
        <v>5</v>
      </c>
      <c r="E507" s="68"/>
      <c r="F507" s="69">
        <v>25</v>
      </c>
      <c r="G507" s="66"/>
      <c r="H507" s="70"/>
      <c r="I507" s="71"/>
      <c r="J507" s="71"/>
      <c r="K507" s="35" t="s">
        <v>65</v>
      </c>
      <c r="L507" s="79">
        <v>507</v>
      </c>
      <c r="M507" s="79"/>
      <c r="N507" s="73"/>
      <c r="O507" s="81" t="s">
        <v>379</v>
      </c>
      <c r="P507">
        <v>1</v>
      </c>
      <c r="Q507" s="80" t="str">
        <f>REPLACE(INDEX(GroupVertices[Group],MATCH(Edges[[#This Row],[Vertex 1]],GroupVertices[Vertex],0)),1,1,"")</f>
        <v>1</v>
      </c>
      <c r="R507" s="80" t="str">
        <f>REPLACE(INDEX(GroupVertices[Group],MATCH(Edges[[#This Row],[Vertex 2]],GroupVertices[Vertex],0)),1,1,"")</f>
        <v>1</v>
      </c>
      <c r="S507" s="35"/>
      <c r="T507" s="35"/>
      <c r="U507" s="35"/>
      <c r="V507" s="35"/>
      <c r="W507" s="35"/>
      <c r="X507" s="35"/>
      <c r="Y507" s="35"/>
      <c r="Z507" s="35"/>
      <c r="AA507" s="35"/>
    </row>
    <row r="508" spans="1:27" ht="15">
      <c r="A508" s="65" t="s">
        <v>229</v>
      </c>
      <c r="B508" s="65" t="s">
        <v>212</v>
      </c>
      <c r="C508" s="66" t="s">
        <v>1612</v>
      </c>
      <c r="D508" s="67">
        <v>5</v>
      </c>
      <c r="E508" s="68"/>
      <c r="F508" s="69">
        <v>25</v>
      </c>
      <c r="G508" s="66"/>
      <c r="H508" s="70"/>
      <c r="I508" s="71"/>
      <c r="J508" s="71"/>
      <c r="K508" s="35" t="s">
        <v>66</v>
      </c>
      <c r="L508" s="79">
        <v>508</v>
      </c>
      <c r="M508" s="79"/>
      <c r="N508" s="73"/>
      <c r="O508" s="81" t="s">
        <v>379</v>
      </c>
      <c r="P508">
        <v>1</v>
      </c>
      <c r="Q508" s="80" t="str">
        <f>REPLACE(INDEX(GroupVertices[Group],MATCH(Edges[[#This Row],[Vertex 1]],GroupVertices[Vertex],0)),1,1,"")</f>
        <v>1</v>
      </c>
      <c r="R508" s="80" t="str">
        <f>REPLACE(INDEX(GroupVertices[Group],MATCH(Edges[[#This Row],[Vertex 2]],GroupVertices[Vertex],0)),1,1,"")</f>
        <v>1</v>
      </c>
      <c r="S508" s="35"/>
      <c r="T508" s="35"/>
      <c r="U508" s="35"/>
      <c r="V508" s="35"/>
      <c r="W508" s="35"/>
      <c r="X508" s="35"/>
      <c r="Y508" s="35"/>
      <c r="Z508" s="35"/>
      <c r="AA508" s="35"/>
    </row>
    <row r="509" spans="1:27" ht="15">
      <c r="A509" s="65" t="s">
        <v>230</v>
      </c>
      <c r="B509" s="65" t="s">
        <v>212</v>
      </c>
      <c r="C509" s="66" t="s">
        <v>1612</v>
      </c>
      <c r="D509" s="67">
        <v>5</v>
      </c>
      <c r="E509" s="68"/>
      <c r="F509" s="69">
        <v>25</v>
      </c>
      <c r="G509" s="66"/>
      <c r="H509" s="70"/>
      <c r="I509" s="71"/>
      <c r="J509" s="71"/>
      <c r="K509" s="35" t="s">
        <v>66</v>
      </c>
      <c r="L509" s="79">
        <v>509</v>
      </c>
      <c r="M509" s="79"/>
      <c r="N509" s="73"/>
      <c r="O509" s="81" t="s">
        <v>379</v>
      </c>
      <c r="P509">
        <v>1</v>
      </c>
      <c r="Q509" s="80" t="str">
        <f>REPLACE(INDEX(GroupVertices[Group],MATCH(Edges[[#This Row],[Vertex 1]],GroupVertices[Vertex],0)),1,1,"")</f>
        <v>2</v>
      </c>
      <c r="R509" s="80" t="str">
        <f>REPLACE(INDEX(GroupVertices[Group],MATCH(Edges[[#This Row],[Vertex 2]],GroupVertices[Vertex],0)),1,1,"")</f>
        <v>1</v>
      </c>
      <c r="S509" s="35"/>
      <c r="T509" s="35"/>
      <c r="U509" s="35"/>
      <c r="V509" s="35"/>
      <c r="W509" s="35"/>
      <c r="X509" s="35"/>
      <c r="Y509" s="35"/>
      <c r="Z509" s="35"/>
      <c r="AA509" s="35"/>
    </row>
    <row r="510" spans="1:27" ht="15">
      <c r="A510" s="65" t="s">
        <v>224</v>
      </c>
      <c r="B510" s="65" t="s">
        <v>212</v>
      </c>
      <c r="C510" s="66" t="s">
        <v>1612</v>
      </c>
      <c r="D510" s="67">
        <v>5</v>
      </c>
      <c r="E510" s="68"/>
      <c r="F510" s="69">
        <v>25</v>
      </c>
      <c r="G510" s="66"/>
      <c r="H510" s="70"/>
      <c r="I510" s="71"/>
      <c r="J510" s="71"/>
      <c r="K510" s="35" t="s">
        <v>65</v>
      </c>
      <c r="L510" s="79">
        <v>510</v>
      </c>
      <c r="M510" s="79"/>
      <c r="N510" s="73"/>
      <c r="O510" s="81" t="s">
        <v>379</v>
      </c>
      <c r="P510">
        <v>1</v>
      </c>
      <c r="Q510" s="80" t="str">
        <f>REPLACE(INDEX(GroupVertices[Group],MATCH(Edges[[#This Row],[Vertex 1]],GroupVertices[Vertex],0)),1,1,"")</f>
        <v>1</v>
      </c>
      <c r="R510" s="80" t="str">
        <f>REPLACE(INDEX(GroupVertices[Group],MATCH(Edges[[#This Row],[Vertex 2]],GroupVertices[Vertex],0)),1,1,"")</f>
        <v>1</v>
      </c>
      <c r="S510" s="35"/>
      <c r="T510" s="35"/>
      <c r="U510" s="35"/>
      <c r="V510" s="35"/>
      <c r="W510" s="35"/>
      <c r="X510" s="35"/>
      <c r="Y510" s="35"/>
      <c r="Z510" s="35"/>
      <c r="AA510" s="35"/>
    </row>
    <row r="511" spans="1:27" ht="15">
      <c r="A511" s="65" t="s">
        <v>225</v>
      </c>
      <c r="B511" s="65" t="s">
        <v>212</v>
      </c>
      <c r="C511" s="66" t="s">
        <v>1612</v>
      </c>
      <c r="D511" s="67">
        <v>5</v>
      </c>
      <c r="E511" s="68"/>
      <c r="F511" s="69">
        <v>25</v>
      </c>
      <c r="G511" s="66"/>
      <c r="H511" s="70"/>
      <c r="I511" s="71"/>
      <c r="J511" s="71"/>
      <c r="K511" s="35" t="s">
        <v>65</v>
      </c>
      <c r="L511" s="79">
        <v>511</v>
      </c>
      <c r="M511" s="79"/>
      <c r="N511" s="73"/>
      <c r="O511" s="81" t="s">
        <v>379</v>
      </c>
      <c r="P511">
        <v>1</v>
      </c>
      <c r="Q511" s="80" t="str">
        <f>REPLACE(INDEX(GroupVertices[Group],MATCH(Edges[[#This Row],[Vertex 1]],GroupVertices[Vertex],0)),1,1,"")</f>
        <v>1</v>
      </c>
      <c r="R511" s="80" t="str">
        <f>REPLACE(INDEX(GroupVertices[Group],MATCH(Edges[[#This Row],[Vertex 2]],GroupVertices[Vertex],0)),1,1,"")</f>
        <v>1</v>
      </c>
      <c r="S511" s="35"/>
      <c r="T511" s="35"/>
      <c r="U511" s="35"/>
      <c r="V511" s="35"/>
      <c r="W511" s="35"/>
      <c r="X511" s="35"/>
      <c r="Y511" s="35"/>
      <c r="Z511" s="35"/>
      <c r="AA511" s="35"/>
    </row>
    <row r="512" spans="1:27" ht="15">
      <c r="A512" s="65" t="s">
        <v>227</v>
      </c>
      <c r="B512" s="65" t="s">
        <v>212</v>
      </c>
      <c r="C512" s="66" t="s">
        <v>1612</v>
      </c>
      <c r="D512" s="67">
        <v>5</v>
      </c>
      <c r="E512" s="68"/>
      <c r="F512" s="69">
        <v>25</v>
      </c>
      <c r="G512" s="66"/>
      <c r="H512" s="70"/>
      <c r="I512" s="71"/>
      <c r="J512" s="71"/>
      <c r="K512" s="35" t="s">
        <v>65</v>
      </c>
      <c r="L512" s="79">
        <v>512</v>
      </c>
      <c r="M512" s="79"/>
      <c r="N512" s="73"/>
      <c r="O512" s="81" t="s">
        <v>378</v>
      </c>
      <c r="P512">
        <v>1</v>
      </c>
      <c r="Q512" s="80" t="str">
        <f>REPLACE(INDEX(GroupVertices[Group],MATCH(Edges[[#This Row],[Vertex 1]],GroupVertices[Vertex],0)),1,1,"")</f>
        <v>1</v>
      </c>
      <c r="R512" s="80" t="str">
        <f>REPLACE(INDEX(GroupVertices[Group],MATCH(Edges[[#This Row],[Vertex 2]],GroupVertices[Vertex],0)),1,1,"")</f>
        <v>1</v>
      </c>
      <c r="S512" s="35"/>
      <c r="T512" s="35"/>
      <c r="U512" s="35"/>
      <c r="V512" s="35"/>
      <c r="W512" s="35"/>
      <c r="X512" s="35"/>
      <c r="Y512" s="35"/>
      <c r="Z512" s="35"/>
      <c r="AA512" s="35"/>
    </row>
    <row r="513" spans="1:27" ht="15">
      <c r="A513" s="65" t="s">
        <v>229</v>
      </c>
      <c r="B513" s="65" t="s">
        <v>212</v>
      </c>
      <c r="C513" s="66" t="s">
        <v>1612</v>
      </c>
      <c r="D513" s="67">
        <v>5</v>
      </c>
      <c r="E513" s="68"/>
      <c r="F513" s="69">
        <v>25</v>
      </c>
      <c r="G513" s="66"/>
      <c r="H513" s="70"/>
      <c r="I513" s="71"/>
      <c r="J513" s="71"/>
      <c r="K513" s="35" t="s">
        <v>66</v>
      </c>
      <c r="L513" s="79">
        <v>513</v>
      </c>
      <c r="M513" s="79"/>
      <c r="N513" s="73"/>
      <c r="O513" s="81" t="s">
        <v>378</v>
      </c>
      <c r="P513">
        <v>1</v>
      </c>
      <c r="Q513" s="80" t="str">
        <f>REPLACE(INDEX(GroupVertices[Group],MATCH(Edges[[#This Row],[Vertex 1]],GroupVertices[Vertex],0)),1,1,"")</f>
        <v>1</v>
      </c>
      <c r="R513" s="80" t="str">
        <f>REPLACE(INDEX(GroupVertices[Group],MATCH(Edges[[#This Row],[Vertex 2]],GroupVertices[Vertex],0)),1,1,"")</f>
        <v>1</v>
      </c>
      <c r="S513" s="35"/>
      <c r="T513" s="35"/>
      <c r="U513" s="35"/>
      <c r="V513" s="35"/>
      <c r="W513" s="35"/>
      <c r="X513" s="35"/>
      <c r="Y513" s="35"/>
      <c r="Z513" s="35"/>
      <c r="AA513" s="35"/>
    </row>
    <row r="514" spans="1:27" ht="15">
      <c r="A514" s="65" t="s">
        <v>229</v>
      </c>
      <c r="B514" s="65" t="s">
        <v>373</v>
      </c>
      <c r="C514" s="66" t="s">
        <v>1612</v>
      </c>
      <c r="D514" s="67">
        <v>5</v>
      </c>
      <c r="E514" s="68"/>
      <c r="F514" s="69">
        <v>25</v>
      </c>
      <c r="G514" s="66"/>
      <c r="H514" s="70"/>
      <c r="I514" s="71"/>
      <c r="J514" s="71"/>
      <c r="K514" s="35" t="s">
        <v>65</v>
      </c>
      <c r="L514" s="79">
        <v>514</v>
      </c>
      <c r="M514" s="79"/>
      <c r="N514" s="73"/>
      <c r="O514" s="81" t="s">
        <v>377</v>
      </c>
      <c r="P514">
        <v>1</v>
      </c>
      <c r="Q514" s="80" t="str">
        <f>REPLACE(INDEX(GroupVertices[Group],MATCH(Edges[[#This Row],[Vertex 1]],GroupVertices[Vertex],0)),1,1,"")</f>
        <v>1</v>
      </c>
      <c r="R514" s="80" t="str">
        <f>REPLACE(INDEX(GroupVertices[Group],MATCH(Edges[[#This Row],[Vertex 2]],GroupVertices[Vertex],0)),1,1,"")</f>
        <v>1</v>
      </c>
      <c r="S514" s="35"/>
      <c r="T514" s="35"/>
      <c r="U514" s="35"/>
      <c r="V514" s="35"/>
      <c r="W514" s="35"/>
      <c r="X514" s="35"/>
      <c r="Y514" s="35"/>
      <c r="Z514" s="35"/>
      <c r="AA514" s="35"/>
    </row>
    <row r="515" spans="1:27" ht="15">
      <c r="A515" s="65" t="s">
        <v>229</v>
      </c>
      <c r="B515" s="65" t="s">
        <v>373</v>
      </c>
      <c r="C515" s="66" t="s">
        <v>1612</v>
      </c>
      <c r="D515" s="67">
        <v>5</v>
      </c>
      <c r="E515" s="68"/>
      <c r="F515" s="69">
        <v>25</v>
      </c>
      <c r="G515" s="66"/>
      <c r="H515" s="70"/>
      <c r="I515" s="71"/>
      <c r="J515" s="71"/>
      <c r="K515" s="35" t="s">
        <v>65</v>
      </c>
      <c r="L515" s="79">
        <v>515</v>
      </c>
      <c r="M515" s="79"/>
      <c r="N515" s="73"/>
      <c r="O515" s="81" t="s">
        <v>378</v>
      </c>
      <c r="P515">
        <v>1</v>
      </c>
      <c r="Q515" s="80" t="str">
        <f>REPLACE(INDEX(GroupVertices[Group],MATCH(Edges[[#This Row],[Vertex 1]],GroupVertices[Vertex],0)),1,1,"")</f>
        <v>1</v>
      </c>
      <c r="R515" s="80" t="str">
        <f>REPLACE(INDEX(GroupVertices[Group],MATCH(Edges[[#This Row],[Vertex 2]],GroupVertices[Vertex],0)),1,1,"")</f>
        <v>1</v>
      </c>
      <c r="S515" s="35"/>
      <c r="T515" s="35"/>
      <c r="U515" s="35"/>
      <c r="V515" s="35"/>
      <c r="W515" s="35"/>
      <c r="X515" s="35"/>
      <c r="Y515" s="35"/>
      <c r="Z515" s="35"/>
      <c r="AA515" s="35"/>
    </row>
    <row r="516" spans="1:27" ht="15">
      <c r="A516" s="65" t="s">
        <v>213</v>
      </c>
      <c r="B516" s="65" t="s">
        <v>216</v>
      </c>
      <c r="C516" s="66" t="s">
        <v>1612</v>
      </c>
      <c r="D516" s="67">
        <v>5</v>
      </c>
      <c r="E516" s="68"/>
      <c r="F516" s="69">
        <v>25</v>
      </c>
      <c r="G516" s="66"/>
      <c r="H516" s="70"/>
      <c r="I516" s="71"/>
      <c r="J516" s="71"/>
      <c r="K516" s="35" t="s">
        <v>66</v>
      </c>
      <c r="L516" s="79">
        <v>516</v>
      </c>
      <c r="M516" s="79"/>
      <c r="N516" s="73"/>
      <c r="O516" s="81" t="s">
        <v>377</v>
      </c>
      <c r="P516">
        <v>1</v>
      </c>
      <c r="Q516" s="80" t="str">
        <f>REPLACE(INDEX(GroupVertices[Group],MATCH(Edges[[#This Row],[Vertex 1]],GroupVertices[Vertex],0)),1,1,"")</f>
        <v>2</v>
      </c>
      <c r="R516" s="80" t="str">
        <f>REPLACE(INDEX(GroupVertices[Group],MATCH(Edges[[#This Row],[Vertex 2]],GroupVertices[Vertex],0)),1,1,"")</f>
        <v>2</v>
      </c>
      <c r="S516" s="35"/>
      <c r="T516" s="35"/>
      <c r="U516" s="35"/>
      <c r="V516" s="35"/>
      <c r="W516" s="35"/>
      <c r="X516" s="35"/>
      <c r="Y516" s="35"/>
      <c r="Z516" s="35"/>
      <c r="AA516" s="35"/>
    </row>
    <row r="517" spans="1:27" ht="15">
      <c r="A517" s="65" t="s">
        <v>213</v>
      </c>
      <c r="B517" s="65" t="s">
        <v>220</v>
      </c>
      <c r="C517" s="66" t="s">
        <v>1612</v>
      </c>
      <c r="D517" s="67">
        <v>5</v>
      </c>
      <c r="E517" s="68"/>
      <c r="F517" s="69">
        <v>25</v>
      </c>
      <c r="G517" s="66"/>
      <c r="H517" s="70"/>
      <c r="I517" s="71"/>
      <c r="J517" s="71"/>
      <c r="K517" s="35" t="s">
        <v>66</v>
      </c>
      <c r="L517" s="79">
        <v>517</v>
      </c>
      <c r="M517" s="79"/>
      <c r="N517" s="73"/>
      <c r="O517" s="81" t="s">
        <v>377</v>
      </c>
      <c r="P517">
        <v>1</v>
      </c>
      <c r="Q517" s="80" t="str">
        <f>REPLACE(INDEX(GroupVertices[Group],MATCH(Edges[[#This Row],[Vertex 1]],GroupVertices[Vertex],0)),1,1,"")</f>
        <v>2</v>
      </c>
      <c r="R517" s="80" t="str">
        <f>REPLACE(INDEX(GroupVertices[Group],MATCH(Edges[[#This Row],[Vertex 2]],GroupVertices[Vertex],0)),1,1,"")</f>
        <v>2</v>
      </c>
      <c r="S517" s="35"/>
      <c r="T517" s="35"/>
      <c r="U517" s="35"/>
      <c r="V517" s="35"/>
      <c r="W517" s="35"/>
      <c r="X517" s="35"/>
      <c r="Y517" s="35"/>
      <c r="Z517" s="35"/>
      <c r="AA517" s="35"/>
    </row>
    <row r="518" spans="1:27" ht="15">
      <c r="A518" s="65" t="s">
        <v>213</v>
      </c>
      <c r="B518" s="65" t="s">
        <v>218</v>
      </c>
      <c r="C518" s="66" t="s">
        <v>1612</v>
      </c>
      <c r="D518" s="67">
        <v>5</v>
      </c>
      <c r="E518" s="68"/>
      <c r="F518" s="69">
        <v>25</v>
      </c>
      <c r="G518" s="66"/>
      <c r="H518" s="70"/>
      <c r="I518" s="71"/>
      <c r="J518" s="71"/>
      <c r="K518" s="35" t="s">
        <v>66</v>
      </c>
      <c r="L518" s="79">
        <v>518</v>
      </c>
      <c r="M518" s="79"/>
      <c r="N518" s="73"/>
      <c r="O518" s="81" t="s">
        <v>377</v>
      </c>
      <c r="P518">
        <v>1</v>
      </c>
      <c r="Q518" s="80" t="str">
        <f>REPLACE(INDEX(GroupVertices[Group],MATCH(Edges[[#This Row],[Vertex 1]],GroupVertices[Vertex],0)),1,1,"")</f>
        <v>2</v>
      </c>
      <c r="R518" s="80" t="str">
        <f>REPLACE(INDEX(GroupVertices[Group],MATCH(Edges[[#This Row],[Vertex 2]],GroupVertices[Vertex],0)),1,1,"")</f>
        <v>2</v>
      </c>
      <c r="S518" s="35"/>
      <c r="T518" s="35"/>
      <c r="U518" s="35"/>
      <c r="V518" s="35"/>
      <c r="W518" s="35"/>
      <c r="X518" s="35"/>
      <c r="Y518" s="35"/>
      <c r="Z518" s="35"/>
      <c r="AA518" s="35"/>
    </row>
    <row r="519" spans="1:27" ht="15">
      <c r="A519" s="65" t="s">
        <v>214</v>
      </c>
      <c r="B519" s="65" t="s">
        <v>213</v>
      </c>
      <c r="C519" s="66" t="s">
        <v>1612</v>
      </c>
      <c r="D519" s="67">
        <v>5</v>
      </c>
      <c r="E519" s="68"/>
      <c r="F519" s="69">
        <v>25</v>
      </c>
      <c r="G519" s="66"/>
      <c r="H519" s="70"/>
      <c r="I519" s="71"/>
      <c r="J519" s="71"/>
      <c r="K519" s="35" t="s">
        <v>65</v>
      </c>
      <c r="L519" s="79">
        <v>519</v>
      </c>
      <c r="M519" s="79"/>
      <c r="N519" s="73"/>
      <c r="O519" s="81" t="s">
        <v>377</v>
      </c>
      <c r="P519">
        <v>1</v>
      </c>
      <c r="Q519" s="80" t="str">
        <f>REPLACE(INDEX(GroupVertices[Group],MATCH(Edges[[#This Row],[Vertex 1]],GroupVertices[Vertex],0)),1,1,"")</f>
        <v>1</v>
      </c>
      <c r="R519" s="80" t="str">
        <f>REPLACE(INDEX(GroupVertices[Group],MATCH(Edges[[#This Row],[Vertex 2]],GroupVertices[Vertex],0)),1,1,"")</f>
        <v>2</v>
      </c>
      <c r="S519" s="35"/>
      <c r="T519" s="35"/>
      <c r="U519" s="35"/>
      <c r="V519" s="35"/>
      <c r="W519" s="35"/>
      <c r="X519" s="35"/>
      <c r="Y519" s="35"/>
      <c r="Z519" s="35"/>
      <c r="AA519" s="35"/>
    </row>
    <row r="520" spans="1:27" ht="15">
      <c r="A520" s="65" t="s">
        <v>227</v>
      </c>
      <c r="B520" s="65" t="s">
        <v>213</v>
      </c>
      <c r="C520" s="66" t="s">
        <v>1612</v>
      </c>
      <c r="D520" s="67">
        <v>5</v>
      </c>
      <c r="E520" s="68"/>
      <c r="F520" s="69">
        <v>25</v>
      </c>
      <c r="G520" s="66"/>
      <c r="H520" s="70"/>
      <c r="I520" s="71"/>
      <c r="J520" s="71"/>
      <c r="K520" s="35" t="s">
        <v>65</v>
      </c>
      <c r="L520" s="79">
        <v>520</v>
      </c>
      <c r="M520" s="79"/>
      <c r="N520" s="73"/>
      <c r="O520" s="81" t="s">
        <v>377</v>
      </c>
      <c r="P520">
        <v>1</v>
      </c>
      <c r="Q520" s="80" t="str">
        <f>REPLACE(INDEX(GroupVertices[Group],MATCH(Edges[[#This Row],[Vertex 1]],GroupVertices[Vertex],0)),1,1,"")</f>
        <v>1</v>
      </c>
      <c r="R520" s="80" t="str">
        <f>REPLACE(INDEX(GroupVertices[Group],MATCH(Edges[[#This Row],[Vertex 2]],GroupVertices[Vertex],0)),1,1,"")</f>
        <v>2</v>
      </c>
      <c r="S520" s="35"/>
      <c r="T520" s="35"/>
      <c r="U520" s="35"/>
      <c r="V520" s="35"/>
      <c r="W520" s="35"/>
      <c r="X520" s="35"/>
      <c r="Y520" s="35"/>
      <c r="Z520" s="35"/>
      <c r="AA520" s="35"/>
    </row>
    <row r="521" spans="1:27" ht="15">
      <c r="A521" s="65" t="s">
        <v>228</v>
      </c>
      <c r="B521" s="65" t="s">
        <v>213</v>
      </c>
      <c r="C521" s="66" t="s">
        <v>1612</v>
      </c>
      <c r="D521" s="67">
        <v>5</v>
      </c>
      <c r="E521" s="68"/>
      <c r="F521" s="69">
        <v>25</v>
      </c>
      <c r="G521" s="66"/>
      <c r="H521" s="70"/>
      <c r="I521" s="71"/>
      <c r="J521" s="71"/>
      <c r="K521" s="35" t="s">
        <v>65</v>
      </c>
      <c r="L521" s="79">
        <v>521</v>
      </c>
      <c r="M521" s="79"/>
      <c r="N521" s="73"/>
      <c r="O521" s="81" t="s">
        <v>377</v>
      </c>
      <c r="P521">
        <v>1</v>
      </c>
      <c r="Q521" s="80" t="str">
        <f>REPLACE(INDEX(GroupVertices[Group],MATCH(Edges[[#This Row],[Vertex 1]],GroupVertices[Vertex],0)),1,1,"")</f>
        <v>1</v>
      </c>
      <c r="R521" s="80" t="str">
        <f>REPLACE(INDEX(GroupVertices[Group],MATCH(Edges[[#This Row],[Vertex 2]],GroupVertices[Vertex],0)),1,1,"")</f>
        <v>2</v>
      </c>
      <c r="S521" s="35"/>
      <c r="T521" s="35"/>
      <c r="U521" s="35"/>
      <c r="V521" s="35"/>
      <c r="W521" s="35"/>
      <c r="X521" s="35"/>
      <c r="Y521" s="35"/>
      <c r="Z521" s="35"/>
      <c r="AA521" s="35"/>
    </row>
    <row r="522" spans="1:27" ht="15">
      <c r="A522" s="65" t="s">
        <v>232</v>
      </c>
      <c r="B522" s="65" t="s">
        <v>213</v>
      </c>
      <c r="C522" s="66" t="s">
        <v>1612</v>
      </c>
      <c r="D522" s="67">
        <v>5</v>
      </c>
      <c r="E522" s="68"/>
      <c r="F522" s="69">
        <v>25</v>
      </c>
      <c r="G522" s="66"/>
      <c r="H522" s="70"/>
      <c r="I522" s="71"/>
      <c r="J522" s="71"/>
      <c r="K522" s="35" t="s">
        <v>65</v>
      </c>
      <c r="L522" s="79">
        <v>522</v>
      </c>
      <c r="M522" s="79"/>
      <c r="N522" s="73"/>
      <c r="O522" s="81" t="s">
        <v>377</v>
      </c>
      <c r="P522">
        <v>1</v>
      </c>
      <c r="Q522" s="80" t="str">
        <f>REPLACE(INDEX(GroupVertices[Group],MATCH(Edges[[#This Row],[Vertex 1]],GroupVertices[Vertex],0)),1,1,"")</f>
        <v>1</v>
      </c>
      <c r="R522" s="80" t="str">
        <f>REPLACE(INDEX(GroupVertices[Group],MATCH(Edges[[#This Row],[Vertex 2]],GroupVertices[Vertex],0)),1,1,"")</f>
        <v>2</v>
      </c>
      <c r="S522" s="35"/>
      <c r="T522" s="35"/>
      <c r="U522" s="35"/>
      <c r="V522" s="35"/>
      <c r="W522" s="35"/>
      <c r="X522" s="35"/>
      <c r="Y522" s="35"/>
      <c r="Z522" s="35"/>
      <c r="AA522" s="35"/>
    </row>
    <row r="523" spans="1:27" ht="15">
      <c r="A523" s="65" t="s">
        <v>223</v>
      </c>
      <c r="B523" s="65" t="s">
        <v>213</v>
      </c>
      <c r="C523" s="66" t="s">
        <v>1612</v>
      </c>
      <c r="D523" s="67">
        <v>5</v>
      </c>
      <c r="E523" s="68"/>
      <c r="F523" s="69">
        <v>25</v>
      </c>
      <c r="G523" s="66"/>
      <c r="H523" s="70"/>
      <c r="I523" s="71"/>
      <c r="J523" s="71"/>
      <c r="K523" s="35" t="s">
        <v>65</v>
      </c>
      <c r="L523" s="79">
        <v>523</v>
      </c>
      <c r="M523" s="79"/>
      <c r="N523" s="73"/>
      <c r="O523" s="81" t="s">
        <v>377</v>
      </c>
      <c r="P523">
        <v>1</v>
      </c>
      <c r="Q523" s="80" t="str">
        <f>REPLACE(INDEX(GroupVertices[Group],MATCH(Edges[[#This Row],[Vertex 1]],GroupVertices[Vertex],0)),1,1,"")</f>
        <v>1</v>
      </c>
      <c r="R523" s="80" t="str">
        <f>REPLACE(INDEX(GroupVertices[Group],MATCH(Edges[[#This Row],[Vertex 2]],GroupVertices[Vertex],0)),1,1,"")</f>
        <v>2</v>
      </c>
      <c r="S523" s="35"/>
      <c r="T523" s="35"/>
      <c r="U523" s="35"/>
      <c r="V523" s="35"/>
      <c r="W523" s="35"/>
      <c r="X523" s="35"/>
      <c r="Y523" s="35"/>
      <c r="Z523" s="35"/>
      <c r="AA523" s="35"/>
    </row>
    <row r="524" spans="1:27" ht="15">
      <c r="A524" s="65" t="s">
        <v>226</v>
      </c>
      <c r="B524" s="65" t="s">
        <v>213</v>
      </c>
      <c r="C524" s="66" t="s">
        <v>1612</v>
      </c>
      <c r="D524" s="67">
        <v>5</v>
      </c>
      <c r="E524" s="68"/>
      <c r="F524" s="69">
        <v>25</v>
      </c>
      <c r="G524" s="66"/>
      <c r="H524" s="70"/>
      <c r="I524" s="71"/>
      <c r="J524" s="71"/>
      <c r="K524" s="35" t="s">
        <v>65</v>
      </c>
      <c r="L524" s="79">
        <v>524</v>
      </c>
      <c r="M524" s="79"/>
      <c r="N524" s="73"/>
      <c r="O524" s="81" t="s">
        <v>379</v>
      </c>
      <c r="P524">
        <v>1</v>
      </c>
      <c r="Q524" s="80" t="str">
        <f>REPLACE(INDEX(GroupVertices[Group],MATCH(Edges[[#This Row],[Vertex 1]],GroupVertices[Vertex],0)),1,1,"")</f>
        <v>8</v>
      </c>
      <c r="R524" s="80" t="str">
        <f>REPLACE(INDEX(GroupVertices[Group],MATCH(Edges[[#This Row],[Vertex 2]],GroupVertices[Vertex],0)),1,1,"")</f>
        <v>2</v>
      </c>
      <c r="S524" s="35"/>
      <c r="T524" s="35"/>
      <c r="U524" s="35"/>
      <c r="V524" s="35"/>
      <c r="W524" s="35"/>
      <c r="X524" s="35"/>
      <c r="Y524" s="35"/>
      <c r="Z524" s="35"/>
      <c r="AA524" s="35"/>
    </row>
    <row r="525" spans="1:27" ht="15">
      <c r="A525" s="65" t="s">
        <v>216</v>
      </c>
      <c r="B525" s="65" t="s">
        <v>213</v>
      </c>
      <c r="C525" s="66" t="s">
        <v>1612</v>
      </c>
      <c r="D525" s="67">
        <v>5</v>
      </c>
      <c r="E525" s="68"/>
      <c r="F525" s="69">
        <v>25</v>
      </c>
      <c r="G525" s="66"/>
      <c r="H525" s="70"/>
      <c r="I525" s="71"/>
      <c r="J525" s="71"/>
      <c r="K525" s="35" t="s">
        <v>66</v>
      </c>
      <c r="L525" s="79">
        <v>525</v>
      </c>
      <c r="M525" s="79"/>
      <c r="N525" s="73"/>
      <c r="O525" s="81" t="s">
        <v>379</v>
      </c>
      <c r="P525">
        <v>1</v>
      </c>
      <c r="Q525" s="80" t="str">
        <f>REPLACE(INDEX(GroupVertices[Group],MATCH(Edges[[#This Row],[Vertex 1]],GroupVertices[Vertex],0)),1,1,"")</f>
        <v>2</v>
      </c>
      <c r="R525" s="80" t="str">
        <f>REPLACE(INDEX(GroupVertices[Group],MATCH(Edges[[#This Row],[Vertex 2]],GroupVertices[Vertex],0)),1,1,"")</f>
        <v>2</v>
      </c>
      <c r="S525" s="35"/>
      <c r="T525" s="35"/>
      <c r="U525" s="35"/>
      <c r="V525" s="35"/>
      <c r="W525" s="35"/>
      <c r="X525" s="35"/>
      <c r="Y525" s="35"/>
      <c r="Z525" s="35"/>
      <c r="AA525" s="35"/>
    </row>
    <row r="526" spans="1:27" ht="15">
      <c r="A526" s="65" t="s">
        <v>218</v>
      </c>
      <c r="B526" s="65" t="s">
        <v>213</v>
      </c>
      <c r="C526" s="66" t="s">
        <v>1612</v>
      </c>
      <c r="D526" s="67">
        <v>5</v>
      </c>
      <c r="E526" s="68"/>
      <c r="F526" s="69">
        <v>25</v>
      </c>
      <c r="G526" s="66"/>
      <c r="H526" s="70"/>
      <c r="I526" s="71"/>
      <c r="J526" s="71"/>
      <c r="K526" s="35" t="s">
        <v>66</v>
      </c>
      <c r="L526" s="79">
        <v>526</v>
      </c>
      <c r="M526" s="79"/>
      <c r="N526" s="73"/>
      <c r="O526" s="81" t="s">
        <v>379</v>
      </c>
      <c r="P526">
        <v>1</v>
      </c>
      <c r="Q526" s="80" t="str">
        <f>REPLACE(INDEX(GroupVertices[Group],MATCH(Edges[[#This Row],[Vertex 1]],GroupVertices[Vertex],0)),1,1,"")</f>
        <v>2</v>
      </c>
      <c r="R526" s="80" t="str">
        <f>REPLACE(INDEX(GroupVertices[Group],MATCH(Edges[[#This Row],[Vertex 2]],GroupVertices[Vertex],0)),1,1,"")</f>
        <v>2</v>
      </c>
      <c r="S526" s="35"/>
      <c r="T526" s="35"/>
      <c r="U526" s="35"/>
      <c r="V526" s="35"/>
      <c r="W526" s="35"/>
      <c r="X526" s="35"/>
      <c r="Y526" s="35"/>
      <c r="Z526" s="35"/>
      <c r="AA526" s="35"/>
    </row>
    <row r="527" spans="1:27" ht="15">
      <c r="A527" s="65" t="s">
        <v>231</v>
      </c>
      <c r="B527" s="65" t="s">
        <v>213</v>
      </c>
      <c r="C527" s="66" t="s">
        <v>1612</v>
      </c>
      <c r="D527" s="67">
        <v>5</v>
      </c>
      <c r="E527" s="68"/>
      <c r="F527" s="69">
        <v>25</v>
      </c>
      <c r="G527" s="66"/>
      <c r="H527" s="70"/>
      <c r="I527" s="71"/>
      <c r="J527" s="71"/>
      <c r="K527" s="35" t="s">
        <v>65</v>
      </c>
      <c r="L527" s="79">
        <v>527</v>
      </c>
      <c r="M527" s="79"/>
      <c r="N527" s="73"/>
      <c r="O527" s="81" t="s">
        <v>379</v>
      </c>
      <c r="P527">
        <v>1</v>
      </c>
      <c r="Q527" s="80" t="str">
        <f>REPLACE(INDEX(GroupVertices[Group],MATCH(Edges[[#This Row],[Vertex 1]],GroupVertices[Vertex],0)),1,1,"")</f>
        <v>1</v>
      </c>
      <c r="R527" s="80" t="str">
        <f>REPLACE(INDEX(GroupVertices[Group],MATCH(Edges[[#This Row],[Vertex 2]],GroupVertices[Vertex],0)),1,1,"")</f>
        <v>2</v>
      </c>
      <c r="S527" s="35"/>
      <c r="T527" s="35"/>
      <c r="U527" s="35"/>
      <c r="V527" s="35"/>
      <c r="W527" s="35"/>
      <c r="X527" s="35"/>
      <c r="Y527" s="35"/>
      <c r="Z527" s="35"/>
      <c r="AA527" s="35"/>
    </row>
    <row r="528" spans="1:27" ht="15">
      <c r="A528" s="65" t="s">
        <v>220</v>
      </c>
      <c r="B528" s="65" t="s">
        <v>213</v>
      </c>
      <c r="C528" s="66" t="s">
        <v>1612</v>
      </c>
      <c r="D528" s="67">
        <v>5</v>
      </c>
      <c r="E528" s="68"/>
      <c r="F528" s="69">
        <v>25</v>
      </c>
      <c r="G528" s="66"/>
      <c r="H528" s="70"/>
      <c r="I528" s="71"/>
      <c r="J528" s="71"/>
      <c r="K528" s="35" t="s">
        <v>66</v>
      </c>
      <c r="L528" s="79">
        <v>528</v>
      </c>
      <c r="M528" s="79"/>
      <c r="N528" s="73"/>
      <c r="O528" s="81" t="s">
        <v>379</v>
      </c>
      <c r="P528">
        <v>1</v>
      </c>
      <c r="Q528" s="80" t="str">
        <f>REPLACE(INDEX(GroupVertices[Group],MATCH(Edges[[#This Row],[Vertex 1]],GroupVertices[Vertex],0)),1,1,"")</f>
        <v>2</v>
      </c>
      <c r="R528" s="80" t="str">
        <f>REPLACE(INDEX(GroupVertices[Group],MATCH(Edges[[#This Row],[Vertex 2]],GroupVertices[Vertex],0)),1,1,"")</f>
        <v>2</v>
      </c>
      <c r="S528" s="35"/>
      <c r="T528" s="35"/>
      <c r="U528" s="35"/>
      <c r="V528" s="35"/>
      <c r="W528" s="35"/>
      <c r="X528" s="35"/>
      <c r="Y528" s="35"/>
      <c r="Z528" s="35"/>
      <c r="AA528" s="35"/>
    </row>
    <row r="529" spans="1:27" ht="15">
      <c r="A529" s="65" t="s">
        <v>230</v>
      </c>
      <c r="B529" s="65" t="s">
        <v>213</v>
      </c>
      <c r="C529" s="66" t="s">
        <v>1612</v>
      </c>
      <c r="D529" s="67">
        <v>5</v>
      </c>
      <c r="E529" s="68"/>
      <c r="F529" s="69">
        <v>25</v>
      </c>
      <c r="G529" s="66"/>
      <c r="H529" s="70"/>
      <c r="I529" s="71"/>
      <c r="J529" s="71"/>
      <c r="K529" s="35" t="s">
        <v>65</v>
      </c>
      <c r="L529" s="79">
        <v>529</v>
      </c>
      <c r="M529" s="79"/>
      <c r="N529" s="73"/>
      <c r="O529" s="81" t="s">
        <v>379</v>
      </c>
      <c r="P529">
        <v>1</v>
      </c>
      <c r="Q529" s="80" t="str">
        <f>REPLACE(INDEX(GroupVertices[Group],MATCH(Edges[[#This Row],[Vertex 1]],GroupVertices[Vertex],0)),1,1,"")</f>
        <v>2</v>
      </c>
      <c r="R529" s="80" t="str">
        <f>REPLACE(INDEX(GroupVertices[Group],MATCH(Edges[[#This Row],[Vertex 2]],GroupVertices[Vertex],0)),1,1,"")</f>
        <v>2</v>
      </c>
      <c r="S529" s="35"/>
      <c r="T529" s="35"/>
      <c r="U529" s="35"/>
      <c r="V529" s="35"/>
      <c r="W529" s="35"/>
      <c r="X529" s="35"/>
      <c r="Y529" s="35"/>
      <c r="Z529" s="35"/>
      <c r="AA529" s="35"/>
    </row>
    <row r="530" spans="1:27" ht="15">
      <c r="A530" s="65" t="s">
        <v>227</v>
      </c>
      <c r="B530" s="65" t="s">
        <v>213</v>
      </c>
      <c r="C530" s="66" t="s">
        <v>1612</v>
      </c>
      <c r="D530" s="67">
        <v>5</v>
      </c>
      <c r="E530" s="68"/>
      <c r="F530" s="69">
        <v>25</v>
      </c>
      <c r="G530" s="66"/>
      <c r="H530" s="70"/>
      <c r="I530" s="71"/>
      <c r="J530" s="71"/>
      <c r="K530" s="35" t="s">
        <v>65</v>
      </c>
      <c r="L530" s="79">
        <v>530</v>
      </c>
      <c r="M530" s="79"/>
      <c r="N530" s="73"/>
      <c r="O530" s="81" t="s">
        <v>378</v>
      </c>
      <c r="P530">
        <v>1</v>
      </c>
      <c r="Q530" s="80" t="str">
        <f>REPLACE(INDEX(GroupVertices[Group],MATCH(Edges[[#This Row],[Vertex 1]],GroupVertices[Vertex],0)),1,1,"")</f>
        <v>1</v>
      </c>
      <c r="R530" s="80" t="str">
        <f>REPLACE(INDEX(GroupVertices[Group],MATCH(Edges[[#This Row],[Vertex 2]],GroupVertices[Vertex],0)),1,1,"")</f>
        <v>2</v>
      </c>
      <c r="S530" s="35"/>
      <c r="T530" s="35"/>
      <c r="U530" s="35"/>
      <c r="V530" s="35"/>
      <c r="W530" s="35"/>
      <c r="X530" s="35"/>
      <c r="Y530" s="35"/>
      <c r="Z530" s="35"/>
      <c r="AA530" s="35"/>
    </row>
    <row r="531" spans="1:27" ht="15">
      <c r="A531" s="65" t="s">
        <v>232</v>
      </c>
      <c r="B531" s="65" t="s">
        <v>213</v>
      </c>
      <c r="C531" s="66" t="s">
        <v>1612</v>
      </c>
      <c r="D531" s="67">
        <v>5</v>
      </c>
      <c r="E531" s="68"/>
      <c r="F531" s="69">
        <v>25</v>
      </c>
      <c r="G531" s="66"/>
      <c r="H531" s="70"/>
      <c r="I531" s="71"/>
      <c r="J531" s="71"/>
      <c r="K531" s="35" t="s">
        <v>65</v>
      </c>
      <c r="L531" s="79">
        <v>531</v>
      </c>
      <c r="M531" s="79"/>
      <c r="N531" s="73"/>
      <c r="O531" s="81" t="s">
        <v>378</v>
      </c>
      <c r="P531">
        <v>1</v>
      </c>
      <c r="Q531" s="80" t="str">
        <f>REPLACE(INDEX(GroupVertices[Group],MATCH(Edges[[#This Row],[Vertex 1]],GroupVertices[Vertex],0)),1,1,"")</f>
        <v>1</v>
      </c>
      <c r="R531" s="80" t="str">
        <f>REPLACE(INDEX(GroupVertices[Group],MATCH(Edges[[#This Row],[Vertex 2]],GroupVertices[Vertex],0)),1,1,"")</f>
        <v>2</v>
      </c>
      <c r="S531" s="35"/>
      <c r="T531" s="35"/>
      <c r="U531" s="35"/>
      <c r="V531" s="35"/>
      <c r="W531" s="35"/>
      <c r="X531" s="35"/>
      <c r="Y531" s="35"/>
      <c r="Z531" s="35"/>
      <c r="AA531" s="35"/>
    </row>
    <row r="532" spans="1:27" ht="15">
      <c r="A532" s="65" t="s">
        <v>228</v>
      </c>
      <c r="B532" s="65" t="s">
        <v>213</v>
      </c>
      <c r="C532" s="66" t="s">
        <v>1612</v>
      </c>
      <c r="D532" s="67">
        <v>5</v>
      </c>
      <c r="E532" s="68"/>
      <c r="F532" s="69">
        <v>25</v>
      </c>
      <c r="G532" s="66"/>
      <c r="H532" s="70"/>
      <c r="I532" s="71"/>
      <c r="J532" s="71"/>
      <c r="K532" s="35" t="s">
        <v>65</v>
      </c>
      <c r="L532" s="79">
        <v>532</v>
      </c>
      <c r="M532" s="79"/>
      <c r="N532" s="73"/>
      <c r="O532" s="81" t="s">
        <v>378</v>
      </c>
      <c r="P532">
        <v>1</v>
      </c>
      <c r="Q532" s="80" t="str">
        <f>REPLACE(INDEX(GroupVertices[Group],MATCH(Edges[[#This Row],[Vertex 1]],GroupVertices[Vertex],0)),1,1,"")</f>
        <v>1</v>
      </c>
      <c r="R532" s="80" t="str">
        <f>REPLACE(INDEX(GroupVertices[Group],MATCH(Edges[[#This Row],[Vertex 2]],GroupVertices[Vertex],0)),1,1,"")</f>
        <v>2</v>
      </c>
      <c r="S532" s="35"/>
      <c r="T532" s="35"/>
      <c r="U532" s="35"/>
      <c r="V532" s="35"/>
      <c r="W532" s="35"/>
      <c r="X532" s="35"/>
      <c r="Y532" s="35"/>
      <c r="Z532" s="35"/>
      <c r="AA532" s="35"/>
    </row>
    <row r="533" spans="1:27" ht="15">
      <c r="A533" s="65" t="s">
        <v>226</v>
      </c>
      <c r="B533" s="65" t="s">
        <v>221</v>
      </c>
      <c r="C533" s="66" t="s">
        <v>1612</v>
      </c>
      <c r="D533" s="67">
        <v>5</v>
      </c>
      <c r="E533" s="68"/>
      <c r="F533" s="69">
        <v>25</v>
      </c>
      <c r="G533" s="66"/>
      <c r="H533" s="70"/>
      <c r="I533" s="71"/>
      <c r="J533" s="71"/>
      <c r="K533" s="35" t="s">
        <v>66</v>
      </c>
      <c r="L533" s="79">
        <v>533</v>
      </c>
      <c r="M533" s="79"/>
      <c r="N533" s="73"/>
      <c r="O533" s="81" t="s">
        <v>377</v>
      </c>
      <c r="P533">
        <v>1</v>
      </c>
      <c r="Q533" s="80" t="str">
        <f>REPLACE(INDEX(GroupVertices[Group],MATCH(Edges[[#This Row],[Vertex 1]],GroupVertices[Vertex],0)),1,1,"")</f>
        <v>8</v>
      </c>
      <c r="R533" s="80" t="str">
        <f>REPLACE(INDEX(GroupVertices[Group],MATCH(Edges[[#This Row],[Vertex 2]],GroupVertices[Vertex],0)),1,1,"")</f>
        <v>1</v>
      </c>
      <c r="S533" s="35"/>
      <c r="T533" s="35"/>
      <c r="U533" s="35"/>
      <c r="V533" s="35"/>
      <c r="W533" s="35"/>
      <c r="X533" s="35"/>
      <c r="Y533" s="35"/>
      <c r="Z533" s="35"/>
      <c r="AA533" s="35"/>
    </row>
    <row r="534" spans="1:27" ht="15">
      <c r="A534" s="65" t="s">
        <v>226</v>
      </c>
      <c r="B534" s="65" t="s">
        <v>230</v>
      </c>
      <c r="C534" s="66" t="s">
        <v>1612</v>
      </c>
      <c r="D534" s="67">
        <v>5</v>
      </c>
      <c r="E534" s="68"/>
      <c r="F534" s="69">
        <v>25</v>
      </c>
      <c r="G534" s="66"/>
      <c r="H534" s="70"/>
      <c r="I534" s="71"/>
      <c r="J534" s="71"/>
      <c r="K534" s="35" t="s">
        <v>66</v>
      </c>
      <c r="L534" s="79">
        <v>534</v>
      </c>
      <c r="M534" s="79"/>
      <c r="N534" s="73"/>
      <c r="O534" s="81" t="s">
        <v>377</v>
      </c>
      <c r="P534">
        <v>1</v>
      </c>
      <c r="Q534" s="80" t="str">
        <f>REPLACE(INDEX(GroupVertices[Group],MATCH(Edges[[#This Row],[Vertex 1]],GroupVertices[Vertex],0)),1,1,"")</f>
        <v>8</v>
      </c>
      <c r="R534" s="80" t="str">
        <f>REPLACE(INDEX(GroupVertices[Group],MATCH(Edges[[#This Row],[Vertex 2]],GroupVertices[Vertex],0)),1,1,"")</f>
        <v>2</v>
      </c>
      <c r="S534" s="35"/>
      <c r="T534" s="35"/>
      <c r="U534" s="35"/>
      <c r="V534" s="35"/>
      <c r="W534" s="35"/>
      <c r="X534" s="35"/>
      <c r="Y534" s="35"/>
      <c r="Z534" s="35"/>
      <c r="AA534" s="35"/>
    </row>
    <row r="535" spans="1:27" ht="15">
      <c r="A535" s="65" t="s">
        <v>214</v>
      </c>
      <c r="B535" s="65" t="s">
        <v>226</v>
      </c>
      <c r="C535" s="66" t="s">
        <v>1612</v>
      </c>
      <c r="D535" s="67">
        <v>5</v>
      </c>
      <c r="E535" s="68"/>
      <c r="F535" s="69">
        <v>25</v>
      </c>
      <c r="G535" s="66"/>
      <c r="H535" s="70"/>
      <c r="I535" s="71"/>
      <c r="J535" s="71"/>
      <c r="K535" s="35" t="s">
        <v>65</v>
      </c>
      <c r="L535" s="79">
        <v>535</v>
      </c>
      <c r="M535" s="79"/>
      <c r="N535" s="73"/>
      <c r="O535" s="81" t="s">
        <v>377</v>
      </c>
      <c r="P535">
        <v>1</v>
      </c>
      <c r="Q535" s="80" t="str">
        <f>REPLACE(INDEX(GroupVertices[Group],MATCH(Edges[[#This Row],[Vertex 1]],GroupVertices[Vertex],0)),1,1,"")</f>
        <v>1</v>
      </c>
      <c r="R535" s="80" t="str">
        <f>REPLACE(INDEX(GroupVertices[Group],MATCH(Edges[[#This Row],[Vertex 2]],GroupVertices[Vertex],0)),1,1,"")</f>
        <v>8</v>
      </c>
      <c r="S535" s="35"/>
      <c r="T535" s="35"/>
      <c r="U535" s="35"/>
      <c r="V535" s="35"/>
      <c r="W535" s="35"/>
      <c r="X535" s="35"/>
      <c r="Y535" s="35"/>
      <c r="Z535" s="35"/>
      <c r="AA535" s="35"/>
    </row>
    <row r="536" spans="1:27" ht="15">
      <c r="A536" s="65" t="s">
        <v>227</v>
      </c>
      <c r="B536" s="65" t="s">
        <v>226</v>
      </c>
      <c r="C536" s="66" t="s">
        <v>1612</v>
      </c>
      <c r="D536" s="67">
        <v>5</v>
      </c>
      <c r="E536" s="68"/>
      <c r="F536" s="69">
        <v>25</v>
      </c>
      <c r="G536" s="66"/>
      <c r="H536" s="70"/>
      <c r="I536" s="71"/>
      <c r="J536" s="71"/>
      <c r="K536" s="35" t="s">
        <v>65</v>
      </c>
      <c r="L536" s="79">
        <v>536</v>
      </c>
      <c r="M536" s="79"/>
      <c r="N536" s="73"/>
      <c r="O536" s="81" t="s">
        <v>377</v>
      </c>
      <c r="P536">
        <v>1</v>
      </c>
      <c r="Q536" s="80" t="str">
        <f>REPLACE(INDEX(GroupVertices[Group],MATCH(Edges[[#This Row],[Vertex 1]],GroupVertices[Vertex],0)),1,1,"")</f>
        <v>1</v>
      </c>
      <c r="R536" s="80" t="str">
        <f>REPLACE(INDEX(GroupVertices[Group],MATCH(Edges[[#This Row],[Vertex 2]],GroupVertices[Vertex],0)),1,1,"")</f>
        <v>8</v>
      </c>
      <c r="S536" s="35"/>
      <c r="T536" s="35"/>
      <c r="U536" s="35"/>
      <c r="V536" s="35"/>
      <c r="W536" s="35"/>
      <c r="X536" s="35"/>
      <c r="Y536" s="35"/>
      <c r="Z536" s="35"/>
      <c r="AA536" s="35"/>
    </row>
    <row r="537" spans="1:27" ht="15">
      <c r="A537" s="65" t="s">
        <v>215</v>
      </c>
      <c r="B537" s="65" t="s">
        <v>226</v>
      </c>
      <c r="C537" s="66" t="s">
        <v>1612</v>
      </c>
      <c r="D537" s="67">
        <v>5</v>
      </c>
      <c r="E537" s="68"/>
      <c r="F537" s="69">
        <v>25</v>
      </c>
      <c r="G537" s="66"/>
      <c r="H537" s="70"/>
      <c r="I537" s="71"/>
      <c r="J537" s="71"/>
      <c r="K537" s="35" t="s">
        <v>65</v>
      </c>
      <c r="L537" s="79">
        <v>537</v>
      </c>
      <c r="M537" s="79"/>
      <c r="N537" s="73"/>
      <c r="O537" s="81" t="s">
        <v>377</v>
      </c>
      <c r="P537">
        <v>1</v>
      </c>
      <c r="Q537" s="80" t="str">
        <f>REPLACE(INDEX(GroupVertices[Group],MATCH(Edges[[#This Row],[Vertex 1]],GroupVertices[Vertex],0)),1,1,"")</f>
        <v>1</v>
      </c>
      <c r="R537" s="80" t="str">
        <f>REPLACE(INDEX(GroupVertices[Group],MATCH(Edges[[#This Row],[Vertex 2]],GroupVertices[Vertex],0)),1,1,"")</f>
        <v>8</v>
      </c>
      <c r="S537" s="35"/>
      <c r="T537" s="35"/>
      <c r="U537" s="35"/>
      <c r="V537" s="35"/>
      <c r="W537" s="35"/>
      <c r="X537" s="35"/>
      <c r="Y537" s="35"/>
      <c r="Z537" s="35"/>
      <c r="AA537" s="35"/>
    </row>
    <row r="538" spans="1:27" ht="15">
      <c r="A538" s="65" t="s">
        <v>228</v>
      </c>
      <c r="B538" s="65" t="s">
        <v>226</v>
      </c>
      <c r="C538" s="66" t="s">
        <v>1612</v>
      </c>
      <c r="D538" s="67">
        <v>5</v>
      </c>
      <c r="E538" s="68"/>
      <c r="F538" s="69">
        <v>25</v>
      </c>
      <c r="G538" s="66"/>
      <c r="H538" s="70"/>
      <c r="I538" s="71"/>
      <c r="J538" s="71"/>
      <c r="K538" s="35" t="s">
        <v>65</v>
      </c>
      <c r="L538" s="79">
        <v>538</v>
      </c>
      <c r="M538" s="79"/>
      <c r="N538" s="73"/>
      <c r="O538" s="81" t="s">
        <v>377</v>
      </c>
      <c r="P538">
        <v>1</v>
      </c>
      <c r="Q538" s="80" t="str">
        <f>REPLACE(INDEX(GroupVertices[Group],MATCH(Edges[[#This Row],[Vertex 1]],GroupVertices[Vertex],0)),1,1,"")</f>
        <v>1</v>
      </c>
      <c r="R538" s="80" t="str">
        <f>REPLACE(INDEX(GroupVertices[Group],MATCH(Edges[[#This Row],[Vertex 2]],GroupVertices[Vertex],0)),1,1,"")</f>
        <v>8</v>
      </c>
      <c r="S538" s="35"/>
      <c r="T538" s="35"/>
      <c r="U538" s="35"/>
      <c r="V538" s="35"/>
      <c r="W538" s="35"/>
      <c r="X538" s="35"/>
      <c r="Y538" s="35"/>
      <c r="Z538" s="35"/>
      <c r="AA538" s="35"/>
    </row>
    <row r="539" spans="1:27" ht="15">
      <c r="A539" s="65" t="s">
        <v>221</v>
      </c>
      <c r="B539" s="65" t="s">
        <v>226</v>
      </c>
      <c r="C539" s="66" t="s">
        <v>1612</v>
      </c>
      <c r="D539" s="67">
        <v>5</v>
      </c>
      <c r="E539" s="68"/>
      <c r="F539" s="69">
        <v>25</v>
      </c>
      <c r="G539" s="66"/>
      <c r="H539" s="70"/>
      <c r="I539" s="71"/>
      <c r="J539" s="71"/>
      <c r="K539" s="35" t="s">
        <v>66</v>
      </c>
      <c r="L539" s="79">
        <v>539</v>
      </c>
      <c r="M539" s="79"/>
      <c r="N539" s="73"/>
      <c r="O539" s="81" t="s">
        <v>377</v>
      </c>
      <c r="P539">
        <v>1</v>
      </c>
      <c r="Q539" s="80" t="str">
        <f>REPLACE(INDEX(GroupVertices[Group],MATCH(Edges[[#This Row],[Vertex 1]],GroupVertices[Vertex],0)),1,1,"")</f>
        <v>1</v>
      </c>
      <c r="R539" s="80" t="str">
        <f>REPLACE(INDEX(GroupVertices[Group],MATCH(Edges[[#This Row],[Vertex 2]],GroupVertices[Vertex],0)),1,1,"")</f>
        <v>8</v>
      </c>
      <c r="S539" s="35"/>
      <c r="T539" s="35"/>
      <c r="U539" s="35"/>
      <c r="V539" s="35"/>
      <c r="W539" s="35"/>
      <c r="X539" s="35"/>
      <c r="Y539" s="35"/>
      <c r="Z539" s="35"/>
      <c r="AA539" s="35"/>
    </row>
    <row r="540" spans="1:27" ht="15">
      <c r="A540" s="65" t="s">
        <v>222</v>
      </c>
      <c r="B540" s="65" t="s">
        <v>226</v>
      </c>
      <c r="C540" s="66" t="s">
        <v>1612</v>
      </c>
      <c r="D540" s="67">
        <v>5</v>
      </c>
      <c r="E540" s="68"/>
      <c r="F540" s="69">
        <v>25</v>
      </c>
      <c r="G540" s="66"/>
      <c r="H540" s="70"/>
      <c r="I540" s="71"/>
      <c r="J540" s="71"/>
      <c r="K540" s="35" t="s">
        <v>65</v>
      </c>
      <c r="L540" s="79">
        <v>540</v>
      </c>
      <c r="M540" s="79"/>
      <c r="N540" s="73"/>
      <c r="O540" s="81" t="s">
        <v>377</v>
      </c>
      <c r="P540">
        <v>1</v>
      </c>
      <c r="Q540" s="80" t="str">
        <f>REPLACE(INDEX(GroupVertices[Group],MATCH(Edges[[#This Row],[Vertex 1]],GroupVertices[Vertex],0)),1,1,"")</f>
        <v>1</v>
      </c>
      <c r="R540" s="80" t="str">
        <f>REPLACE(INDEX(GroupVertices[Group],MATCH(Edges[[#This Row],[Vertex 2]],GroupVertices[Vertex],0)),1,1,"")</f>
        <v>8</v>
      </c>
      <c r="S540" s="35"/>
      <c r="T540" s="35"/>
      <c r="U540" s="35"/>
      <c r="V540" s="35"/>
      <c r="W540" s="35"/>
      <c r="X540" s="35"/>
      <c r="Y540" s="35"/>
      <c r="Z540" s="35"/>
      <c r="AA540" s="35"/>
    </row>
    <row r="541" spans="1:27" ht="15">
      <c r="A541" s="65" t="s">
        <v>223</v>
      </c>
      <c r="B541" s="65" t="s">
        <v>226</v>
      </c>
      <c r="C541" s="66" t="s">
        <v>1612</v>
      </c>
      <c r="D541" s="67">
        <v>5</v>
      </c>
      <c r="E541" s="68"/>
      <c r="F541" s="69">
        <v>25</v>
      </c>
      <c r="G541" s="66"/>
      <c r="H541" s="70"/>
      <c r="I541" s="71"/>
      <c r="J541" s="71"/>
      <c r="K541" s="35" t="s">
        <v>65</v>
      </c>
      <c r="L541" s="79">
        <v>541</v>
      </c>
      <c r="M541" s="79"/>
      <c r="N541" s="73"/>
      <c r="O541" s="81" t="s">
        <v>377</v>
      </c>
      <c r="P541">
        <v>1</v>
      </c>
      <c r="Q541" s="80" t="str">
        <f>REPLACE(INDEX(GroupVertices[Group],MATCH(Edges[[#This Row],[Vertex 1]],GroupVertices[Vertex],0)),1,1,"")</f>
        <v>1</v>
      </c>
      <c r="R541" s="80" t="str">
        <f>REPLACE(INDEX(GroupVertices[Group],MATCH(Edges[[#This Row],[Vertex 2]],GroupVertices[Vertex],0)),1,1,"")</f>
        <v>8</v>
      </c>
      <c r="S541" s="35"/>
      <c r="T541" s="35"/>
      <c r="U541" s="35"/>
      <c r="V541" s="35"/>
      <c r="W541" s="35"/>
      <c r="X541" s="35"/>
      <c r="Y541" s="35"/>
      <c r="Z541" s="35"/>
      <c r="AA541" s="35"/>
    </row>
    <row r="542" spans="1:27" ht="15">
      <c r="A542" s="65" t="s">
        <v>229</v>
      </c>
      <c r="B542" s="65" t="s">
        <v>226</v>
      </c>
      <c r="C542" s="66" t="s">
        <v>1612</v>
      </c>
      <c r="D542" s="67">
        <v>5</v>
      </c>
      <c r="E542" s="68"/>
      <c r="F542" s="69">
        <v>25</v>
      </c>
      <c r="G542" s="66"/>
      <c r="H542" s="70"/>
      <c r="I542" s="71"/>
      <c r="J542" s="71"/>
      <c r="K542" s="35" t="s">
        <v>65</v>
      </c>
      <c r="L542" s="79">
        <v>542</v>
      </c>
      <c r="M542" s="79"/>
      <c r="N542" s="73"/>
      <c r="O542" s="81" t="s">
        <v>377</v>
      </c>
      <c r="P542">
        <v>1</v>
      </c>
      <c r="Q542" s="80" t="str">
        <f>REPLACE(INDEX(GroupVertices[Group],MATCH(Edges[[#This Row],[Vertex 1]],GroupVertices[Vertex],0)),1,1,"")</f>
        <v>1</v>
      </c>
      <c r="R542" s="80" t="str">
        <f>REPLACE(INDEX(GroupVertices[Group],MATCH(Edges[[#This Row],[Vertex 2]],GroupVertices[Vertex],0)),1,1,"")</f>
        <v>8</v>
      </c>
      <c r="S542" s="35"/>
      <c r="T542" s="35"/>
      <c r="U542" s="35"/>
      <c r="V542" s="35"/>
      <c r="W542" s="35"/>
      <c r="X542" s="35"/>
      <c r="Y542" s="35"/>
      <c r="Z542" s="35"/>
      <c r="AA542" s="35"/>
    </row>
    <row r="543" spans="1:27" ht="15">
      <c r="A543" s="65" t="s">
        <v>224</v>
      </c>
      <c r="B543" s="65" t="s">
        <v>226</v>
      </c>
      <c r="C543" s="66" t="s">
        <v>1612</v>
      </c>
      <c r="D543" s="67">
        <v>5</v>
      </c>
      <c r="E543" s="68"/>
      <c r="F543" s="69">
        <v>25</v>
      </c>
      <c r="G543" s="66"/>
      <c r="H543" s="70"/>
      <c r="I543" s="71"/>
      <c r="J543" s="71"/>
      <c r="K543" s="35" t="s">
        <v>65</v>
      </c>
      <c r="L543" s="79">
        <v>543</v>
      </c>
      <c r="M543" s="79"/>
      <c r="N543" s="73"/>
      <c r="O543" s="81" t="s">
        <v>377</v>
      </c>
      <c r="P543">
        <v>1</v>
      </c>
      <c r="Q543" s="80" t="str">
        <f>REPLACE(INDEX(GroupVertices[Group],MATCH(Edges[[#This Row],[Vertex 1]],GroupVertices[Vertex],0)),1,1,"")</f>
        <v>1</v>
      </c>
      <c r="R543" s="80" t="str">
        <f>REPLACE(INDEX(GroupVertices[Group],MATCH(Edges[[#This Row],[Vertex 2]],GroupVertices[Vertex],0)),1,1,"")</f>
        <v>8</v>
      </c>
      <c r="S543" s="35"/>
      <c r="T543" s="35"/>
      <c r="U543" s="35"/>
      <c r="V543" s="35"/>
      <c r="W543" s="35"/>
      <c r="X543" s="35"/>
      <c r="Y543" s="35"/>
      <c r="Z543" s="35"/>
      <c r="AA543" s="35"/>
    </row>
    <row r="544" spans="1:27" ht="15">
      <c r="A544" s="65" t="s">
        <v>214</v>
      </c>
      <c r="B544" s="65" t="s">
        <v>226</v>
      </c>
      <c r="C544" s="66" t="s">
        <v>1612</v>
      </c>
      <c r="D544" s="67">
        <v>5</v>
      </c>
      <c r="E544" s="68"/>
      <c r="F544" s="69">
        <v>25</v>
      </c>
      <c r="G544" s="66"/>
      <c r="H544" s="70"/>
      <c r="I544" s="71"/>
      <c r="J544" s="71"/>
      <c r="K544" s="35" t="s">
        <v>65</v>
      </c>
      <c r="L544" s="79">
        <v>544</v>
      </c>
      <c r="M544" s="79"/>
      <c r="N544" s="73"/>
      <c r="O544" s="81" t="s">
        <v>379</v>
      </c>
      <c r="P544">
        <v>1</v>
      </c>
      <c r="Q544" s="80" t="str">
        <f>REPLACE(INDEX(GroupVertices[Group],MATCH(Edges[[#This Row],[Vertex 1]],GroupVertices[Vertex],0)),1,1,"")</f>
        <v>1</v>
      </c>
      <c r="R544" s="80" t="str">
        <f>REPLACE(INDEX(GroupVertices[Group],MATCH(Edges[[#This Row],[Vertex 2]],GroupVertices[Vertex],0)),1,1,"")</f>
        <v>8</v>
      </c>
      <c r="S544" s="35"/>
      <c r="T544" s="35"/>
      <c r="U544" s="35"/>
      <c r="V544" s="35"/>
      <c r="W544" s="35"/>
      <c r="X544" s="35"/>
      <c r="Y544" s="35"/>
      <c r="Z544" s="35"/>
      <c r="AA544" s="35"/>
    </row>
    <row r="545" spans="1:27" ht="15">
      <c r="A545" s="65" t="s">
        <v>227</v>
      </c>
      <c r="B545" s="65" t="s">
        <v>226</v>
      </c>
      <c r="C545" s="66" t="s">
        <v>1612</v>
      </c>
      <c r="D545" s="67">
        <v>5</v>
      </c>
      <c r="E545" s="68"/>
      <c r="F545" s="69">
        <v>25</v>
      </c>
      <c r="G545" s="66"/>
      <c r="H545" s="70"/>
      <c r="I545" s="71"/>
      <c r="J545" s="71"/>
      <c r="K545" s="35" t="s">
        <v>65</v>
      </c>
      <c r="L545" s="79">
        <v>545</v>
      </c>
      <c r="M545" s="79"/>
      <c r="N545" s="73"/>
      <c r="O545" s="81" t="s">
        <v>379</v>
      </c>
      <c r="P545">
        <v>1</v>
      </c>
      <c r="Q545" s="80" t="str">
        <f>REPLACE(INDEX(GroupVertices[Group],MATCH(Edges[[#This Row],[Vertex 1]],GroupVertices[Vertex],0)),1,1,"")</f>
        <v>1</v>
      </c>
      <c r="R545" s="80" t="str">
        <f>REPLACE(INDEX(GroupVertices[Group],MATCH(Edges[[#This Row],[Vertex 2]],GroupVertices[Vertex],0)),1,1,"")</f>
        <v>8</v>
      </c>
      <c r="S545" s="35"/>
      <c r="T545" s="35"/>
      <c r="U545" s="35"/>
      <c r="V545" s="35"/>
      <c r="W545" s="35"/>
      <c r="X545" s="35"/>
      <c r="Y545" s="35"/>
      <c r="Z545" s="35"/>
      <c r="AA545" s="35"/>
    </row>
    <row r="546" spans="1:27" ht="15">
      <c r="A546" s="65" t="s">
        <v>228</v>
      </c>
      <c r="B546" s="65" t="s">
        <v>226</v>
      </c>
      <c r="C546" s="66" t="s">
        <v>1612</v>
      </c>
      <c r="D546" s="67">
        <v>5</v>
      </c>
      <c r="E546" s="68"/>
      <c r="F546" s="69">
        <v>25</v>
      </c>
      <c r="G546" s="66"/>
      <c r="H546" s="70"/>
      <c r="I546" s="71"/>
      <c r="J546" s="71"/>
      <c r="K546" s="35" t="s">
        <v>65</v>
      </c>
      <c r="L546" s="79">
        <v>546</v>
      </c>
      <c r="M546" s="79"/>
      <c r="N546" s="73"/>
      <c r="O546" s="81" t="s">
        <v>379</v>
      </c>
      <c r="P546">
        <v>1</v>
      </c>
      <c r="Q546" s="80" t="str">
        <f>REPLACE(INDEX(GroupVertices[Group],MATCH(Edges[[#This Row],[Vertex 1]],GroupVertices[Vertex],0)),1,1,"")</f>
        <v>1</v>
      </c>
      <c r="R546" s="80" t="str">
        <f>REPLACE(INDEX(GroupVertices[Group],MATCH(Edges[[#This Row],[Vertex 2]],GroupVertices[Vertex],0)),1,1,"")</f>
        <v>8</v>
      </c>
      <c r="S546" s="35"/>
      <c r="T546" s="35"/>
      <c r="U546" s="35"/>
      <c r="V546" s="35"/>
      <c r="W546" s="35"/>
      <c r="X546" s="35"/>
      <c r="Y546" s="35"/>
      <c r="Z546" s="35"/>
      <c r="AA546" s="35"/>
    </row>
    <row r="547" spans="1:27" ht="15">
      <c r="A547" s="65" t="s">
        <v>231</v>
      </c>
      <c r="B547" s="65" t="s">
        <v>226</v>
      </c>
      <c r="C547" s="66" t="s">
        <v>1612</v>
      </c>
      <c r="D547" s="67">
        <v>5</v>
      </c>
      <c r="E547" s="68"/>
      <c r="F547" s="69">
        <v>25</v>
      </c>
      <c r="G547" s="66"/>
      <c r="H547" s="70"/>
      <c r="I547" s="71"/>
      <c r="J547" s="71"/>
      <c r="K547" s="35" t="s">
        <v>65</v>
      </c>
      <c r="L547" s="79">
        <v>547</v>
      </c>
      <c r="M547" s="79"/>
      <c r="N547" s="73"/>
      <c r="O547" s="81" t="s">
        <v>379</v>
      </c>
      <c r="P547">
        <v>1</v>
      </c>
      <c r="Q547" s="80" t="str">
        <f>REPLACE(INDEX(GroupVertices[Group],MATCH(Edges[[#This Row],[Vertex 1]],GroupVertices[Vertex],0)),1,1,"")</f>
        <v>1</v>
      </c>
      <c r="R547" s="80" t="str">
        <f>REPLACE(INDEX(GroupVertices[Group],MATCH(Edges[[#This Row],[Vertex 2]],GroupVertices[Vertex],0)),1,1,"")</f>
        <v>8</v>
      </c>
      <c r="S547" s="35"/>
      <c r="T547" s="35"/>
      <c r="U547" s="35"/>
      <c r="V547" s="35"/>
      <c r="W547" s="35"/>
      <c r="X547" s="35"/>
      <c r="Y547" s="35"/>
      <c r="Z547" s="35"/>
      <c r="AA547" s="35"/>
    </row>
    <row r="548" spans="1:27" ht="15">
      <c r="A548" s="65" t="s">
        <v>232</v>
      </c>
      <c r="B548" s="65" t="s">
        <v>226</v>
      </c>
      <c r="C548" s="66" t="s">
        <v>1612</v>
      </c>
      <c r="D548" s="67">
        <v>5</v>
      </c>
      <c r="E548" s="68"/>
      <c r="F548" s="69">
        <v>25</v>
      </c>
      <c r="G548" s="66"/>
      <c r="H548" s="70"/>
      <c r="I548" s="71"/>
      <c r="J548" s="71"/>
      <c r="K548" s="35" t="s">
        <v>65</v>
      </c>
      <c r="L548" s="79">
        <v>548</v>
      </c>
      <c r="M548" s="79"/>
      <c r="N548" s="73"/>
      <c r="O548" s="81" t="s">
        <v>379</v>
      </c>
      <c r="P548">
        <v>1</v>
      </c>
      <c r="Q548" s="80" t="str">
        <f>REPLACE(INDEX(GroupVertices[Group],MATCH(Edges[[#This Row],[Vertex 1]],GroupVertices[Vertex],0)),1,1,"")</f>
        <v>1</v>
      </c>
      <c r="R548" s="80" t="str">
        <f>REPLACE(INDEX(GroupVertices[Group],MATCH(Edges[[#This Row],[Vertex 2]],GroupVertices[Vertex],0)),1,1,"")</f>
        <v>8</v>
      </c>
      <c r="S548" s="35"/>
      <c r="T548" s="35"/>
      <c r="U548" s="35"/>
      <c r="V548" s="35"/>
      <c r="W548" s="35"/>
      <c r="X548" s="35"/>
      <c r="Y548" s="35"/>
      <c r="Z548" s="35"/>
      <c r="AA548" s="35"/>
    </row>
    <row r="549" spans="1:27" ht="15">
      <c r="A549" s="65" t="s">
        <v>220</v>
      </c>
      <c r="B549" s="65" t="s">
        <v>226</v>
      </c>
      <c r="C549" s="66" t="s">
        <v>1612</v>
      </c>
      <c r="D549" s="67">
        <v>5</v>
      </c>
      <c r="E549" s="68"/>
      <c r="F549" s="69">
        <v>25</v>
      </c>
      <c r="G549" s="66"/>
      <c r="H549" s="70"/>
      <c r="I549" s="71"/>
      <c r="J549" s="71"/>
      <c r="K549" s="35" t="s">
        <v>65</v>
      </c>
      <c r="L549" s="79">
        <v>549</v>
      </c>
      <c r="M549" s="79"/>
      <c r="N549" s="73"/>
      <c r="O549" s="81" t="s">
        <v>379</v>
      </c>
      <c r="P549">
        <v>1</v>
      </c>
      <c r="Q549" s="80" t="str">
        <f>REPLACE(INDEX(GroupVertices[Group],MATCH(Edges[[#This Row],[Vertex 1]],GroupVertices[Vertex],0)),1,1,"")</f>
        <v>2</v>
      </c>
      <c r="R549" s="80" t="str">
        <f>REPLACE(INDEX(GroupVertices[Group],MATCH(Edges[[#This Row],[Vertex 2]],GroupVertices[Vertex],0)),1,1,"")</f>
        <v>8</v>
      </c>
      <c r="S549" s="35"/>
      <c r="T549" s="35"/>
      <c r="U549" s="35"/>
      <c r="V549" s="35"/>
      <c r="W549" s="35"/>
      <c r="X549" s="35"/>
      <c r="Y549" s="35"/>
      <c r="Z549" s="35"/>
      <c r="AA549" s="35"/>
    </row>
    <row r="550" spans="1:27" ht="15">
      <c r="A550" s="65" t="s">
        <v>222</v>
      </c>
      <c r="B550" s="65" t="s">
        <v>226</v>
      </c>
      <c r="C550" s="66" t="s">
        <v>1612</v>
      </c>
      <c r="D550" s="67">
        <v>5</v>
      </c>
      <c r="E550" s="68"/>
      <c r="F550" s="69">
        <v>25</v>
      </c>
      <c r="G550" s="66"/>
      <c r="H550" s="70"/>
      <c r="I550" s="71"/>
      <c r="J550" s="71"/>
      <c r="K550" s="35" t="s">
        <v>65</v>
      </c>
      <c r="L550" s="79">
        <v>550</v>
      </c>
      <c r="M550" s="79"/>
      <c r="N550" s="73"/>
      <c r="O550" s="81" t="s">
        <v>379</v>
      </c>
      <c r="P550">
        <v>1</v>
      </c>
      <c r="Q550" s="80" t="str">
        <f>REPLACE(INDEX(GroupVertices[Group],MATCH(Edges[[#This Row],[Vertex 1]],GroupVertices[Vertex],0)),1,1,"")</f>
        <v>1</v>
      </c>
      <c r="R550" s="80" t="str">
        <f>REPLACE(INDEX(GroupVertices[Group],MATCH(Edges[[#This Row],[Vertex 2]],GroupVertices[Vertex],0)),1,1,"")</f>
        <v>8</v>
      </c>
      <c r="S550" s="35"/>
      <c r="T550" s="35"/>
      <c r="U550" s="35"/>
      <c r="V550" s="35"/>
      <c r="W550" s="35"/>
      <c r="X550" s="35"/>
      <c r="Y550" s="35"/>
      <c r="Z550" s="35"/>
      <c r="AA550" s="35"/>
    </row>
    <row r="551" spans="1:27" ht="15">
      <c r="A551" s="65" t="s">
        <v>223</v>
      </c>
      <c r="B551" s="65" t="s">
        <v>226</v>
      </c>
      <c r="C551" s="66" t="s">
        <v>1612</v>
      </c>
      <c r="D551" s="67">
        <v>5</v>
      </c>
      <c r="E551" s="68"/>
      <c r="F551" s="69">
        <v>25</v>
      </c>
      <c r="G551" s="66"/>
      <c r="H551" s="70"/>
      <c r="I551" s="71"/>
      <c r="J551" s="71"/>
      <c r="K551" s="35" t="s">
        <v>65</v>
      </c>
      <c r="L551" s="79">
        <v>551</v>
      </c>
      <c r="M551" s="79"/>
      <c r="N551" s="73"/>
      <c r="O551" s="81" t="s">
        <v>379</v>
      </c>
      <c r="P551">
        <v>1</v>
      </c>
      <c r="Q551" s="80" t="str">
        <f>REPLACE(INDEX(GroupVertices[Group],MATCH(Edges[[#This Row],[Vertex 1]],GroupVertices[Vertex],0)),1,1,"")</f>
        <v>1</v>
      </c>
      <c r="R551" s="80" t="str">
        <f>REPLACE(INDEX(GroupVertices[Group],MATCH(Edges[[#This Row],[Vertex 2]],GroupVertices[Vertex],0)),1,1,"")</f>
        <v>8</v>
      </c>
      <c r="S551" s="35"/>
      <c r="T551" s="35"/>
      <c r="U551" s="35"/>
      <c r="V551" s="35"/>
      <c r="W551" s="35"/>
      <c r="X551" s="35"/>
      <c r="Y551" s="35"/>
      <c r="Z551" s="35"/>
      <c r="AA551" s="35"/>
    </row>
    <row r="552" spans="1:27" ht="15">
      <c r="A552" s="65" t="s">
        <v>229</v>
      </c>
      <c r="B552" s="65" t="s">
        <v>226</v>
      </c>
      <c r="C552" s="66" t="s">
        <v>1612</v>
      </c>
      <c r="D552" s="67">
        <v>5</v>
      </c>
      <c r="E552" s="68"/>
      <c r="F552" s="69">
        <v>25</v>
      </c>
      <c r="G552" s="66"/>
      <c r="H552" s="70"/>
      <c r="I552" s="71"/>
      <c r="J552" s="71"/>
      <c r="K552" s="35" t="s">
        <v>65</v>
      </c>
      <c r="L552" s="79">
        <v>552</v>
      </c>
      <c r="M552" s="79"/>
      <c r="N552" s="73"/>
      <c r="O552" s="81" t="s">
        <v>379</v>
      </c>
      <c r="P552">
        <v>1</v>
      </c>
      <c r="Q552" s="80" t="str">
        <f>REPLACE(INDEX(GroupVertices[Group],MATCH(Edges[[#This Row],[Vertex 1]],GroupVertices[Vertex],0)),1,1,"")</f>
        <v>1</v>
      </c>
      <c r="R552" s="80" t="str">
        <f>REPLACE(INDEX(GroupVertices[Group],MATCH(Edges[[#This Row],[Vertex 2]],GroupVertices[Vertex],0)),1,1,"")</f>
        <v>8</v>
      </c>
      <c r="S552" s="35"/>
      <c r="T552" s="35"/>
      <c r="U552" s="35"/>
      <c r="V552" s="35"/>
      <c r="W552" s="35"/>
      <c r="X552" s="35"/>
      <c r="Y552" s="35"/>
      <c r="Z552" s="35"/>
      <c r="AA552" s="35"/>
    </row>
    <row r="553" spans="1:27" ht="15">
      <c r="A553" s="65" t="s">
        <v>230</v>
      </c>
      <c r="B553" s="65" t="s">
        <v>226</v>
      </c>
      <c r="C553" s="66" t="s">
        <v>1612</v>
      </c>
      <c r="D553" s="67">
        <v>5</v>
      </c>
      <c r="E553" s="68"/>
      <c r="F553" s="69">
        <v>25</v>
      </c>
      <c r="G553" s="66"/>
      <c r="H553" s="70"/>
      <c r="I553" s="71"/>
      <c r="J553" s="71"/>
      <c r="K553" s="35" t="s">
        <v>66</v>
      </c>
      <c r="L553" s="79">
        <v>553</v>
      </c>
      <c r="M553" s="79"/>
      <c r="N553" s="73"/>
      <c r="O553" s="81" t="s">
        <v>379</v>
      </c>
      <c r="P553">
        <v>1</v>
      </c>
      <c r="Q553" s="80" t="str">
        <f>REPLACE(INDEX(GroupVertices[Group],MATCH(Edges[[#This Row],[Vertex 1]],GroupVertices[Vertex],0)),1,1,"")</f>
        <v>2</v>
      </c>
      <c r="R553" s="80" t="str">
        <f>REPLACE(INDEX(GroupVertices[Group],MATCH(Edges[[#This Row],[Vertex 2]],GroupVertices[Vertex],0)),1,1,"")</f>
        <v>8</v>
      </c>
      <c r="S553" s="35"/>
      <c r="T553" s="35"/>
      <c r="U553" s="35"/>
      <c r="V553" s="35"/>
      <c r="W553" s="35"/>
      <c r="X553" s="35"/>
      <c r="Y553" s="35"/>
      <c r="Z553" s="35"/>
      <c r="AA553" s="35"/>
    </row>
    <row r="554" spans="1:27" ht="15">
      <c r="A554" s="65" t="s">
        <v>224</v>
      </c>
      <c r="B554" s="65" t="s">
        <v>226</v>
      </c>
      <c r="C554" s="66" t="s">
        <v>1612</v>
      </c>
      <c r="D554" s="67">
        <v>5</v>
      </c>
      <c r="E554" s="68"/>
      <c r="F554" s="69">
        <v>25</v>
      </c>
      <c r="G554" s="66"/>
      <c r="H554" s="70"/>
      <c r="I554" s="71"/>
      <c r="J554" s="71"/>
      <c r="K554" s="35" t="s">
        <v>65</v>
      </c>
      <c r="L554" s="79">
        <v>554</v>
      </c>
      <c r="M554" s="79"/>
      <c r="N554" s="73"/>
      <c r="O554" s="81" t="s">
        <v>379</v>
      </c>
      <c r="P554">
        <v>1</v>
      </c>
      <c r="Q554" s="80" t="str">
        <f>REPLACE(INDEX(GroupVertices[Group],MATCH(Edges[[#This Row],[Vertex 1]],GroupVertices[Vertex],0)),1,1,"")</f>
        <v>1</v>
      </c>
      <c r="R554" s="80" t="str">
        <f>REPLACE(INDEX(GroupVertices[Group],MATCH(Edges[[#This Row],[Vertex 2]],GroupVertices[Vertex],0)),1,1,"")</f>
        <v>8</v>
      </c>
      <c r="S554" s="35"/>
      <c r="T554" s="35"/>
      <c r="U554" s="35"/>
      <c r="V554" s="35"/>
      <c r="W554" s="35"/>
      <c r="X554" s="35"/>
      <c r="Y554" s="35"/>
      <c r="Z554" s="35"/>
      <c r="AA554" s="35"/>
    </row>
    <row r="555" spans="1:27" ht="15">
      <c r="A555" s="65" t="s">
        <v>225</v>
      </c>
      <c r="B555" s="65" t="s">
        <v>226</v>
      </c>
      <c r="C555" s="66" t="s">
        <v>1612</v>
      </c>
      <c r="D555" s="67">
        <v>5</v>
      </c>
      <c r="E555" s="68"/>
      <c r="F555" s="69">
        <v>25</v>
      </c>
      <c r="G555" s="66"/>
      <c r="H555" s="70"/>
      <c r="I555" s="71"/>
      <c r="J555" s="71"/>
      <c r="K555" s="35" t="s">
        <v>65</v>
      </c>
      <c r="L555" s="79">
        <v>555</v>
      </c>
      <c r="M555" s="79"/>
      <c r="N555" s="73"/>
      <c r="O555" s="81" t="s">
        <v>379</v>
      </c>
      <c r="P555">
        <v>1</v>
      </c>
      <c r="Q555" s="80" t="str">
        <f>REPLACE(INDEX(GroupVertices[Group],MATCH(Edges[[#This Row],[Vertex 1]],GroupVertices[Vertex],0)),1,1,"")</f>
        <v>1</v>
      </c>
      <c r="R555" s="80" t="str">
        <f>REPLACE(INDEX(GroupVertices[Group],MATCH(Edges[[#This Row],[Vertex 2]],GroupVertices[Vertex],0)),1,1,"")</f>
        <v>8</v>
      </c>
      <c r="S555" s="35"/>
      <c r="T555" s="35"/>
      <c r="U555" s="35"/>
      <c r="V555" s="35"/>
      <c r="W555" s="35"/>
      <c r="X555" s="35"/>
      <c r="Y555" s="35"/>
      <c r="Z555" s="35"/>
      <c r="AA555" s="35"/>
    </row>
    <row r="556" spans="1:27" ht="15">
      <c r="A556" s="65" t="s">
        <v>226</v>
      </c>
      <c r="B556" s="65" t="s">
        <v>221</v>
      </c>
      <c r="C556" s="66" t="s">
        <v>1612</v>
      </c>
      <c r="D556" s="67">
        <v>5</v>
      </c>
      <c r="E556" s="68"/>
      <c r="F556" s="69">
        <v>25</v>
      </c>
      <c r="G556" s="66"/>
      <c r="H556" s="70"/>
      <c r="I556" s="71"/>
      <c r="J556" s="71"/>
      <c r="K556" s="35" t="s">
        <v>66</v>
      </c>
      <c r="L556" s="79">
        <v>556</v>
      </c>
      <c r="M556" s="79"/>
      <c r="N556" s="73"/>
      <c r="O556" s="81" t="s">
        <v>378</v>
      </c>
      <c r="P556">
        <v>1</v>
      </c>
      <c r="Q556" s="80" t="str">
        <f>REPLACE(INDEX(GroupVertices[Group],MATCH(Edges[[#This Row],[Vertex 1]],GroupVertices[Vertex],0)),1,1,"")</f>
        <v>8</v>
      </c>
      <c r="R556" s="80" t="str">
        <f>REPLACE(INDEX(GroupVertices[Group],MATCH(Edges[[#This Row],[Vertex 2]],GroupVertices[Vertex],0)),1,1,"")</f>
        <v>1</v>
      </c>
      <c r="S556" s="35"/>
      <c r="T556" s="35"/>
      <c r="U556" s="35"/>
      <c r="V556" s="35"/>
      <c r="W556" s="35"/>
      <c r="X556" s="35"/>
      <c r="Y556" s="35"/>
      <c r="Z556" s="35"/>
      <c r="AA556" s="35"/>
    </row>
    <row r="557" spans="1:27" ht="15">
      <c r="A557" s="65" t="s">
        <v>226</v>
      </c>
      <c r="B557" s="65" t="s">
        <v>230</v>
      </c>
      <c r="C557" s="66" t="s">
        <v>1612</v>
      </c>
      <c r="D557" s="67">
        <v>5</v>
      </c>
      <c r="E557" s="68"/>
      <c r="F557" s="69">
        <v>25</v>
      </c>
      <c r="G557" s="66"/>
      <c r="H557" s="70"/>
      <c r="I557" s="71"/>
      <c r="J557" s="71"/>
      <c r="K557" s="35" t="s">
        <v>66</v>
      </c>
      <c r="L557" s="79">
        <v>557</v>
      </c>
      <c r="M557" s="79"/>
      <c r="N557" s="73"/>
      <c r="O557" s="81" t="s">
        <v>378</v>
      </c>
      <c r="P557">
        <v>1</v>
      </c>
      <c r="Q557" s="80" t="str">
        <f>REPLACE(INDEX(GroupVertices[Group],MATCH(Edges[[#This Row],[Vertex 1]],GroupVertices[Vertex],0)),1,1,"")</f>
        <v>8</v>
      </c>
      <c r="R557" s="80" t="str">
        <f>REPLACE(INDEX(GroupVertices[Group],MATCH(Edges[[#This Row],[Vertex 2]],GroupVertices[Vertex],0)),1,1,"")</f>
        <v>2</v>
      </c>
      <c r="S557" s="35"/>
      <c r="T557" s="35"/>
      <c r="U557" s="35"/>
      <c r="V557" s="35"/>
      <c r="W557" s="35"/>
      <c r="X557" s="35"/>
      <c r="Y557" s="35"/>
      <c r="Z557" s="35"/>
      <c r="AA557" s="35"/>
    </row>
    <row r="558" spans="1:27" ht="15">
      <c r="A558" s="65" t="s">
        <v>227</v>
      </c>
      <c r="B558" s="65" t="s">
        <v>226</v>
      </c>
      <c r="C558" s="66" t="s">
        <v>1612</v>
      </c>
      <c r="D558" s="67">
        <v>5</v>
      </c>
      <c r="E558" s="68"/>
      <c r="F558" s="69">
        <v>25</v>
      </c>
      <c r="G558" s="66"/>
      <c r="H558" s="70"/>
      <c r="I558" s="71"/>
      <c r="J558" s="71"/>
      <c r="K558" s="35" t="s">
        <v>65</v>
      </c>
      <c r="L558" s="79">
        <v>558</v>
      </c>
      <c r="M558" s="79"/>
      <c r="N558" s="73"/>
      <c r="O558" s="81" t="s">
        <v>378</v>
      </c>
      <c r="P558">
        <v>1</v>
      </c>
      <c r="Q558" s="80" t="str">
        <f>REPLACE(INDEX(GroupVertices[Group],MATCH(Edges[[#This Row],[Vertex 1]],GroupVertices[Vertex],0)),1,1,"")</f>
        <v>1</v>
      </c>
      <c r="R558" s="80" t="str">
        <f>REPLACE(INDEX(GroupVertices[Group],MATCH(Edges[[#This Row],[Vertex 2]],GroupVertices[Vertex],0)),1,1,"")</f>
        <v>8</v>
      </c>
      <c r="S558" s="35"/>
      <c r="T558" s="35"/>
      <c r="U558" s="35"/>
      <c r="V558" s="35"/>
      <c r="W558" s="35"/>
      <c r="X558" s="35"/>
      <c r="Y558" s="35"/>
      <c r="Z558" s="35"/>
      <c r="AA558" s="35"/>
    </row>
    <row r="559" spans="1:27" ht="15">
      <c r="A559" s="65" t="s">
        <v>229</v>
      </c>
      <c r="B559" s="65" t="s">
        <v>226</v>
      </c>
      <c r="C559" s="66" t="s">
        <v>1612</v>
      </c>
      <c r="D559" s="67">
        <v>5</v>
      </c>
      <c r="E559" s="68"/>
      <c r="F559" s="69">
        <v>25</v>
      </c>
      <c r="G559" s="66"/>
      <c r="H559" s="70"/>
      <c r="I559" s="71"/>
      <c r="J559" s="71"/>
      <c r="K559" s="35" t="s">
        <v>65</v>
      </c>
      <c r="L559" s="79">
        <v>559</v>
      </c>
      <c r="M559" s="79"/>
      <c r="N559" s="73"/>
      <c r="O559" s="81" t="s">
        <v>378</v>
      </c>
      <c r="P559">
        <v>1</v>
      </c>
      <c r="Q559" s="80" t="str">
        <f>REPLACE(INDEX(GroupVertices[Group],MATCH(Edges[[#This Row],[Vertex 1]],GroupVertices[Vertex],0)),1,1,"")</f>
        <v>1</v>
      </c>
      <c r="R559" s="80" t="str">
        <f>REPLACE(INDEX(GroupVertices[Group],MATCH(Edges[[#This Row],[Vertex 2]],GroupVertices[Vertex],0)),1,1,"")</f>
        <v>8</v>
      </c>
      <c r="S559" s="35"/>
      <c r="T559" s="35"/>
      <c r="U559" s="35"/>
      <c r="V559" s="35"/>
      <c r="W559" s="35"/>
      <c r="X559" s="35"/>
      <c r="Y559" s="35"/>
      <c r="Z559" s="35"/>
      <c r="AA559" s="35"/>
    </row>
    <row r="560" spans="1:27" ht="15">
      <c r="A560" s="65" t="s">
        <v>228</v>
      </c>
      <c r="B560" s="65" t="s">
        <v>226</v>
      </c>
      <c r="C560" s="66" t="s">
        <v>1612</v>
      </c>
      <c r="D560" s="67">
        <v>5</v>
      </c>
      <c r="E560" s="68"/>
      <c r="F560" s="69">
        <v>25</v>
      </c>
      <c r="G560" s="66"/>
      <c r="H560" s="70"/>
      <c r="I560" s="71"/>
      <c r="J560" s="71"/>
      <c r="K560" s="35" t="s">
        <v>65</v>
      </c>
      <c r="L560" s="79">
        <v>560</v>
      </c>
      <c r="M560" s="79"/>
      <c r="N560" s="73"/>
      <c r="O560" s="81" t="s">
        <v>378</v>
      </c>
      <c r="P560">
        <v>1</v>
      </c>
      <c r="Q560" s="80" t="str">
        <f>REPLACE(INDEX(GroupVertices[Group],MATCH(Edges[[#This Row],[Vertex 1]],GroupVertices[Vertex],0)),1,1,"")</f>
        <v>1</v>
      </c>
      <c r="R560" s="80" t="str">
        <f>REPLACE(INDEX(GroupVertices[Group],MATCH(Edges[[#This Row],[Vertex 2]],GroupVertices[Vertex],0)),1,1,"")</f>
        <v>8</v>
      </c>
      <c r="S560" s="35"/>
      <c r="T560" s="35"/>
      <c r="U560" s="35"/>
      <c r="V560" s="35"/>
      <c r="W560" s="35"/>
      <c r="X560" s="35"/>
      <c r="Y560" s="35"/>
      <c r="Z560" s="35"/>
      <c r="AA560" s="35"/>
    </row>
    <row r="561" spans="1:27" ht="15">
      <c r="A561" s="65" t="s">
        <v>214</v>
      </c>
      <c r="B561" s="65" t="s">
        <v>231</v>
      </c>
      <c r="C561" s="66" t="s">
        <v>1612</v>
      </c>
      <c r="D561" s="67">
        <v>5</v>
      </c>
      <c r="E561" s="68"/>
      <c r="F561" s="69">
        <v>25</v>
      </c>
      <c r="G561" s="66"/>
      <c r="H561" s="70"/>
      <c r="I561" s="71"/>
      <c r="J561" s="71"/>
      <c r="K561" s="35" t="s">
        <v>66</v>
      </c>
      <c r="L561" s="79">
        <v>561</v>
      </c>
      <c r="M561" s="79"/>
      <c r="N561" s="73"/>
      <c r="O561" s="81" t="s">
        <v>377</v>
      </c>
      <c r="P561">
        <v>1</v>
      </c>
      <c r="Q561" s="80" t="str">
        <f>REPLACE(INDEX(GroupVertices[Group],MATCH(Edges[[#This Row],[Vertex 1]],GroupVertices[Vertex],0)),1,1,"")</f>
        <v>1</v>
      </c>
      <c r="R561" s="80" t="str">
        <f>REPLACE(INDEX(GroupVertices[Group],MATCH(Edges[[#This Row],[Vertex 2]],GroupVertices[Vertex],0)),1,1,"")</f>
        <v>1</v>
      </c>
      <c r="S561" s="35"/>
      <c r="T561" s="35"/>
      <c r="U561" s="35"/>
      <c r="V561" s="35"/>
      <c r="W561" s="35"/>
      <c r="X561" s="35"/>
      <c r="Y561" s="35"/>
      <c r="Z561" s="35"/>
      <c r="AA561" s="35"/>
    </row>
    <row r="562" spans="1:27" ht="15">
      <c r="A562" s="65" t="s">
        <v>214</v>
      </c>
      <c r="B562" s="65" t="s">
        <v>227</v>
      </c>
      <c r="C562" s="66" t="s">
        <v>1612</v>
      </c>
      <c r="D562" s="67">
        <v>5</v>
      </c>
      <c r="E562" s="68"/>
      <c r="F562" s="69">
        <v>25</v>
      </c>
      <c r="G562" s="66"/>
      <c r="H562" s="70"/>
      <c r="I562" s="71"/>
      <c r="J562" s="71"/>
      <c r="K562" s="35" t="s">
        <v>66</v>
      </c>
      <c r="L562" s="79">
        <v>562</v>
      </c>
      <c r="M562" s="79"/>
      <c r="N562" s="73"/>
      <c r="O562" s="81" t="s">
        <v>377</v>
      </c>
      <c r="P562">
        <v>1</v>
      </c>
      <c r="Q562" s="80" t="str">
        <f>REPLACE(INDEX(GroupVertices[Group],MATCH(Edges[[#This Row],[Vertex 1]],GroupVertices[Vertex],0)),1,1,"")</f>
        <v>1</v>
      </c>
      <c r="R562" s="80" t="str">
        <f>REPLACE(INDEX(GroupVertices[Group],MATCH(Edges[[#This Row],[Vertex 2]],GroupVertices[Vertex],0)),1,1,"")</f>
        <v>1</v>
      </c>
      <c r="S562" s="35"/>
      <c r="T562" s="35"/>
      <c r="U562" s="35"/>
      <c r="V562" s="35"/>
      <c r="W562" s="35"/>
      <c r="X562" s="35"/>
      <c r="Y562" s="35"/>
      <c r="Z562" s="35"/>
      <c r="AA562" s="35"/>
    </row>
    <row r="563" spans="1:27" ht="15">
      <c r="A563" s="65" t="s">
        <v>214</v>
      </c>
      <c r="B563" s="65" t="s">
        <v>228</v>
      </c>
      <c r="C563" s="66" t="s">
        <v>1612</v>
      </c>
      <c r="D563" s="67">
        <v>5</v>
      </c>
      <c r="E563" s="68"/>
      <c r="F563" s="69">
        <v>25</v>
      </c>
      <c r="G563" s="66"/>
      <c r="H563" s="70"/>
      <c r="I563" s="71"/>
      <c r="J563" s="71"/>
      <c r="K563" s="35" t="s">
        <v>66</v>
      </c>
      <c r="L563" s="79">
        <v>563</v>
      </c>
      <c r="M563" s="79"/>
      <c r="N563" s="73"/>
      <c r="O563" s="81" t="s">
        <v>377</v>
      </c>
      <c r="P563">
        <v>1</v>
      </c>
      <c r="Q563" s="80" t="str">
        <f>REPLACE(INDEX(GroupVertices[Group],MATCH(Edges[[#This Row],[Vertex 1]],GroupVertices[Vertex],0)),1,1,"")</f>
        <v>1</v>
      </c>
      <c r="R563" s="80" t="str">
        <f>REPLACE(INDEX(GroupVertices[Group],MATCH(Edges[[#This Row],[Vertex 2]],GroupVertices[Vertex],0)),1,1,"")</f>
        <v>1</v>
      </c>
      <c r="S563" s="35"/>
      <c r="T563" s="35"/>
      <c r="U563" s="35"/>
      <c r="V563" s="35"/>
      <c r="W563" s="35"/>
      <c r="X563" s="35"/>
      <c r="Y563" s="35"/>
      <c r="Z563" s="35"/>
      <c r="AA563" s="35"/>
    </row>
    <row r="564" spans="1:27" ht="15">
      <c r="A564" s="65" t="s">
        <v>214</v>
      </c>
      <c r="B564" s="65" t="s">
        <v>230</v>
      </c>
      <c r="C564" s="66" t="s">
        <v>1612</v>
      </c>
      <c r="D564" s="67">
        <v>5</v>
      </c>
      <c r="E564" s="68"/>
      <c r="F564" s="69">
        <v>25</v>
      </c>
      <c r="G564" s="66"/>
      <c r="H564" s="70"/>
      <c r="I564" s="71"/>
      <c r="J564" s="71"/>
      <c r="K564" s="35" t="s">
        <v>66</v>
      </c>
      <c r="L564" s="79">
        <v>564</v>
      </c>
      <c r="M564" s="79"/>
      <c r="N564" s="73"/>
      <c r="O564" s="81" t="s">
        <v>377</v>
      </c>
      <c r="P564">
        <v>1</v>
      </c>
      <c r="Q564" s="80" t="str">
        <f>REPLACE(INDEX(GroupVertices[Group],MATCH(Edges[[#This Row],[Vertex 1]],GroupVertices[Vertex],0)),1,1,"")</f>
        <v>1</v>
      </c>
      <c r="R564" s="80" t="str">
        <f>REPLACE(INDEX(GroupVertices[Group],MATCH(Edges[[#This Row],[Vertex 2]],GroupVertices[Vertex],0)),1,1,"")</f>
        <v>2</v>
      </c>
      <c r="S564" s="35"/>
      <c r="T564" s="35"/>
      <c r="U564" s="35"/>
      <c r="V564" s="35"/>
      <c r="W564" s="35"/>
      <c r="X564" s="35"/>
      <c r="Y564" s="35"/>
      <c r="Z564" s="35"/>
      <c r="AA564" s="35"/>
    </row>
    <row r="565" spans="1:27" ht="15">
      <c r="A565" s="65" t="s">
        <v>228</v>
      </c>
      <c r="B565" s="65" t="s">
        <v>214</v>
      </c>
      <c r="C565" s="66" t="s">
        <v>1612</v>
      </c>
      <c r="D565" s="67">
        <v>5</v>
      </c>
      <c r="E565" s="68"/>
      <c r="F565" s="69">
        <v>25</v>
      </c>
      <c r="G565" s="66"/>
      <c r="H565" s="70"/>
      <c r="I565" s="71"/>
      <c r="J565" s="71"/>
      <c r="K565" s="35" t="s">
        <v>66</v>
      </c>
      <c r="L565" s="79">
        <v>565</v>
      </c>
      <c r="M565" s="79"/>
      <c r="N565" s="73"/>
      <c r="O565" s="81" t="s">
        <v>377</v>
      </c>
      <c r="P565">
        <v>1</v>
      </c>
      <c r="Q565" s="80" t="str">
        <f>REPLACE(INDEX(GroupVertices[Group],MATCH(Edges[[#This Row],[Vertex 1]],GroupVertices[Vertex],0)),1,1,"")</f>
        <v>1</v>
      </c>
      <c r="R565" s="80" t="str">
        <f>REPLACE(INDEX(GroupVertices[Group],MATCH(Edges[[#This Row],[Vertex 2]],GroupVertices[Vertex],0)),1,1,"")</f>
        <v>1</v>
      </c>
      <c r="S565" s="35"/>
      <c r="T565" s="35"/>
      <c r="U565" s="35"/>
      <c r="V565" s="35"/>
      <c r="W565" s="35"/>
      <c r="X565" s="35"/>
      <c r="Y565" s="35"/>
      <c r="Z565" s="35"/>
      <c r="AA565" s="35"/>
    </row>
    <row r="566" spans="1:27" ht="15">
      <c r="A566" s="65" t="s">
        <v>223</v>
      </c>
      <c r="B566" s="65" t="s">
        <v>214</v>
      </c>
      <c r="C566" s="66" t="s">
        <v>1612</v>
      </c>
      <c r="D566" s="67">
        <v>5</v>
      </c>
      <c r="E566" s="68"/>
      <c r="F566" s="69">
        <v>25</v>
      </c>
      <c r="G566" s="66"/>
      <c r="H566" s="70"/>
      <c r="I566" s="71"/>
      <c r="J566" s="71"/>
      <c r="K566" s="35" t="s">
        <v>65</v>
      </c>
      <c r="L566" s="79">
        <v>566</v>
      </c>
      <c r="M566" s="79"/>
      <c r="N566" s="73"/>
      <c r="O566" s="81" t="s">
        <v>377</v>
      </c>
      <c r="P566">
        <v>1</v>
      </c>
      <c r="Q566" s="80" t="str">
        <f>REPLACE(INDEX(GroupVertices[Group],MATCH(Edges[[#This Row],[Vertex 1]],GroupVertices[Vertex],0)),1,1,"")</f>
        <v>1</v>
      </c>
      <c r="R566" s="80" t="str">
        <f>REPLACE(INDEX(GroupVertices[Group],MATCH(Edges[[#This Row],[Vertex 2]],GroupVertices[Vertex],0)),1,1,"")</f>
        <v>1</v>
      </c>
      <c r="S566" s="35"/>
      <c r="T566" s="35"/>
      <c r="U566" s="35"/>
      <c r="V566" s="35"/>
      <c r="W566" s="35"/>
      <c r="X566" s="35"/>
      <c r="Y566" s="35"/>
      <c r="Z566" s="35"/>
      <c r="AA566" s="35"/>
    </row>
    <row r="567" spans="1:27" ht="15">
      <c r="A567" s="65" t="s">
        <v>227</v>
      </c>
      <c r="B567" s="65" t="s">
        <v>214</v>
      </c>
      <c r="C567" s="66" t="s">
        <v>1612</v>
      </c>
      <c r="D567" s="67">
        <v>5</v>
      </c>
      <c r="E567" s="68"/>
      <c r="F567" s="69">
        <v>25</v>
      </c>
      <c r="G567" s="66"/>
      <c r="H567" s="70"/>
      <c r="I567" s="71"/>
      <c r="J567" s="71"/>
      <c r="K567" s="35" t="s">
        <v>66</v>
      </c>
      <c r="L567" s="79">
        <v>567</v>
      </c>
      <c r="M567" s="79"/>
      <c r="N567" s="73"/>
      <c r="O567" s="81" t="s">
        <v>379</v>
      </c>
      <c r="P567">
        <v>1</v>
      </c>
      <c r="Q567" s="80" t="str">
        <f>REPLACE(INDEX(GroupVertices[Group],MATCH(Edges[[#This Row],[Vertex 1]],GroupVertices[Vertex],0)),1,1,"")</f>
        <v>1</v>
      </c>
      <c r="R567" s="80" t="str">
        <f>REPLACE(INDEX(GroupVertices[Group],MATCH(Edges[[#This Row],[Vertex 2]],GroupVertices[Vertex],0)),1,1,"")</f>
        <v>1</v>
      </c>
      <c r="S567" s="35"/>
      <c r="T567" s="35"/>
      <c r="U567" s="35"/>
      <c r="V567" s="35"/>
      <c r="W567" s="35"/>
      <c r="X567" s="35"/>
      <c r="Y567" s="35"/>
      <c r="Z567" s="35"/>
      <c r="AA567" s="35"/>
    </row>
    <row r="568" spans="1:27" ht="15">
      <c r="A568" s="65" t="s">
        <v>215</v>
      </c>
      <c r="B568" s="65" t="s">
        <v>214</v>
      </c>
      <c r="C568" s="66" t="s">
        <v>1612</v>
      </c>
      <c r="D568" s="67">
        <v>5</v>
      </c>
      <c r="E568" s="68"/>
      <c r="F568" s="69">
        <v>25</v>
      </c>
      <c r="G568" s="66"/>
      <c r="H568" s="70"/>
      <c r="I568" s="71"/>
      <c r="J568" s="71"/>
      <c r="K568" s="35" t="s">
        <v>65</v>
      </c>
      <c r="L568" s="79">
        <v>568</v>
      </c>
      <c r="M568" s="79"/>
      <c r="N568" s="73"/>
      <c r="O568" s="81" t="s">
        <v>379</v>
      </c>
      <c r="P568">
        <v>1</v>
      </c>
      <c r="Q568" s="80" t="str">
        <f>REPLACE(INDEX(GroupVertices[Group],MATCH(Edges[[#This Row],[Vertex 1]],GroupVertices[Vertex],0)),1,1,"")</f>
        <v>1</v>
      </c>
      <c r="R568" s="80" t="str">
        <f>REPLACE(INDEX(GroupVertices[Group],MATCH(Edges[[#This Row],[Vertex 2]],GroupVertices[Vertex],0)),1,1,"")</f>
        <v>1</v>
      </c>
      <c r="S568" s="35"/>
      <c r="T568" s="35"/>
      <c r="U568" s="35"/>
      <c r="V568" s="35"/>
      <c r="W568" s="35"/>
      <c r="X568" s="35"/>
      <c r="Y568" s="35"/>
      <c r="Z568" s="35"/>
      <c r="AA568" s="35"/>
    </row>
    <row r="569" spans="1:27" ht="15">
      <c r="A569" s="65" t="s">
        <v>228</v>
      </c>
      <c r="B569" s="65" t="s">
        <v>214</v>
      </c>
      <c r="C569" s="66" t="s">
        <v>1612</v>
      </c>
      <c r="D569" s="67">
        <v>5</v>
      </c>
      <c r="E569" s="68"/>
      <c r="F569" s="69">
        <v>25</v>
      </c>
      <c r="G569" s="66"/>
      <c r="H569" s="70"/>
      <c r="I569" s="71"/>
      <c r="J569" s="71"/>
      <c r="K569" s="35" t="s">
        <v>66</v>
      </c>
      <c r="L569" s="79">
        <v>569</v>
      </c>
      <c r="M569" s="79"/>
      <c r="N569" s="73"/>
      <c r="O569" s="81" t="s">
        <v>379</v>
      </c>
      <c r="P569">
        <v>1</v>
      </c>
      <c r="Q569" s="80" t="str">
        <f>REPLACE(INDEX(GroupVertices[Group],MATCH(Edges[[#This Row],[Vertex 1]],GroupVertices[Vertex],0)),1,1,"")</f>
        <v>1</v>
      </c>
      <c r="R569" s="80" t="str">
        <f>REPLACE(INDEX(GroupVertices[Group],MATCH(Edges[[#This Row],[Vertex 2]],GroupVertices[Vertex],0)),1,1,"")</f>
        <v>1</v>
      </c>
      <c r="S569" s="35"/>
      <c r="T569" s="35"/>
      <c r="U569" s="35"/>
      <c r="V569" s="35"/>
      <c r="W569" s="35"/>
      <c r="X569" s="35"/>
      <c r="Y569" s="35"/>
      <c r="Z569" s="35"/>
      <c r="AA569" s="35"/>
    </row>
    <row r="570" spans="1:27" ht="15">
      <c r="A570" s="65" t="s">
        <v>231</v>
      </c>
      <c r="B570" s="65" t="s">
        <v>214</v>
      </c>
      <c r="C570" s="66" t="s">
        <v>1612</v>
      </c>
      <c r="D570" s="67">
        <v>5</v>
      </c>
      <c r="E570" s="68"/>
      <c r="F570" s="69">
        <v>25</v>
      </c>
      <c r="G570" s="66"/>
      <c r="H570" s="70"/>
      <c r="I570" s="71"/>
      <c r="J570" s="71"/>
      <c r="K570" s="35" t="s">
        <v>66</v>
      </c>
      <c r="L570" s="79">
        <v>570</v>
      </c>
      <c r="M570" s="79"/>
      <c r="N570" s="73"/>
      <c r="O570" s="81" t="s">
        <v>379</v>
      </c>
      <c r="P570">
        <v>1</v>
      </c>
      <c r="Q570" s="80" t="str">
        <f>REPLACE(INDEX(GroupVertices[Group],MATCH(Edges[[#This Row],[Vertex 1]],GroupVertices[Vertex],0)),1,1,"")</f>
        <v>1</v>
      </c>
      <c r="R570" s="80" t="str">
        <f>REPLACE(INDEX(GroupVertices[Group],MATCH(Edges[[#This Row],[Vertex 2]],GroupVertices[Vertex],0)),1,1,"")</f>
        <v>1</v>
      </c>
      <c r="S570" s="35"/>
      <c r="T570" s="35"/>
      <c r="U570" s="35"/>
      <c r="V570" s="35"/>
      <c r="W570" s="35"/>
      <c r="X570" s="35"/>
      <c r="Y570" s="35"/>
      <c r="Z570" s="35"/>
      <c r="AA570" s="35"/>
    </row>
    <row r="571" spans="1:27" ht="15">
      <c r="A571" s="65" t="s">
        <v>232</v>
      </c>
      <c r="B571" s="65" t="s">
        <v>214</v>
      </c>
      <c r="C571" s="66" t="s">
        <v>1612</v>
      </c>
      <c r="D571" s="67">
        <v>5</v>
      </c>
      <c r="E571" s="68"/>
      <c r="F571" s="69">
        <v>25</v>
      </c>
      <c r="G571" s="66"/>
      <c r="H571" s="70"/>
      <c r="I571" s="71"/>
      <c r="J571" s="71"/>
      <c r="K571" s="35" t="s">
        <v>65</v>
      </c>
      <c r="L571" s="79">
        <v>571</v>
      </c>
      <c r="M571" s="79"/>
      <c r="N571" s="73"/>
      <c r="O571" s="81" t="s">
        <v>379</v>
      </c>
      <c r="P571">
        <v>1</v>
      </c>
      <c r="Q571" s="80" t="str">
        <f>REPLACE(INDEX(GroupVertices[Group],MATCH(Edges[[#This Row],[Vertex 1]],GroupVertices[Vertex],0)),1,1,"")</f>
        <v>1</v>
      </c>
      <c r="R571" s="80" t="str">
        <f>REPLACE(INDEX(GroupVertices[Group],MATCH(Edges[[#This Row],[Vertex 2]],GroupVertices[Vertex],0)),1,1,"")</f>
        <v>1</v>
      </c>
      <c r="S571" s="35"/>
      <c r="T571" s="35"/>
      <c r="U571" s="35"/>
      <c r="V571" s="35"/>
      <c r="W571" s="35"/>
      <c r="X571" s="35"/>
      <c r="Y571" s="35"/>
      <c r="Z571" s="35"/>
      <c r="AA571" s="35"/>
    </row>
    <row r="572" spans="1:27" ht="15">
      <c r="A572" s="65" t="s">
        <v>219</v>
      </c>
      <c r="B572" s="65" t="s">
        <v>214</v>
      </c>
      <c r="C572" s="66" t="s">
        <v>1612</v>
      </c>
      <c r="D572" s="67">
        <v>5</v>
      </c>
      <c r="E572" s="68"/>
      <c r="F572" s="69">
        <v>25</v>
      </c>
      <c r="G572" s="66"/>
      <c r="H572" s="70"/>
      <c r="I572" s="71"/>
      <c r="J572" s="71"/>
      <c r="K572" s="35" t="s">
        <v>65</v>
      </c>
      <c r="L572" s="79">
        <v>572</v>
      </c>
      <c r="M572" s="79"/>
      <c r="N572" s="73"/>
      <c r="O572" s="81" t="s">
        <v>379</v>
      </c>
      <c r="P572">
        <v>1</v>
      </c>
      <c r="Q572" s="80" t="str">
        <f>REPLACE(INDEX(GroupVertices[Group],MATCH(Edges[[#This Row],[Vertex 1]],GroupVertices[Vertex],0)),1,1,"")</f>
        <v>1</v>
      </c>
      <c r="R572" s="80" t="str">
        <f>REPLACE(INDEX(GroupVertices[Group],MATCH(Edges[[#This Row],[Vertex 2]],GroupVertices[Vertex],0)),1,1,"")</f>
        <v>1</v>
      </c>
      <c r="S572" s="35"/>
      <c r="T572" s="35"/>
      <c r="U572" s="35"/>
      <c r="V572" s="35"/>
      <c r="W572" s="35"/>
      <c r="X572" s="35"/>
      <c r="Y572" s="35"/>
      <c r="Z572" s="35"/>
      <c r="AA572" s="35"/>
    </row>
    <row r="573" spans="1:27" ht="15">
      <c r="A573" s="65" t="s">
        <v>221</v>
      </c>
      <c r="B573" s="65" t="s">
        <v>214</v>
      </c>
      <c r="C573" s="66" t="s">
        <v>1612</v>
      </c>
      <c r="D573" s="67">
        <v>5</v>
      </c>
      <c r="E573" s="68"/>
      <c r="F573" s="69">
        <v>25</v>
      </c>
      <c r="G573" s="66"/>
      <c r="H573" s="70"/>
      <c r="I573" s="71"/>
      <c r="J573" s="71"/>
      <c r="K573" s="35" t="s">
        <v>65</v>
      </c>
      <c r="L573" s="79">
        <v>573</v>
      </c>
      <c r="M573" s="79"/>
      <c r="N573" s="73"/>
      <c r="O573" s="81" t="s">
        <v>379</v>
      </c>
      <c r="P573">
        <v>1</v>
      </c>
      <c r="Q573" s="80" t="str">
        <f>REPLACE(INDEX(GroupVertices[Group],MATCH(Edges[[#This Row],[Vertex 1]],GroupVertices[Vertex],0)),1,1,"")</f>
        <v>1</v>
      </c>
      <c r="R573" s="80" t="str">
        <f>REPLACE(INDEX(GroupVertices[Group],MATCH(Edges[[#This Row],[Vertex 2]],GroupVertices[Vertex],0)),1,1,"")</f>
        <v>1</v>
      </c>
      <c r="S573" s="35"/>
      <c r="T573" s="35"/>
      <c r="U573" s="35"/>
      <c r="V573" s="35"/>
      <c r="W573" s="35"/>
      <c r="X573" s="35"/>
      <c r="Y573" s="35"/>
      <c r="Z573" s="35"/>
      <c r="AA573" s="35"/>
    </row>
    <row r="574" spans="1:27" ht="15">
      <c r="A574" s="65" t="s">
        <v>222</v>
      </c>
      <c r="B574" s="65" t="s">
        <v>214</v>
      </c>
      <c r="C574" s="66" t="s">
        <v>1612</v>
      </c>
      <c r="D574" s="67">
        <v>5</v>
      </c>
      <c r="E574" s="68"/>
      <c r="F574" s="69">
        <v>25</v>
      </c>
      <c r="G574" s="66"/>
      <c r="H574" s="70"/>
      <c r="I574" s="71"/>
      <c r="J574" s="71"/>
      <c r="K574" s="35" t="s">
        <v>65</v>
      </c>
      <c r="L574" s="79">
        <v>574</v>
      </c>
      <c r="M574" s="79"/>
      <c r="N574" s="73"/>
      <c r="O574" s="81" t="s">
        <v>379</v>
      </c>
      <c r="P574">
        <v>1</v>
      </c>
      <c r="Q574" s="80" t="str">
        <f>REPLACE(INDEX(GroupVertices[Group],MATCH(Edges[[#This Row],[Vertex 1]],GroupVertices[Vertex],0)),1,1,"")</f>
        <v>1</v>
      </c>
      <c r="R574" s="80" t="str">
        <f>REPLACE(INDEX(GroupVertices[Group],MATCH(Edges[[#This Row],[Vertex 2]],GroupVertices[Vertex],0)),1,1,"")</f>
        <v>1</v>
      </c>
      <c r="S574" s="35"/>
      <c r="T574" s="35"/>
      <c r="U574" s="35"/>
      <c r="V574" s="35"/>
      <c r="W574" s="35"/>
      <c r="X574" s="35"/>
      <c r="Y574" s="35"/>
      <c r="Z574" s="35"/>
      <c r="AA574" s="35"/>
    </row>
    <row r="575" spans="1:27" ht="15">
      <c r="A575" s="65" t="s">
        <v>223</v>
      </c>
      <c r="B575" s="65" t="s">
        <v>214</v>
      </c>
      <c r="C575" s="66" t="s">
        <v>1612</v>
      </c>
      <c r="D575" s="67">
        <v>5</v>
      </c>
      <c r="E575" s="68"/>
      <c r="F575" s="69">
        <v>25</v>
      </c>
      <c r="G575" s="66"/>
      <c r="H575" s="70"/>
      <c r="I575" s="71"/>
      <c r="J575" s="71"/>
      <c r="K575" s="35" t="s">
        <v>65</v>
      </c>
      <c r="L575" s="79">
        <v>575</v>
      </c>
      <c r="M575" s="79"/>
      <c r="N575" s="73"/>
      <c r="O575" s="81" t="s">
        <v>379</v>
      </c>
      <c r="P575">
        <v>1</v>
      </c>
      <c r="Q575" s="80" t="str">
        <f>REPLACE(INDEX(GroupVertices[Group],MATCH(Edges[[#This Row],[Vertex 1]],GroupVertices[Vertex],0)),1,1,"")</f>
        <v>1</v>
      </c>
      <c r="R575" s="80" t="str">
        <f>REPLACE(INDEX(GroupVertices[Group],MATCH(Edges[[#This Row],[Vertex 2]],GroupVertices[Vertex],0)),1,1,"")</f>
        <v>1</v>
      </c>
      <c r="S575" s="35"/>
      <c r="T575" s="35"/>
      <c r="U575" s="35"/>
      <c r="V575" s="35"/>
      <c r="W575" s="35"/>
      <c r="X575" s="35"/>
      <c r="Y575" s="35"/>
      <c r="Z575" s="35"/>
      <c r="AA575" s="35"/>
    </row>
    <row r="576" spans="1:27" ht="15">
      <c r="A576" s="65" t="s">
        <v>229</v>
      </c>
      <c r="B576" s="65" t="s">
        <v>214</v>
      </c>
      <c r="C576" s="66" t="s">
        <v>1612</v>
      </c>
      <c r="D576" s="67">
        <v>5</v>
      </c>
      <c r="E576" s="68"/>
      <c r="F576" s="69">
        <v>25</v>
      </c>
      <c r="G576" s="66"/>
      <c r="H576" s="70"/>
      <c r="I576" s="71"/>
      <c r="J576" s="71"/>
      <c r="K576" s="35" t="s">
        <v>65</v>
      </c>
      <c r="L576" s="79">
        <v>576</v>
      </c>
      <c r="M576" s="79"/>
      <c r="N576" s="73"/>
      <c r="O576" s="81" t="s">
        <v>379</v>
      </c>
      <c r="P576">
        <v>1</v>
      </c>
      <c r="Q576" s="80" t="str">
        <f>REPLACE(INDEX(GroupVertices[Group],MATCH(Edges[[#This Row],[Vertex 1]],GroupVertices[Vertex],0)),1,1,"")</f>
        <v>1</v>
      </c>
      <c r="R576" s="80" t="str">
        <f>REPLACE(INDEX(GroupVertices[Group],MATCH(Edges[[#This Row],[Vertex 2]],GroupVertices[Vertex],0)),1,1,"")</f>
        <v>1</v>
      </c>
      <c r="S576" s="35"/>
      <c r="T576" s="35"/>
      <c r="U576" s="35"/>
      <c r="V576" s="35"/>
      <c r="W576" s="35"/>
      <c r="X576" s="35"/>
      <c r="Y576" s="35"/>
      <c r="Z576" s="35"/>
      <c r="AA576" s="35"/>
    </row>
    <row r="577" spans="1:27" ht="15">
      <c r="A577" s="65" t="s">
        <v>230</v>
      </c>
      <c r="B577" s="65" t="s">
        <v>214</v>
      </c>
      <c r="C577" s="66" t="s">
        <v>1612</v>
      </c>
      <c r="D577" s="67">
        <v>5</v>
      </c>
      <c r="E577" s="68"/>
      <c r="F577" s="69">
        <v>25</v>
      </c>
      <c r="G577" s="66"/>
      <c r="H577" s="70"/>
      <c r="I577" s="71"/>
      <c r="J577" s="71"/>
      <c r="K577" s="35" t="s">
        <v>66</v>
      </c>
      <c r="L577" s="79">
        <v>577</v>
      </c>
      <c r="M577" s="79"/>
      <c r="N577" s="73"/>
      <c r="O577" s="81" t="s">
        <v>379</v>
      </c>
      <c r="P577">
        <v>1</v>
      </c>
      <c r="Q577" s="80" t="str">
        <f>REPLACE(INDEX(GroupVertices[Group],MATCH(Edges[[#This Row],[Vertex 1]],GroupVertices[Vertex],0)),1,1,"")</f>
        <v>2</v>
      </c>
      <c r="R577" s="80" t="str">
        <f>REPLACE(INDEX(GroupVertices[Group],MATCH(Edges[[#This Row],[Vertex 2]],GroupVertices[Vertex],0)),1,1,"")</f>
        <v>1</v>
      </c>
      <c r="S577" s="35"/>
      <c r="T577" s="35"/>
      <c r="U577" s="35"/>
      <c r="V577" s="35"/>
      <c r="W577" s="35"/>
      <c r="X577" s="35"/>
      <c r="Y577" s="35"/>
      <c r="Z577" s="35"/>
      <c r="AA577" s="35"/>
    </row>
    <row r="578" spans="1:27" ht="15">
      <c r="A578" s="65" t="s">
        <v>224</v>
      </c>
      <c r="B578" s="65" t="s">
        <v>214</v>
      </c>
      <c r="C578" s="66" t="s">
        <v>1612</v>
      </c>
      <c r="D578" s="67">
        <v>5</v>
      </c>
      <c r="E578" s="68"/>
      <c r="F578" s="69">
        <v>25</v>
      </c>
      <c r="G578" s="66"/>
      <c r="H578" s="70"/>
      <c r="I578" s="71"/>
      <c r="J578" s="71"/>
      <c r="K578" s="35" t="s">
        <v>65</v>
      </c>
      <c r="L578" s="79">
        <v>578</v>
      </c>
      <c r="M578" s="79"/>
      <c r="N578" s="73"/>
      <c r="O578" s="81" t="s">
        <v>379</v>
      </c>
      <c r="P578">
        <v>1</v>
      </c>
      <c r="Q578" s="80" t="str">
        <f>REPLACE(INDEX(GroupVertices[Group],MATCH(Edges[[#This Row],[Vertex 1]],GroupVertices[Vertex],0)),1,1,"")</f>
        <v>1</v>
      </c>
      <c r="R578" s="80" t="str">
        <f>REPLACE(INDEX(GroupVertices[Group],MATCH(Edges[[#This Row],[Vertex 2]],GroupVertices[Vertex],0)),1,1,"")</f>
        <v>1</v>
      </c>
      <c r="S578" s="35"/>
      <c r="T578" s="35"/>
      <c r="U578" s="35"/>
      <c r="V578" s="35"/>
      <c r="W578" s="35"/>
      <c r="X578" s="35"/>
      <c r="Y578" s="35"/>
      <c r="Z578" s="35"/>
      <c r="AA578" s="35"/>
    </row>
    <row r="579" spans="1:27" ht="15">
      <c r="A579" s="65" t="s">
        <v>225</v>
      </c>
      <c r="B579" s="65" t="s">
        <v>214</v>
      </c>
      <c r="C579" s="66" t="s">
        <v>1612</v>
      </c>
      <c r="D579" s="67">
        <v>5</v>
      </c>
      <c r="E579" s="68"/>
      <c r="F579" s="69">
        <v>25</v>
      </c>
      <c r="G579" s="66"/>
      <c r="H579" s="70"/>
      <c r="I579" s="71"/>
      <c r="J579" s="71"/>
      <c r="K579" s="35" t="s">
        <v>65</v>
      </c>
      <c r="L579" s="79">
        <v>579</v>
      </c>
      <c r="M579" s="79"/>
      <c r="N579" s="73"/>
      <c r="O579" s="81" t="s">
        <v>379</v>
      </c>
      <c r="P579">
        <v>1</v>
      </c>
      <c r="Q579" s="80" t="str">
        <f>REPLACE(INDEX(GroupVertices[Group],MATCH(Edges[[#This Row],[Vertex 1]],GroupVertices[Vertex],0)),1,1,"")</f>
        <v>1</v>
      </c>
      <c r="R579" s="80" t="str">
        <f>REPLACE(INDEX(GroupVertices[Group],MATCH(Edges[[#This Row],[Vertex 2]],GroupVertices[Vertex],0)),1,1,"")</f>
        <v>1</v>
      </c>
      <c r="S579" s="35"/>
      <c r="T579" s="35"/>
      <c r="U579" s="35"/>
      <c r="V579" s="35"/>
      <c r="W579" s="35"/>
      <c r="X579" s="35"/>
      <c r="Y579" s="35"/>
      <c r="Z579" s="35"/>
      <c r="AA579" s="35"/>
    </row>
    <row r="580" spans="1:27" ht="15">
      <c r="A580" s="65" t="s">
        <v>228</v>
      </c>
      <c r="B580" s="65" t="s">
        <v>214</v>
      </c>
      <c r="C580" s="66" t="s">
        <v>1612</v>
      </c>
      <c r="D580" s="67">
        <v>5</v>
      </c>
      <c r="E580" s="68"/>
      <c r="F580" s="69">
        <v>25</v>
      </c>
      <c r="G580" s="66"/>
      <c r="H580" s="70"/>
      <c r="I580" s="71"/>
      <c r="J580" s="71"/>
      <c r="K580" s="35" t="s">
        <v>66</v>
      </c>
      <c r="L580" s="79">
        <v>580</v>
      </c>
      <c r="M580" s="79"/>
      <c r="N580" s="73"/>
      <c r="O580" s="81" t="s">
        <v>378</v>
      </c>
      <c r="P580">
        <v>1</v>
      </c>
      <c r="Q580" s="80" t="str">
        <f>REPLACE(INDEX(GroupVertices[Group],MATCH(Edges[[#This Row],[Vertex 1]],GroupVertices[Vertex],0)),1,1,"")</f>
        <v>1</v>
      </c>
      <c r="R580" s="80" t="str">
        <f>REPLACE(INDEX(GroupVertices[Group],MATCH(Edges[[#This Row],[Vertex 2]],GroupVertices[Vertex],0)),1,1,"")</f>
        <v>1</v>
      </c>
      <c r="S580" s="35"/>
      <c r="T580" s="35"/>
      <c r="U580" s="35"/>
      <c r="V580" s="35"/>
      <c r="W580" s="35"/>
      <c r="X580" s="35"/>
      <c r="Y580" s="35"/>
      <c r="Z580" s="35"/>
      <c r="AA580" s="35"/>
    </row>
    <row r="581" spans="1:27" ht="15">
      <c r="A581" s="65" t="s">
        <v>215</v>
      </c>
      <c r="B581" s="65" t="s">
        <v>374</v>
      </c>
      <c r="C581" s="66" t="s">
        <v>1612</v>
      </c>
      <c r="D581" s="67">
        <v>5</v>
      </c>
      <c r="E581" s="68"/>
      <c r="F581" s="69">
        <v>25</v>
      </c>
      <c r="G581" s="66"/>
      <c r="H581" s="70"/>
      <c r="I581" s="71"/>
      <c r="J581" s="71"/>
      <c r="K581" s="35" t="s">
        <v>65</v>
      </c>
      <c r="L581" s="79">
        <v>581</v>
      </c>
      <c r="M581" s="79"/>
      <c r="N581" s="73"/>
      <c r="O581" s="81" t="s">
        <v>377</v>
      </c>
      <c r="P581">
        <v>1</v>
      </c>
      <c r="Q581" s="80" t="str">
        <f>REPLACE(INDEX(GroupVertices[Group],MATCH(Edges[[#This Row],[Vertex 1]],GroupVertices[Vertex],0)),1,1,"")</f>
        <v>1</v>
      </c>
      <c r="R581" s="80" t="str">
        <f>REPLACE(INDEX(GroupVertices[Group],MATCH(Edges[[#This Row],[Vertex 2]],GroupVertices[Vertex],0)),1,1,"")</f>
        <v>1</v>
      </c>
      <c r="S581" s="35"/>
      <c r="T581" s="35"/>
      <c r="U581" s="35"/>
      <c r="V581" s="35"/>
      <c r="W581" s="35"/>
      <c r="X581" s="35"/>
      <c r="Y581" s="35"/>
      <c r="Z581" s="35"/>
      <c r="AA581" s="35"/>
    </row>
    <row r="582" spans="1:27" ht="15">
      <c r="A582" s="65" t="s">
        <v>228</v>
      </c>
      <c r="B582" s="65" t="s">
        <v>374</v>
      </c>
      <c r="C582" s="66" t="s">
        <v>1612</v>
      </c>
      <c r="D582" s="67">
        <v>5</v>
      </c>
      <c r="E582" s="68"/>
      <c r="F582" s="69">
        <v>25</v>
      </c>
      <c r="G582" s="66"/>
      <c r="H582" s="70"/>
      <c r="I582" s="71"/>
      <c r="J582" s="71"/>
      <c r="K582" s="35" t="s">
        <v>65</v>
      </c>
      <c r="L582" s="79">
        <v>582</v>
      </c>
      <c r="M582" s="79"/>
      <c r="N582" s="73"/>
      <c r="O582" s="81" t="s">
        <v>377</v>
      </c>
      <c r="P582">
        <v>1</v>
      </c>
      <c r="Q582" s="80" t="str">
        <f>REPLACE(INDEX(GroupVertices[Group],MATCH(Edges[[#This Row],[Vertex 1]],GroupVertices[Vertex],0)),1,1,"")</f>
        <v>1</v>
      </c>
      <c r="R582" s="80" t="str">
        <f>REPLACE(INDEX(GroupVertices[Group],MATCH(Edges[[#This Row],[Vertex 2]],GroupVertices[Vertex],0)),1,1,"")</f>
        <v>1</v>
      </c>
      <c r="S582" s="35"/>
      <c r="T582" s="35"/>
      <c r="U582" s="35"/>
      <c r="V582" s="35"/>
      <c r="W582" s="35"/>
      <c r="X582" s="35"/>
      <c r="Y582" s="35"/>
      <c r="Z582" s="35"/>
      <c r="AA582" s="35"/>
    </row>
    <row r="583" spans="1:27" ht="15">
      <c r="A583" s="65" t="s">
        <v>228</v>
      </c>
      <c r="B583" s="65" t="s">
        <v>374</v>
      </c>
      <c r="C583" s="66" t="s">
        <v>1612</v>
      </c>
      <c r="D583" s="67">
        <v>5</v>
      </c>
      <c r="E583" s="68"/>
      <c r="F583" s="69">
        <v>25</v>
      </c>
      <c r="G583" s="66"/>
      <c r="H583" s="70"/>
      <c r="I583" s="71"/>
      <c r="J583" s="71"/>
      <c r="K583" s="35" t="s">
        <v>65</v>
      </c>
      <c r="L583" s="79">
        <v>583</v>
      </c>
      <c r="M583" s="79"/>
      <c r="N583" s="73"/>
      <c r="O583" s="81" t="s">
        <v>378</v>
      </c>
      <c r="P583">
        <v>1</v>
      </c>
      <c r="Q583" s="80" t="str">
        <f>REPLACE(INDEX(GroupVertices[Group],MATCH(Edges[[#This Row],[Vertex 1]],GroupVertices[Vertex],0)),1,1,"")</f>
        <v>1</v>
      </c>
      <c r="R583" s="80" t="str">
        <f>REPLACE(INDEX(GroupVertices[Group],MATCH(Edges[[#This Row],[Vertex 2]],GroupVertices[Vertex],0)),1,1,"")</f>
        <v>1</v>
      </c>
      <c r="S583" s="35"/>
      <c r="T583" s="35"/>
      <c r="U583" s="35"/>
      <c r="V583" s="35"/>
      <c r="W583" s="35"/>
      <c r="X583" s="35"/>
      <c r="Y583" s="35"/>
      <c r="Z583" s="35"/>
      <c r="AA583" s="35"/>
    </row>
    <row r="584" spans="1:27" ht="15">
      <c r="A584" s="65" t="s">
        <v>227</v>
      </c>
      <c r="B584" s="65" t="s">
        <v>231</v>
      </c>
      <c r="C584" s="66" t="s">
        <v>1612</v>
      </c>
      <c r="D584" s="67">
        <v>5</v>
      </c>
      <c r="E584" s="68"/>
      <c r="F584" s="69">
        <v>25</v>
      </c>
      <c r="G584" s="66"/>
      <c r="H584" s="70"/>
      <c r="I584" s="71"/>
      <c r="J584" s="71"/>
      <c r="K584" s="35" t="s">
        <v>66</v>
      </c>
      <c r="L584" s="79">
        <v>584</v>
      </c>
      <c r="M584" s="79"/>
      <c r="N584" s="73"/>
      <c r="O584" s="81" t="s">
        <v>377</v>
      </c>
      <c r="P584">
        <v>1</v>
      </c>
      <c r="Q584" s="80" t="str">
        <f>REPLACE(INDEX(GroupVertices[Group],MATCH(Edges[[#This Row],[Vertex 1]],GroupVertices[Vertex],0)),1,1,"")</f>
        <v>1</v>
      </c>
      <c r="R584" s="80" t="str">
        <f>REPLACE(INDEX(GroupVertices[Group],MATCH(Edges[[#This Row],[Vertex 2]],GroupVertices[Vertex],0)),1,1,"")</f>
        <v>1</v>
      </c>
      <c r="S584" s="35"/>
      <c r="T584" s="35"/>
      <c r="U584" s="35"/>
      <c r="V584" s="35"/>
      <c r="W584" s="35"/>
      <c r="X584" s="35"/>
      <c r="Y584" s="35"/>
      <c r="Z584" s="35"/>
      <c r="AA584" s="35"/>
    </row>
    <row r="585" spans="1:27" ht="15">
      <c r="A585" s="65" t="s">
        <v>227</v>
      </c>
      <c r="B585" s="65" t="s">
        <v>228</v>
      </c>
      <c r="C585" s="66" t="s">
        <v>1612</v>
      </c>
      <c r="D585" s="67">
        <v>5</v>
      </c>
      <c r="E585" s="68"/>
      <c r="F585" s="69">
        <v>25</v>
      </c>
      <c r="G585" s="66"/>
      <c r="H585" s="70"/>
      <c r="I585" s="71"/>
      <c r="J585" s="71"/>
      <c r="K585" s="35" t="s">
        <v>66</v>
      </c>
      <c r="L585" s="79">
        <v>585</v>
      </c>
      <c r="M585" s="79"/>
      <c r="N585" s="73"/>
      <c r="O585" s="81" t="s">
        <v>377</v>
      </c>
      <c r="P585">
        <v>1</v>
      </c>
      <c r="Q585" s="80" t="str">
        <f>REPLACE(INDEX(GroupVertices[Group],MATCH(Edges[[#This Row],[Vertex 1]],GroupVertices[Vertex],0)),1,1,"")</f>
        <v>1</v>
      </c>
      <c r="R585" s="80" t="str">
        <f>REPLACE(INDEX(GroupVertices[Group],MATCH(Edges[[#This Row],[Vertex 2]],GroupVertices[Vertex],0)),1,1,"")</f>
        <v>1</v>
      </c>
      <c r="S585" s="35"/>
      <c r="T585" s="35"/>
      <c r="U585" s="35"/>
      <c r="V585" s="35"/>
      <c r="W585" s="35"/>
      <c r="X585" s="35"/>
      <c r="Y585" s="35"/>
      <c r="Z585" s="35"/>
      <c r="AA585" s="35"/>
    </row>
    <row r="586" spans="1:27" ht="15">
      <c r="A586" s="65" t="s">
        <v>227</v>
      </c>
      <c r="B586" s="65" t="s">
        <v>230</v>
      </c>
      <c r="C586" s="66" t="s">
        <v>1612</v>
      </c>
      <c r="D586" s="67">
        <v>5</v>
      </c>
      <c r="E586" s="68"/>
      <c r="F586" s="69">
        <v>25</v>
      </c>
      <c r="G586" s="66"/>
      <c r="H586" s="70"/>
      <c r="I586" s="71"/>
      <c r="J586" s="71"/>
      <c r="K586" s="35" t="s">
        <v>66</v>
      </c>
      <c r="L586" s="79">
        <v>586</v>
      </c>
      <c r="M586" s="79"/>
      <c r="N586" s="73"/>
      <c r="O586" s="81" t="s">
        <v>377</v>
      </c>
      <c r="P586">
        <v>1</v>
      </c>
      <c r="Q586" s="80" t="str">
        <f>REPLACE(INDEX(GroupVertices[Group],MATCH(Edges[[#This Row],[Vertex 1]],GroupVertices[Vertex],0)),1,1,"")</f>
        <v>1</v>
      </c>
      <c r="R586" s="80" t="str">
        <f>REPLACE(INDEX(GroupVertices[Group],MATCH(Edges[[#This Row],[Vertex 2]],GroupVertices[Vertex],0)),1,1,"")</f>
        <v>2</v>
      </c>
      <c r="S586" s="35"/>
      <c r="T586" s="35"/>
      <c r="U586" s="35"/>
      <c r="V586" s="35"/>
      <c r="W586" s="35"/>
      <c r="X586" s="35"/>
      <c r="Y586" s="35"/>
      <c r="Z586" s="35"/>
      <c r="AA586" s="35"/>
    </row>
    <row r="587" spans="1:27" ht="15">
      <c r="A587" s="65" t="s">
        <v>227</v>
      </c>
      <c r="B587" s="65" t="s">
        <v>229</v>
      </c>
      <c r="C587" s="66" t="s">
        <v>1612</v>
      </c>
      <c r="D587" s="67">
        <v>5</v>
      </c>
      <c r="E587" s="68"/>
      <c r="F587" s="69">
        <v>25</v>
      </c>
      <c r="G587" s="66"/>
      <c r="H587" s="70"/>
      <c r="I587" s="71"/>
      <c r="J587" s="71"/>
      <c r="K587" s="35" t="s">
        <v>66</v>
      </c>
      <c r="L587" s="79">
        <v>587</v>
      </c>
      <c r="M587" s="79"/>
      <c r="N587" s="73"/>
      <c r="O587" s="81" t="s">
        <v>377</v>
      </c>
      <c r="P587">
        <v>1</v>
      </c>
      <c r="Q587" s="80" t="str">
        <f>REPLACE(INDEX(GroupVertices[Group],MATCH(Edges[[#This Row],[Vertex 1]],GroupVertices[Vertex],0)),1,1,"")</f>
        <v>1</v>
      </c>
      <c r="R587" s="80" t="str">
        <f>REPLACE(INDEX(GroupVertices[Group],MATCH(Edges[[#This Row],[Vertex 2]],GroupVertices[Vertex],0)),1,1,"")</f>
        <v>1</v>
      </c>
      <c r="S587" s="35"/>
      <c r="T587" s="35"/>
      <c r="U587" s="35"/>
      <c r="V587" s="35"/>
      <c r="W587" s="35"/>
      <c r="X587" s="35"/>
      <c r="Y587" s="35"/>
      <c r="Z587" s="35"/>
      <c r="AA587" s="35"/>
    </row>
    <row r="588" spans="1:27" ht="15">
      <c r="A588" s="65" t="s">
        <v>227</v>
      </c>
      <c r="B588" s="65" t="s">
        <v>221</v>
      </c>
      <c r="C588" s="66" t="s">
        <v>1612</v>
      </c>
      <c r="D588" s="67">
        <v>5</v>
      </c>
      <c r="E588" s="68"/>
      <c r="F588" s="69">
        <v>25</v>
      </c>
      <c r="G588" s="66"/>
      <c r="H588" s="70"/>
      <c r="I588" s="71"/>
      <c r="J588" s="71"/>
      <c r="K588" s="35" t="s">
        <v>66</v>
      </c>
      <c r="L588" s="79">
        <v>588</v>
      </c>
      <c r="M588" s="79"/>
      <c r="N588" s="73"/>
      <c r="O588" s="81" t="s">
        <v>377</v>
      </c>
      <c r="P588">
        <v>1</v>
      </c>
      <c r="Q588" s="80" t="str">
        <f>REPLACE(INDEX(GroupVertices[Group],MATCH(Edges[[#This Row],[Vertex 1]],GroupVertices[Vertex],0)),1,1,"")</f>
        <v>1</v>
      </c>
      <c r="R588" s="80" t="str">
        <f>REPLACE(INDEX(GroupVertices[Group],MATCH(Edges[[#This Row],[Vertex 2]],GroupVertices[Vertex],0)),1,1,"")</f>
        <v>1</v>
      </c>
      <c r="S588" s="35"/>
      <c r="T588" s="35"/>
      <c r="U588" s="35"/>
      <c r="V588" s="35"/>
      <c r="W588" s="35"/>
      <c r="X588" s="35"/>
      <c r="Y588" s="35"/>
      <c r="Z588" s="35"/>
      <c r="AA588" s="35"/>
    </row>
    <row r="589" spans="1:27" ht="15">
      <c r="A589" s="65" t="s">
        <v>215</v>
      </c>
      <c r="B589" s="65" t="s">
        <v>227</v>
      </c>
      <c r="C589" s="66" t="s">
        <v>1612</v>
      </c>
      <c r="D589" s="67">
        <v>5</v>
      </c>
      <c r="E589" s="68"/>
      <c r="F589" s="69">
        <v>25</v>
      </c>
      <c r="G589" s="66"/>
      <c r="H589" s="70"/>
      <c r="I589" s="71"/>
      <c r="J589" s="71"/>
      <c r="K589" s="35" t="s">
        <v>65</v>
      </c>
      <c r="L589" s="79">
        <v>589</v>
      </c>
      <c r="M589" s="79"/>
      <c r="N589" s="73"/>
      <c r="O589" s="81" t="s">
        <v>377</v>
      </c>
      <c r="P589">
        <v>1</v>
      </c>
      <c r="Q589" s="80" t="str">
        <f>REPLACE(INDEX(GroupVertices[Group],MATCH(Edges[[#This Row],[Vertex 1]],GroupVertices[Vertex],0)),1,1,"")</f>
        <v>1</v>
      </c>
      <c r="R589" s="80" t="str">
        <f>REPLACE(INDEX(GroupVertices[Group],MATCH(Edges[[#This Row],[Vertex 2]],GroupVertices[Vertex],0)),1,1,"")</f>
        <v>1</v>
      </c>
      <c r="S589" s="35"/>
      <c r="T589" s="35"/>
      <c r="U589" s="35"/>
      <c r="V589" s="35"/>
      <c r="W589" s="35"/>
      <c r="X589" s="35"/>
      <c r="Y589" s="35"/>
      <c r="Z589" s="35"/>
      <c r="AA589" s="35"/>
    </row>
    <row r="590" spans="1:27" ht="15">
      <c r="A590" s="65" t="s">
        <v>228</v>
      </c>
      <c r="B590" s="65" t="s">
        <v>227</v>
      </c>
      <c r="C590" s="66" t="s">
        <v>1612</v>
      </c>
      <c r="D590" s="67">
        <v>5</v>
      </c>
      <c r="E590" s="68"/>
      <c r="F590" s="69">
        <v>25</v>
      </c>
      <c r="G590" s="66"/>
      <c r="H590" s="70"/>
      <c r="I590" s="71"/>
      <c r="J590" s="71"/>
      <c r="K590" s="35" t="s">
        <v>66</v>
      </c>
      <c r="L590" s="79">
        <v>590</v>
      </c>
      <c r="M590" s="79"/>
      <c r="N590" s="73"/>
      <c r="O590" s="81" t="s">
        <v>377</v>
      </c>
      <c r="P590">
        <v>1</v>
      </c>
      <c r="Q590" s="80" t="str">
        <f>REPLACE(INDEX(GroupVertices[Group],MATCH(Edges[[#This Row],[Vertex 1]],GroupVertices[Vertex],0)),1,1,"")</f>
        <v>1</v>
      </c>
      <c r="R590" s="80" t="str">
        <f>REPLACE(INDEX(GroupVertices[Group],MATCH(Edges[[#This Row],[Vertex 2]],GroupVertices[Vertex],0)),1,1,"")</f>
        <v>1</v>
      </c>
      <c r="S590" s="35"/>
      <c r="T590" s="35"/>
      <c r="U590" s="35"/>
      <c r="V590" s="35"/>
      <c r="W590" s="35"/>
      <c r="X590" s="35"/>
      <c r="Y590" s="35"/>
      <c r="Z590" s="35"/>
      <c r="AA590" s="35"/>
    </row>
    <row r="591" spans="1:27" ht="15">
      <c r="A591" s="65" t="s">
        <v>221</v>
      </c>
      <c r="B591" s="65" t="s">
        <v>227</v>
      </c>
      <c r="C591" s="66" t="s">
        <v>1612</v>
      </c>
      <c r="D591" s="67">
        <v>5</v>
      </c>
      <c r="E591" s="68"/>
      <c r="F591" s="69">
        <v>25</v>
      </c>
      <c r="G591" s="66"/>
      <c r="H591" s="70"/>
      <c r="I591" s="71"/>
      <c r="J591" s="71"/>
      <c r="K591" s="35" t="s">
        <v>66</v>
      </c>
      <c r="L591" s="79">
        <v>591</v>
      </c>
      <c r="M591" s="79"/>
      <c r="N591" s="73"/>
      <c r="O591" s="81" t="s">
        <v>377</v>
      </c>
      <c r="P591">
        <v>1</v>
      </c>
      <c r="Q591" s="80" t="str">
        <f>REPLACE(INDEX(GroupVertices[Group],MATCH(Edges[[#This Row],[Vertex 1]],GroupVertices[Vertex],0)),1,1,"")</f>
        <v>1</v>
      </c>
      <c r="R591" s="80" t="str">
        <f>REPLACE(INDEX(GroupVertices[Group],MATCH(Edges[[#This Row],[Vertex 2]],GroupVertices[Vertex],0)),1,1,"")</f>
        <v>1</v>
      </c>
      <c r="S591" s="35"/>
      <c r="T591" s="35"/>
      <c r="U591" s="35"/>
      <c r="V591" s="35"/>
      <c r="W591" s="35"/>
      <c r="X591" s="35"/>
      <c r="Y591" s="35"/>
      <c r="Z591" s="35"/>
      <c r="AA591" s="35"/>
    </row>
    <row r="592" spans="1:27" ht="15">
      <c r="A592" s="65" t="s">
        <v>222</v>
      </c>
      <c r="B592" s="65" t="s">
        <v>227</v>
      </c>
      <c r="C592" s="66" t="s">
        <v>1612</v>
      </c>
      <c r="D592" s="67">
        <v>5</v>
      </c>
      <c r="E592" s="68"/>
      <c r="F592" s="69">
        <v>25</v>
      </c>
      <c r="G592" s="66"/>
      <c r="H592" s="70"/>
      <c r="I592" s="71"/>
      <c r="J592" s="71"/>
      <c r="K592" s="35" t="s">
        <v>65</v>
      </c>
      <c r="L592" s="79">
        <v>592</v>
      </c>
      <c r="M592" s="79"/>
      <c r="N592" s="73"/>
      <c r="O592" s="81" t="s">
        <v>377</v>
      </c>
      <c r="P592">
        <v>1</v>
      </c>
      <c r="Q592" s="80" t="str">
        <f>REPLACE(INDEX(GroupVertices[Group],MATCH(Edges[[#This Row],[Vertex 1]],GroupVertices[Vertex],0)),1,1,"")</f>
        <v>1</v>
      </c>
      <c r="R592" s="80" t="str">
        <f>REPLACE(INDEX(GroupVertices[Group],MATCH(Edges[[#This Row],[Vertex 2]],GroupVertices[Vertex],0)),1,1,"")</f>
        <v>1</v>
      </c>
      <c r="S592" s="35"/>
      <c r="T592" s="35"/>
      <c r="U592" s="35"/>
      <c r="V592" s="35"/>
      <c r="W592" s="35"/>
      <c r="X592" s="35"/>
      <c r="Y592" s="35"/>
      <c r="Z592" s="35"/>
      <c r="AA592" s="35"/>
    </row>
    <row r="593" spans="1:27" ht="15">
      <c r="A593" s="65" t="s">
        <v>215</v>
      </c>
      <c r="B593" s="65" t="s">
        <v>227</v>
      </c>
      <c r="C593" s="66" t="s">
        <v>1612</v>
      </c>
      <c r="D593" s="67">
        <v>5</v>
      </c>
      <c r="E593" s="68"/>
      <c r="F593" s="69">
        <v>25</v>
      </c>
      <c r="G593" s="66"/>
      <c r="H593" s="70"/>
      <c r="I593" s="71"/>
      <c r="J593" s="71"/>
      <c r="K593" s="35" t="s">
        <v>65</v>
      </c>
      <c r="L593" s="79">
        <v>593</v>
      </c>
      <c r="M593" s="79"/>
      <c r="N593" s="73"/>
      <c r="O593" s="81" t="s">
        <v>379</v>
      </c>
      <c r="P593">
        <v>1</v>
      </c>
      <c r="Q593" s="80" t="str">
        <f>REPLACE(INDEX(GroupVertices[Group],MATCH(Edges[[#This Row],[Vertex 1]],GroupVertices[Vertex],0)),1,1,"")</f>
        <v>1</v>
      </c>
      <c r="R593" s="80" t="str">
        <f>REPLACE(INDEX(GroupVertices[Group],MATCH(Edges[[#This Row],[Vertex 2]],GroupVertices[Vertex],0)),1,1,"")</f>
        <v>1</v>
      </c>
      <c r="S593" s="35"/>
      <c r="T593" s="35"/>
      <c r="U593" s="35"/>
      <c r="V593" s="35"/>
      <c r="W593" s="35"/>
      <c r="X593" s="35"/>
      <c r="Y593" s="35"/>
      <c r="Z593" s="35"/>
      <c r="AA593" s="35"/>
    </row>
    <row r="594" spans="1:27" ht="15">
      <c r="A594" s="65" t="s">
        <v>228</v>
      </c>
      <c r="B594" s="65" t="s">
        <v>227</v>
      </c>
      <c r="C594" s="66" t="s">
        <v>1612</v>
      </c>
      <c r="D594" s="67">
        <v>5</v>
      </c>
      <c r="E594" s="68"/>
      <c r="F594" s="69">
        <v>25</v>
      </c>
      <c r="G594" s="66"/>
      <c r="H594" s="70"/>
      <c r="I594" s="71"/>
      <c r="J594" s="71"/>
      <c r="K594" s="35" t="s">
        <v>66</v>
      </c>
      <c r="L594" s="79">
        <v>594</v>
      </c>
      <c r="M594" s="79"/>
      <c r="N594" s="73"/>
      <c r="O594" s="81" t="s">
        <v>379</v>
      </c>
      <c r="P594">
        <v>1</v>
      </c>
      <c r="Q594" s="80" t="str">
        <f>REPLACE(INDEX(GroupVertices[Group],MATCH(Edges[[#This Row],[Vertex 1]],GroupVertices[Vertex],0)),1,1,"")</f>
        <v>1</v>
      </c>
      <c r="R594" s="80" t="str">
        <f>REPLACE(INDEX(GroupVertices[Group],MATCH(Edges[[#This Row],[Vertex 2]],GroupVertices[Vertex],0)),1,1,"")</f>
        <v>1</v>
      </c>
      <c r="S594" s="35"/>
      <c r="T594" s="35"/>
      <c r="U594" s="35"/>
      <c r="V594" s="35"/>
      <c r="W594" s="35"/>
      <c r="X594" s="35"/>
      <c r="Y594" s="35"/>
      <c r="Z594" s="35"/>
      <c r="AA594" s="35"/>
    </row>
    <row r="595" spans="1:27" ht="15">
      <c r="A595" s="65" t="s">
        <v>231</v>
      </c>
      <c r="B595" s="65" t="s">
        <v>227</v>
      </c>
      <c r="C595" s="66" t="s">
        <v>1612</v>
      </c>
      <c r="D595" s="67">
        <v>5</v>
      </c>
      <c r="E595" s="68"/>
      <c r="F595" s="69">
        <v>25</v>
      </c>
      <c r="G595" s="66"/>
      <c r="H595" s="70"/>
      <c r="I595" s="71"/>
      <c r="J595" s="71"/>
      <c r="K595" s="35" t="s">
        <v>66</v>
      </c>
      <c r="L595" s="79">
        <v>595</v>
      </c>
      <c r="M595" s="79"/>
      <c r="N595" s="73"/>
      <c r="O595" s="81" t="s">
        <v>379</v>
      </c>
      <c r="P595">
        <v>1</v>
      </c>
      <c r="Q595" s="80" t="str">
        <f>REPLACE(INDEX(GroupVertices[Group],MATCH(Edges[[#This Row],[Vertex 1]],GroupVertices[Vertex],0)),1,1,"")</f>
        <v>1</v>
      </c>
      <c r="R595" s="80" t="str">
        <f>REPLACE(INDEX(GroupVertices[Group],MATCH(Edges[[#This Row],[Vertex 2]],GroupVertices[Vertex],0)),1,1,"")</f>
        <v>1</v>
      </c>
      <c r="S595" s="35"/>
      <c r="T595" s="35"/>
      <c r="U595" s="35"/>
      <c r="V595" s="35"/>
      <c r="W595" s="35"/>
      <c r="X595" s="35"/>
      <c r="Y595" s="35"/>
      <c r="Z595" s="35"/>
      <c r="AA595" s="35"/>
    </row>
    <row r="596" spans="1:27" ht="15">
      <c r="A596" s="65" t="s">
        <v>232</v>
      </c>
      <c r="B596" s="65" t="s">
        <v>227</v>
      </c>
      <c r="C596" s="66" t="s">
        <v>1612</v>
      </c>
      <c r="D596" s="67">
        <v>5</v>
      </c>
      <c r="E596" s="68"/>
      <c r="F596" s="69">
        <v>25</v>
      </c>
      <c r="G596" s="66"/>
      <c r="H596" s="70"/>
      <c r="I596" s="71"/>
      <c r="J596" s="71"/>
      <c r="K596" s="35" t="s">
        <v>65</v>
      </c>
      <c r="L596" s="79">
        <v>596</v>
      </c>
      <c r="M596" s="79"/>
      <c r="N596" s="73"/>
      <c r="O596" s="81" t="s">
        <v>379</v>
      </c>
      <c r="P596">
        <v>1</v>
      </c>
      <c r="Q596" s="80" t="str">
        <f>REPLACE(INDEX(GroupVertices[Group],MATCH(Edges[[#This Row],[Vertex 1]],GroupVertices[Vertex],0)),1,1,"")</f>
        <v>1</v>
      </c>
      <c r="R596" s="80" t="str">
        <f>REPLACE(INDEX(GroupVertices[Group],MATCH(Edges[[#This Row],[Vertex 2]],GroupVertices[Vertex],0)),1,1,"")</f>
        <v>1</v>
      </c>
      <c r="S596" s="35"/>
      <c r="T596" s="35"/>
      <c r="U596" s="35"/>
      <c r="V596" s="35"/>
      <c r="W596" s="35"/>
      <c r="X596" s="35"/>
      <c r="Y596" s="35"/>
      <c r="Z596" s="35"/>
      <c r="AA596" s="35"/>
    </row>
    <row r="597" spans="1:27" ht="15">
      <c r="A597" s="65" t="s">
        <v>219</v>
      </c>
      <c r="B597" s="65" t="s">
        <v>227</v>
      </c>
      <c r="C597" s="66" t="s">
        <v>1612</v>
      </c>
      <c r="D597" s="67">
        <v>5</v>
      </c>
      <c r="E597" s="68"/>
      <c r="F597" s="69">
        <v>25</v>
      </c>
      <c r="G597" s="66"/>
      <c r="H597" s="70"/>
      <c r="I597" s="71"/>
      <c r="J597" s="71"/>
      <c r="K597" s="35" t="s">
        <v>65</v>
      </c>
      <c r="L597" s="79">
        <v>597</v>
      </c>
      <c r="M597" s="79"/>
      <c r="N597" s="73"/>
      <c r="O597" s="81" t="s">
        <v>379</v>
      </c>
      <c r="P597">
        <v>1</v>
      </c>
      <c r="Q597" s="80" t="str">
        <f>REPLACE(INDEX(GroupVertices[Group],MATCH(Edges[[#This Row],[Vertex 1]],GroupVertices[Vertex],0)),1,1,"")</f>
        <v>1</v>
      </c>
      <c r="R597" s="80" t="str">
        <f>REPLACE(INDEX(GroupVertices[Group],MATCH(Edges[[#This Row],[Vertex 2]],GroupVertices[Vertex],0)),1,1,"")</f>
        <v>1</v>
      </c>
      <c r="S597" s="35"/>
      <c r="T597" s="35"/>
      <c r="U597" s="35"/>
      <c r="V597" s="35"/>
      <c r="W597" s="35"/>
      <c r="X597" s="35"/>
      <c r="Y597" s="35"/>
      <c r="Z597" s="35"/>
      <c r="AA597" s="35"/>
    </row>
    <row r="598" spans="1:27" ht="15">
      <c r="A598" s="65" t="s">
        <v>221</v>
      </c>
      <c r="B598" s="65" t="s">
        <v>227</v>
      </c>
      <c r="C598" s="66" t="s">
        <v>1612</v>
      </c>
      <c r="D598" s="67">
        <v>5</v>
      </c>
      <c r="E598" s="68"/>
      <c r="F598" s="69">
        <v>25</v>
      </c>
      <c r="G598" s="66"/>
      <c r="H598" s="70"/>
      <c r="I598" s="71"/>
      <c r="J598" s="71"/>
      <c r="K598" s="35" t="s">
        <v>66</v>
      </c>
      <c r="L598" s="79">
        <v>598</v>
      </c>
      <c r="M598" s="79"/>
      <c r="N598" s="73"/>
      <c r="O598" s="81" t="s">
        <v>379</v>
      </c>
      <c r="P598">
        <v>1</v>
      </c>
      <c r="Q598" s="80" t="str">
        <f>REPLACE(INDEX(GroupVertices[Group],MATCH(Edges[[#This Row],[Vertex 1]],GroupVertices[Vertex],0)),1,1,"")</f>
        <v>1</v>
      </c>
      <c r="R598" s="80" t="str">
        <f>REPLACE(INDEX(GroupVertices[Group],MATCH(Edges[[#This Row],[Vertex 2]],GroupVertices[Vertex],0)),1,1,"")</f>
        <v>1</v>
      </c>
      <c r="S598" s="35"/>
      <c r="T598" s="35"/>
      <c r="U598" s="35"/>
      <c r="V598" s="35"/>
      <c r="W598" s="35"/>
      <c r="X598" s="35"/>
      <c r="Y598" s="35"/>
      <c r="Z598" s="35"/>
      <c r="AA598" s="35"/>
    </row>
    <row r="599" spans="1:27" ht="15">
      <c r="A599" s="65" t="s">
        <v>222</v>
      </c>
      <c r="B599" s="65" t="s">
        <v>227</v>
      </c>
      <c r="C599" s="66" t="s">
        <v>1612</v>
      </c>
      <c r="D599" s="67">
        <v>5</v>
      </c>
      <c r="E599" s="68"/>
      <c r="F599" s="69">
        <v>25</v>
      </c>
      <c r="G599" s="66"/>
      <c r="H599" s="70"/>
      <c r="I599" s="71"/>
      <c r="J599" s="71"/>
      <c r="K599" s="35" t="s">
        <v>65</v>
      </c>
      <c r="L599" s="79">
        <v>599</v>
      </c>
      <c r="M599" s="79"/>
      <c r="N599" s="73"/>
      <c r="O599" s="81" t="s">
        <v>379</v>
      </c>
      <c r="P599">
        <v>1</v>
      </c>
      <c r="Q599" s="80" t="str">
        <f>REPLACE(INDEX(GroupVertices[Group],MATCH(Edges[[#This Row],[Vertex 1]],GroupVertices[Vertex],0)),1,1,"")</f>
        <v>1</v>
      </c>
      <c r="R599" s="80" t="str">
        <f>REPLACE(INDEX(GroupVertices[Group],MATCH(Edges[[#This Row],[Vertex 2]],GroupVertices[Vertex],0)),1,1,"")</f>
        <v>1</v>
      </c>
      <c r="S599" s="35"/>
      <c r="T599" s="35"/>
      <c r="U599" s="35"/>
      <c r="V599" s="35"/>
      <c r="W599" s="35"/>
      <c r="X599" s="35"/>
      <c r="Y599" s="35"/>
      <c r="Z599" s="35"/>
      <c r="AA599" s="35"/>
    </row>
    <row r="600" spans="1:27" ht="15">
      <c r="A600" s="65" t="s">
        <v>223</v>
      </c>
      <c r="B600" s="65" t="s">
        <v>227</v>
      </c>
      <c r="C600" s="66" t="s">
        <v>1612</v>
      </c>
      <c r="D600" s="67">
        <v>5</v>
      </c>
      <c r="E600" s="68"/>
      <c r="F600" s="69">
        <v>25</v>
      </c>
      <c r="G600" s="66"/>
      <c r="H600" s="70"/>
      <c r="I600" s="71"/>
      <c r="J600" s="71"/>
      <c r="K600" s="35" t="s">
        <v>65</v>
      </c>
      <c r="L600" s="79">
        <v>600</v>
      </c>
      <c r="M600" s="79"/>
      <c r="N600" s="73"/>
      <c r="O600" s="81" t="s">
        <v>379</v>
      </c>
      <c r="P600">
        <v>1</v>
      </c>
      <c r="Q600" s="80" t="str">
        <f>REPLACE(INDEX(GroupVertices[Group],MATCH(Edges[[#This Row],[Vertex 1]],GroupVertices[Vertex],0)),1,1,"")</f>
        <v>1</v>
      </c>
      <c r="R600" s="80" t="str">
        <f>REPLACE(INDEX(GroupVertices[Group],MATCH(Edges[[#This Row],[Vertex 2]],GroupVertices[Vertex],0)),1,1,"")</f>
        <v>1</v>
      </c>
      <c r="S600" s="35"/>
      <c r="T600" s="35"/>
      <c r="U600" s="35"/>
      <c r="V600" s="35"/>
      <c r="W600" s="35"/>
      <c r="X600" s="35"/>
      <c r="Y600" s="35"/>
      <c r="Z600" s="35"/>
      <c r="AA600" s="35"/>
    </row>
    <row r="601" spans="1:27" ht="15">
      <c r="A601" s="65" t="s">
        <v>229</v>
      </c>
      <c r="B601" s="65" t="s">
        <v>227</v>
      </c>
      <c r="C601" s="66" t="s">
        <v>1612</v>
      </c>
      <c r="D601" s="67">
        <v>5</v>
      </c>
      <c r="E601" s="68"/>
      <c r="F601" s="69">
        <v>25</v>
      </c>
      <c r="G601" s="66"/>
      <c r="H601" s="70"/>
      <c r="I601" s="71"/>
      <c r="J601" s="71"/>
      <c r="K601" s="35" t="s">
        <v>66</v>
      </c>
      <c r="L601" s="79">
        <v>601</v>
      </c>
      <c r="M601" s="79"/>
      <c r="N601" s="73"/>
      <c r="O601" s="81" t="s">
        <v>379</v>
      </c>
      <c r="P601">
        <v>1</v>
      </c>
      <c r="Q601" s="80" t="str">
        <f>REPLACE(INDEX(GroupVertices[Group],MATCH(Edges[[#This Row],[Vertex 1]],GroupVertices[Vertex],0)),1,1,"")</f>
        <v>1</v>
      </c>
      <c r="R601" s="80" t="str">
        <f>REPLACE(INDEX(GroupVertices[Group],MATCH(Edges[[#This Row],[Vertex 2]],GroupVertices[Vertex],0)),1,1,"")</f>
        <v>1</v>
      </c>
      <c r="S601" s="35"/>
      <c r="T601" s="35"/>
      <c r="U601" s="35"/>
      <c r="V601" s="35"/>
      <c r="W601" s="35"/>
      <c r="X601" s="35"/>
      <c r="Y601" s="35"/>
      <c r="Z601" s="35"/>
      <c r="AA601" s="35"/>
    </row>
    <row r="602" spans="1:27" ht="15">
      <c r="A602" s="65" t="s">
        <v>230</v>
      </c>
      <c r="B602" s="65" t="s">
        <v>227</v>
      </c>
      <c r="C602" s="66" t="s">
        <v>1612</v>
      </c>
      <c r="D602" s="67">
        <v>5</v>
      </c>
      <c r="E602" s="68"/>
      <c r="F602" s="69">
        <v>25</v>
      </c>
      <c r="G602" s="66"/>
      <c r="H602" s="70"/>
      <c r="I602" s="71"/>
      <c r="J602" s="71"/>
      <c r="K602" s="35" t="s">
        <v>66</v>
      </c>
      <c r="L602" s="79">
        <v>602</v>
      </c>
      <c r="M602" s="79"/>
      <c r="N602" s="73"/>
      <c r="O602" s="81" t="s">
        <v>379</v>
      </c>
      <c r="P602">
        <v>1</v>
      </c>
      <c r="Q602" s="80" t="str">
        <f>REPLACE(INDEX(GroupVertices[Group],MATCH(Edges[[#This Row],[Vertex 1]],GroupVertices[Vertex],0)),1,1,"")</f>
        <v>2</v>
      </c>
      <c r="R602" s="80" t="str">
        <f>REPLACE(INDEX(GroupVertices[Group],MATCH(Edges[[#This Row],[Vertex 2]],GroupVertices[Vertex],0)),1,1,"")</f>
        <v>1</v>
      </c>
      <c r="S602" s="35"/>
      <c r="T602" s="35"/>
      <c r="U602" s="35"/>
      <c r="V602" s="35"/>
      <c r="W602" s="35"/>
      <c r="X602" s="35"/>
      <c r="Y602" s="35"/>
      <c r="Z602" s="35"/>
      <c r="AA602" s="35"/>
    </row>
    <row r="603" spans="1:27" ht="15">
      <c r="A603" s="65" t="s">
        <v>224</v>
      </c>
      <c r="B603" s="65" t="s">
        <v>227</v>
      </c>
      <c r="C603" s="66" t="s">
        <v>1612</v>
      </c>
      <c r="D603" s="67">
        <v>5</v>
      </c>
      <c r="E603" s="68"/>
      <c r="F603" s="69">
        <v>25</v>
      </c>
      <c r="G603" s="66"/>
      <c r="H603" s="70"/>
      <c r="I603" s="71"/>
      <c r="J603" s="71"/>
      <c r="K603" s="35" t="s">
        <v>65</v>
      </c>
      <c r="L603" s="79">
        <v>603</v>
      </c>
      <c r="M603" s="79"/>
      <c r="N603" s="73"/>
      <c r="O603" s="81" t="s">
        <v>379</v>
      </c>
      <c r="P603">
        <v>1</v>
      </c>
      <c r="Q603" s="80" t="str">
        <f>REPLACE(INDEX(GroupVertices[Group],MATCH(Edges[[#This Row],[Vertex 1]],GroupVertices[Vertex],0)),1,1,"")</f>
        <v>1</v>
      </c>
      <c r="R603" s="80" t="str">
        <f>REPLACE(INDEX(GroupVertices[Group],MATCH(Edges[[#This Row],[Vertex 2]],GroupVertices[Vertex],0)),1,1,"")</f>
        <v>1</v>
      </c>
      <c r="S603" s="35"/>
      <c r="T603" s="35"/>
      <c r="U603" s="35"/>
      <c r="V603" s="35"/>
      <c r="W603" s="35"/>
      <c r="X603" s="35"/>
      <c r="Y603" s="35"/>
      <c r="Z603" s="35"/>
      <c r="AA603" s="35"/>
    </row>
    <row r="604" spans="1:27" ht="15">
      <c r="A604" s="65" t="s">
        <v>225</v>
      </c>
      <c r="B604" s="65" t="s">
        <v>227</v>
      </c>
      <c r="C604" s="66" t="s">
        <v>1612</v>
      </c>
      <c r="D604" s="67">
        <v>5</v>
      </c>
      <c r="E604" s="68"/>
      <c r="F604" s="69">
        <v>25</v>
      </c>
      <c r="G604" s="66"/>
      <c r="H604" s="70"/>
      <c r="I604" s="71"/>
      <c r="J604" s="71"/>
      <c r="K604" s="35" t="s">
        <v>65</v>
      </c>
      <c r="L604" s="79">
        <v>604</v>
      </c>
      <c r="M604" s="79"/>
      <c r="N604" s="73"/>
      <c r="O604" s="81" t="s">
        <v>379</v>
      </c>
      <c r="P604">
        <v>1</v>
      </c>
      <c r="Q604" s="80" t="str">
        <f>REPLACE(INDEX(GroupVertices[Group],MATCH(Edges[[#This Row],[Vertex 1]],GroupVertices[Vertex],0)),1,1,"")</f>
        <v>1</v>
      </c>
      <c r="R604" s="80" t="str">
        <f>REPLACE(INDEX(GroupVertices[Group],MATCH(Edges[[#This Row],[Vertex 2]],GroupVertices[Vertex],0)),1,1,"")</f>
        <v>1</v>
      </c>
      <c r="S604" s="35"/>
      <c r="T604" s="35"/>
      <c r="U604" s="35"/>
      <c r="V604" s="35"/>
      <c r="W604" s="35"/>
      <c r="X604" s="35"/>
      <c r="Y604" s="35"/>
      <c r="Z604" s="35"/>
      <c r="AA604" s="35"/>
    </row>
    <row r="605" spans="1:27" ht="15">
      <c r="A605" s="65" t="s">
        <v>227</v>
      </c>
      <c r="B605" s="65" t="s">
        <v>231</v>
      </c>
      <c r="C605" s="66" t="s">
        <v>1612</v>
      </c>
      <c r="D605" s="67">
        <v>5</v>
      </c>
      <c r="E605" s="68"/>
      <c r="F605" s="69">
        <v>25</v>
      </c>
      <c r="G605" s="66"/>
      <c r="H605" s="70"/>
      <c r="I605" s="71"/>
      <c r="J605" s="71"/>
      <c r="K605" s="35" t="s">
        <v>66</v>
      </c>
      <c r="L605" s="79">
        <v>605</v>
      </c>
      <c r="M605" s="79"/>
      <c r="N605" s="73"/>
      <c r="O605" s="81" t="s">
        <v>378</v>
      </c>
      <c r="P605">
        <v>1</v>
      </c>
      <c r="Q605" s="80" t="str">
        <f>REPLACE(INDEX(GroupVertices[Group],MATCH(Edges[[#This Row],[Vertex 1]],GroupVertices[Vertex],0)),1,1,"")</f>
        <v>1</v>
      </c>
      <c r="R605" s="80" t="str">
        <f>REPLACE(INDEX(GroupVertices[Group],MATCH(Edges[[#This Row],[Vertex 2]],GroupVertices[Vertex],0)),1,1,"")</f>
        <v>1</v>
      </c>
      <c r="S605" s="35"/>
      <c r="T605" s="35"/>
      <c r="U605" s="35"/>
      <c r="V605" s="35"/>
      <c r="W605" s="35"/>
      <c r="X605" s="35"/>
      <c r="Y605" s="35"/>
      <c r="Z605" s="35"/>
      <c r="AA605" s="35"/>
    </row>
    <row r="606" spans="1:27" ht="15">
      <c r="A606" s="65" t="s">
        <v>227</v>
      </c>
      <c r="B606" s="65" t="s">
        <v>228</v>
      </c>
      <c r="C606" s="66" t="s">
        <v>1612</v>
      </c>
      <c r="D606" s="67">
        <v>5</v>
      </c>
      <c r="E606" s="68"/>
      <c r="F606" s="69">
        <v>25</v>
      </c>
      <c r="G606" s="66"/>
      <c r="H606" s="70"/>
      <c r="I606" s="71"/>
      <c r="J606" s="71"/>
      <c r="K606" s="35" t="s">
        <v>66</v>
      </c>
      <c r="L606" s="79">
        <v>606</v>
      </c>
      <c r="M606" s="79"/>
      <c r="N606" s="73"/>
      <c r="O606" s="81" t="s">
        <v>378</v>
      </c>
      <c r="P606">
        <v>1</v>
      </c>
      <c r="Q606" s="80" t="str">
        <f>REPLACE(INDEX(GroupVertices[Group],MATCH(Edges[[#This Row],[Vertex 1]],GroupVertices[Vertex],0)),1,1,"")</f>
        <v>1</v>
      </c>
      <c r="R606" s="80" t="str">
        <f>REPLACE(INDEX(GroupVertices[Group],MATCH(Edges[[#This Row],[Vertex 2]],GroupVertices[Vertex],0)),1,1,"")</f>
        <v>1</v>
      </c>
      <c r="S606" s="35"/>
      <c r="T606" s="35"/>
      <c r="U606" s="35"/>
      <c r="V606" s="35"/>
      <c r="W606" s="35"/>
      <c r="X606" s="35"/>
      <c r="Y606" s="35"/>
      <c r="Z606" s="35"/>
      <c r="AA606" s="35"/>
    </row>
    <row r="607" spans="1:27" ht="15">
      <c r="A607" s="65" t="s">
        <v>227</v>
      </c>
      <c r="B607" s="65" t="s">
        <v>230</v>
      </c>
      <c r="C607" s="66" t="s">
        <v>1612</v>
      </c>
      <c r="D607" s="67">
        <v>5</v>
      </c>
      <c r="E607" s="68"/>
      <c r="F607" s="69">
        <v>25</v>
      </c>
      <c r="G607" s="66"/>
      <c r="H607" s="70"/>
      <c r="I607" s="71"/>
      <c r="J607" s="71"/>
      <c r="K607" s="35" t="s">
        <v>66</v>
      </c>
      <c r="L607" s="79">
        <v>607</v>
      </c>
      <c r="M607" s="79"/>
      <c r="N607" s="73"/>
      <c r="O607" s="81" t="s">
        <v>378</v>
      </c>
      <c r="P607">
        <v>1</v>
      </c>
      <c r="Q607" s="80" t="str">
        <f>REPLACE(INDEX(GroupVertices[Group],MATCH(Edges[[#This Row],[Vertex 1]],GroupVertices[Vertex],0)),1,1,"")</f>
        <v>1</v>
      </c>
      <c r="R607" s="80" t="str">
        <f>REPLACE(INDEX(GroupVertices[Group],MATCH(Edges[[#This Row],[Vertex 2]],GroupVertices[Vertex],0)),1,1,"")</f>
        <v>2</v>
      </c>
      <c r="S607" s="35"/>
      <c r="T607" s="35"/>
      <c r="U607" s="35"/>
      <c r="V607" s="35"/>
      <c r="W607" s="35"/>
      <c r="X607" s="35"/>
      <c r="Y607" s="35"/>
      <c r="Z607" s="35"/>
      <c r="AA607" s="35"/>
    </row>
    <row r="608" spans="1:27" ht="15">
      <c r="A608" s="65" t="s">
        <v>227</v>
      </c>
      <c r="B608" s="65" t="s">
        <v>229</v>
      </c>
      <c r="C608" s="66" t="s">
        <v>1612</v>
      </c>
      <c r="D608" s="67">
        <v>5</v>
      </c>
      <c r="E608" s="68"/>
      <c r="F608" s="69">
        <v>25</v>
      </c>
      <c r="G608" s="66"/>
      <c r="H608" s="70"/>
      <c r="I608" s="71"/>
      <c r="J608" s="71"/>
      <c r="K608" s="35" t="s">
        <v>66</v>
      </c>
      <c r="L608" s="79">
        <v>608</v>
      </c>
      <c r="M608" s="79"/>
      <c r="N608" s="73"/>
      <c r="O608" s="81" t="s">
        <v>378</v>
      </c>
      <c r="P608">
        <v>1</v>
      </c>
      <c r="Q608" s="80" t="str">
        <f>REPLACE(INDEX(GroupVertices[Group],MATCH(Edges[[#This Row],[Vertex 1]],GroupVertices[Vertex],0)),1,1,"")</f>
        <v>1</v>
      </c>
      <c r="R608" s="80" t="str">
        <f>REPLACE(INDEX(GroupVertices[Group],MATCH(Edges[[#This Row],[Vertex 2]],GroupVertices[Vertex],0)),1,1,"")</f>
        <v>1</v>
      </c>
      <c r="S608" s="35"/>
      <c r="T608" s="35"/>
      <c r="U608" s="35"/>
      <c r="V608" s="35"/>
      <c r="W608" s="35"/>
      <c r="X608" s="35"/>
      <c r="Y608" s="35"/>
      <c r="Z608" s="35"/>
      <c r="AA608" s="35"/>
    </row>
    <row r="609" spans="1:27" ht="15">
      <c r="A609" s="65" t="s">
        <v>227</v>
      </c>
      <c r="B609" s="65" t="s">
        <v>221</v>
      </c>
      <c r="C609" s="66" t="s">
        <v>1612</v>
      </c>
      <c r="D609" s="67">
        <v>5</v>
      </c>
      <c r="E609" s="68"/>
      <c r="F609" s="69">
        <v>25</v>
      </c>
      <c r="G609" s="66"/>
      <c r="H609" s="70"/>
      <c r="I609" s="71"/>
      <c r="J609" s="71"/>
      <c r="K609" s="35" t="s">
        <v>66</v>
      </c>
      <c r="L609" s="79">
        <v>609</v>
      </c>
      <c r="M609" s="79"/>
      <c r="N609" s="73"/>
      <c r="O609" s="81" t="s">
        <v>378</v>
      </c>
      <c r="P609">
        <v>1</v>
      </c>
      <c r="Q609" s="80" t="str">
        <f>REPLACE(INDEX(GroupVertices[Group],MATCH(Edges[[#This Row],[Vertex 1]],GroupVertices[Vertex],0)),1,1,"")</f>
        <v>1</v>
      </c>
      <c r="R609" s="80" t="str">
        <f>REPLACE(INDEX(GroupVertices[Group],MATCH(Edges[[#This Row],[Vertex 2]],GroupVertices[Vertex],0)),1,1,"")</f>
        <v>1</v>
      </c>
      <c r="S609" s="35"/>
      <c r="T609" s="35"/>
      <c r="U609" s="35"/>
      <c r="V609" s="35"/>
      <c r="W609" s="35"/>
      <c r="X609" s="35"/>
      <c r="Y609" s="35"/>
      <c r="Z609" s="35"/>
      <c r="AA609" s="35"/>
    </row>
    <row r="610" spans="1:27" ht="15">
      <c r="A610" s="65" t="s">
        <v>228</v>
      </c>
      <c r="B610" s="65" t="s">
        <v>227</v>
      </c>
      <c r="C610" s="66" t="s">
        <v>1612</v>
      </c>
      <c r="D610" s="67">
        <v>5</v>
      </c>
      <c r="E610" s="68"/>
      <c r="F610" s="69">
        <v>25</v>
      </c>
      <c r="G610" s="66"/>
      <c r="H610" s="70"/>
      <c r="I610" s="71"/>
      <c r="J610" s="71"/>
      <c r="K610" s="35" t="s">
        <v>66</v>
      </c>
      <c r="L610" s="79">
        <v>610</v>
      </c>
      <c r="M610" s="79"/>
      <c r="N610" s="73"/>
      <c r="O610" s="81" t="s">
        <v>378</v>
      </c>
      <c r="P610">
        <v>1</v>
      </c>
      <c r="Q610" s="80" t="str">
        <f>REPLACE(INDEX(GroupVertices[Group],MATCH(Edges[[#This Row],[Vertex 1]],GroupVertices[Vertex],0)),1,1,"")</f>
        <v>1</v>
      </c>
      <c r="R610" s="80" t="str">
        <f>REPLACE(INDEX(GroupVertices[Group],MATCH(Edges[[#This Row],[Vertex 2]],GroupVertices[Vertex],0)),1,1,"")</f>
        <v>1</v>
      </c>
      <c r="S610" s="35"/>
      <c r="T610" s="35"/>
      <c r="U610" s="35"/>
      <c r="V610" s="35"/>
      <c r="W610" s="35"/>
      <c r="X610" s="35"/>
      <c r="Y610" s="35"/>
      <c r="Z610" s="35"/>
      <c r="AA610" s="35"/>
    </row>
    <row r="611" spans="1:27" ht="15">
      <c r="A611" s="65" t="s">
        <v>215</v>
      </c>
      <c r="B611" s="65" t="s">
        <v>232</v>
      </c>
      <c r="C611" s="66" t="s">
        <v>1612</v>
      </c>
      <c r="D611" s="67">
        <v>5</v>
      </c>
      <c r="E611" s="68"/>
      <c r="F611" s="69">
        <v>25</v>
      </c>
      <c r="G611" s="66"/>
      <c r="H611" s="70"/>
      <c r="I611" s="71"/>
      <c r="J611" s="71"/>
      <c r="K611" s="35" t="s">
        <v>66</v>
      </c>
      <c r="L611" s="79">
        <v>611</v>
      </c>
      <c r="M611" s="79"/>
      <c r="N611" s="73"/>
      <c r="O611" s="81" t="s">
        <v>377</v>
      </c>
      <c r="P611">
        <v>1</v>
      </c>
      <c r="Q611" s="80" t="str">
        <f>REPLACE(INDEX(GroupVertices[Group],MATCH(Edges[[#This Row],[Vertex 1]],GroupVertices[Vertex],0)),1,1,"")</f>
        <v>1</v>
      </c>
      <c r="R611" s="80" t="str">
        <f>REPLACE(INDEX(GroupVertices[Group],MATCH(Edges[[#This Row],[Vertex 2]],GroupVertices[Vertex],0)),1,1,"")</f>
        <v>1</v>
      </c>
      <c r="S611" s="35"/>
      <c r="T611" s="35"/>
      <c r="U611" s="35"/>
      <c r="V611" s="35"/>
      <c r="W611" s="35"/>
      <c r="X611" s="35"/>
      <c r="Y611" s="35"/>
      <c r="Z611" s="35"/>
      <c r="AA611" s="35"/>
    </row>
    <row r="612" spans="1:27" ht="15">
      <c r="A612" s="65" t="s">
        <v>215</v>
      </c>
      <c r="B612" s="65" t="s">
        <v>228</v>
      </c>
      <c r="C612" s="66" t="s">
        <v>1612</v>
      </c>
      <c r="D612" s="67">
        <v>5</v>
      </c>
      <c r="E612" s="68"/>
      <c r="F612" s="69">
        <v>25</v>
      </c>
      <c r="G612" s="66"/>
      <c r="H612" s="70"/>
      <c r="I612" s="71"/>
      <c r="J612" s="71"/>
      <c r="K612" s="35" t="s">
        <v>66</v>
      </c>
      <c r="L612" s="79">
        <v>612</v>
      </c>
      <c r="M612" s="79"/>
      <c r="N612" s="73"/>
      <c r="O612" s="81" t="s">
        <v>377</v>
      </c>
      <c r="P612">
        <v>1</v>
      </c>
      <c r="Q612" s="80" t="str">
        <f>REPLACE(INDEX(GroupVertices[Group],MATCH(Edges[[#This Row],[Vertex 1]],GroupVertices[Vertex],0)),1,1,"")</f>
        <v>1</v>
      </c>
      <c r="R612" s="80" t="str">
        <f>REPLACE(INDEX(GroupVertices[Group],MATCH(Edges[[#This Row],[Vertex 2]],GroupVertices[Vertex],0)),1,1,"")</f>
        <v>1</v>
      </c>
      <c r="S612" s="35"/>
      <c r="T612" s="35"/>
      <c r="U612" s="35"/>
      <c r="V612" s="35"/>
      <c r="W612" s="35"/>
      <c r="X612" s="35"/>
      <c r="Y612" s="35"/>
      <c r="Z612" s="35"/>
      <c r="AA612" s="35"/>
    </row>
    <row r="613" spans="1:27" ht="15">
      <c r="A613" s="65" t="s">
        <v>215</v>
      </c>
      <c r="B613" s="65" t="s">
        <v>231</v>
      </c>
      <c r="C613" s="66" t="s">
        <v>1612</v>
      </c>
      <c r="D613" s="67">
        <v>5</v>
      </c>
      <c r="E613" s="68"/>
      <c r="F613" s="69">
        <v>25</v>
      </c>
      <c r="G613" s="66"/>
      <c r="H613" s="70"/>
      <c r="I613" s="71"/>
      <c r="J613" s="71"/>
      <c r="K613" s="35" t="s">
        <v>66</v>
      </c>
      <c r="L613" s="79">
        <v>613</v>
      </c>
      <c r="M613" s="79"/>
      <c r="N613" s="73"/>
      <c r="O613" s="81" t="s">
        <v>377</v>
      </c>
      <c r="P613">
        <v>1</v>
      </c>
      <c r="Q613" s="80" t="str">
        <f>REPLACE(INDEX(GroupVertices[Group],MATCH(Edges[[#This Row],[Vertex 1]],GroupVertices[Vertex],0)),1,1,"")</f>
        <v>1</v>
      </c>
      <c r="R613" s="80" t="str">
        <f>REPLACE(INDEX(GroupVertices[Group],MATCH(Edges[[#This Row],[Vertex 2]],GroupVertices[Vertex],0)),1,1,"")</f>
        <v>1</v>
      </c>
      <c r="S613" s="35"/>
      <c r="T613" s="35"/>
      <c r="U613" s="35"/>
      <c r="V613" s="35"/>
      <c r="W613" s="35"/>
      <c r="X613" s="35"/>
      <c r="Y613" s="35"/>
      <c r="Z613" s="35"/>
      <c r="AA613" s="35"/>
    </row>
    <row r="614" spans="1:27" ht="15">
      <c r="A614" s="65" t="s">
        <v>215</v>
      </c>
      <c r="B614" s="65" t="s">
        <v>229</v>
      </c>
      <c r="C614" s="66" t="s">
        <v>1612</v>
      </c>
      <c r="D614" s="67">
        <v>5</v>
      </c>
      <c r="E614" s="68"/>
      <c r="F614" s="69">
        <v>25</v>
      </c>
      <c r="G614" s="66"/>
      <c r="H614" s="70"/>
      <c r="I614" s="71"/>
      <c r="J614" s="71"/>
      <c r="K614" s="35" t="s">
        <v>66</v>
      </c>
      <c r="L614" s="79">
        <v>614</v>
      </c>
      <c r="M614" s="79"/>
      <c r="N614" s="73"/>
      <c r="O614" s="81" t="s">
        <v>377</v>
      </c>
      <c r="P614">
        <v>1</v>
      </c>
      <c r="Q614" s="80" t="str">
        <f>REPLACE(INDEX(GroupVertices[Group],MATCH(Edges[[#This Row],[Vertex 1]],GroupVertices[Vertex],0)),1,1,"")</f>
        <v>1</v>
      </c>
      <c r="R614" s="80" t="str">
        <f>REPLACE(INDEX(GroupVertices[Group],MATCH(Edges[[#This Row],[Vertex 2]],GroupVertices[Vertex],0)),1,1,"")</f>
        <v>1</v>
      </c>
      <c r="S614" s="35"/>
      <c r="T614" s="35"/>
      <c r="U614" s="35"/>
      <c r="V614" s="35"/>
      <c r="W614" s="35"/>
      <c r="X614" s="35"/>
      <c r="Y614" s="35"/>
      <c r="Z614" s="35"/>
      <c r="AA614" s="35"/>
    </row>
    <row r="615" spans="1:27" ht="15">
      <c r="A615" s="65" t="s">
        <v>228</v>
      </c>
      <c r="B615" s="65" t="s">
        <v>215</v>
      </c>
      <c r="C615" s="66" t="s">
        <v>1612</v>
      </c>
      <c r="D615" s="67">
        <v>5</v>
      </c>
      <c r="E615" s="68"/>
      <c r="F615" s="69">
        <v>25</v>
      </c>
      <c r="G615" s="66"/>
      <c r="H615" s="70"/>
      <c r="I615" s="71"/>
      <c r="J615" s="71"/>
      <c r="K615" s="35" t="s">
        <v>66</v>
      </c>
      <c r="L615" s="79">
        <v>615</v>
      </c>
      <c r="M615" s="79"/>
      <c r="N615" s="73"/>
      <c r="O615" s="81" t="s">
        <v>377</v>
      </c>
      <c r="P615">
        <v>1</v>
      </c>
      <c r="Q615" s="80" t="str">
        <f>REPLACE(INDEX(GroupVertices[Group],MATCH(Edges[[#This Row],[Vertex 1]],GroupVertices[Vertex],0)),1,1,"")</f>
        <v>1</v>
      </c>
      <c r="R615" s="80" t="str">
        <f>REPLACE(INDEX(GroupVertices[Group],MATCH(Edges[[#This Row],[Vertex 2]],GroupVertices[Vertex],0)),1,1,"")</f>
        <v>1</v>
      </c>
      <c r="S615" s="35"/>
      <c r="T615" s="35"/>
      <c r="U615" s="35"/>
      <c r="V615" s="35"/>
      <c r="W615" s="35"/>
      <c r="X615" s="35"/>
      <c r="Y615" s="35"/>
      <c r="Z615" s="35"/>
      <c r="AA615" s="35"/>
    </row>
    <row r="616" spans="1:27" ht="15">
      <c r="A616" s="65" t="s">
        <v>222</v>
      </c>
      <c r="B616" s="65" t="s">
        <v>215</v>
      </c>
      <c r="C616" s="66" t="s">
        <v>1612</v>
      </c>
      <c r="D616" s="67">
        <v>5</v>
      </c>
      <c r="E616" s="68"/>
      <c r="F616" s="69">
        <v>25</v>
      </c>
      <c r="G616" s="66"/>
      <c r="H616" s="70"/>
      <c r="I616" s="71"/>
      <c r="J616" s="71"/>
      <c r="K616" s="35" t="s">
        <v>65</v>
      </c>
      <c r="L616" s="79">
        <v>616</v>
      </c>
      <c r="M616" s="79"/>
      <c r="N616" s="73"/>
      <c r="O616" s="81" t="s">
        <v>377</v>
      </c>
      <c r="P616">
        <v>1</v>
      </c>
      <c r="Q616" s="80" t="str">
        <f>REPLACE(INDEX(GroupVertices[Group],MATCH(Edges[[#This Row],[Vertex 1]],GroupVertices[Vertex],0)),1,1,"")</f>
        <v>1</v>
      </c>
      <c r="R616" s="80" t="str">
        <f>REPLACE(INDEX(GroupVertices[Group],MATCH(Edges[[#This Row],[Vertex 2]],GroupVertices[Vertex],0)),1,1,"")</f>
        <v>1</v>
      </c>
      <c r="S616" s="35"/>
      <c r="T616" s="35"/>
      <c r="U616" s="35"/>
      <c r="V616" s="35"/>
      <c r="W616" s="35"/>
      <c r="X616" s="35"/>
      <c r="Y616" s="35"/>
      <c r="Z616" s="35"/>
      <c r="AA616" s="35"/>
    </row>
    <row r="617" spans="1:27" ht="15">
      <c r="A617" s="65" t="s">
        <v>229</v>
      </c>
      <c r="B617" s="65" t="s">
        <v>215</v>
      </c>
      <c r="C617" s="66" t="s">
        <v>1612</v>
      </c>
      <c r="D617" s="67">
        <v>5</v>
      </c>
      <c r="E617" s="68"/>
      <c r="F617" s="69">
        <v>25</v>
      </c>
      <c r="G617" s="66"/>
      <c r="H617" s="70"/>
      <c r="I617" s="71"/>
      <c r="J617" s="71"/>
      <c r="K617" s="35" t="s">
        <v>66</v>
      </c>
      <c r="L617" s="79">
        <v>617</v>
      </c>
      <c r="M617" s="79"/>
      <c r="N617" s="73"/>
      <c r="O617" s="81" t="s">
        <v>377</v>
      </c>
      <c r="P617">
        <v>1</v>
      </c>
      <c r="Q617" s="80" t="str">
        <f>REPLACE(INDEX(GroupVertices[Group],MATCH(Edges[[#This Row],[Vertex 1]],GroupVertices[Vertex],0)),1,1,"")</f>
        <v>1</v>
      </c>
      <c r="R617" s="80" t="str">
        <f>REPLACE(INDEX(GroupVertices[Group],MATCH(Edges[[#This Row],[Vertex 2]],GroupVertices[Vertex],0)),1,1,"")</f>
        <v>1</v>
      </c>
      <c r="S617" s="35"/>
      <c r="T617" s="35"/>
      <c r="U617" s="35"/>
      <c r="V617" s="35"/>
      <c r="W617" s="35"/>
      <c r="X617" s="35"/>
      <c r="Y617" s="35"/>
      <c r="Z617" s="35"/>
      <c r="AA617" s="35"/>
    </row>
    <row r="618" spans="1:27" ht="15">
      <c r="A618" s="65" t="s">
        <v>228</v>
      </c>
      <c r="B618" s="65" t="s">
        <v>215</v>
      </c>
      <c r="C618" s="66" t="s">
        <v>1612</v>
      </c>
      <c r="D618" s="67">
        <v>5</v>
      </c>
      <c r="E618" s="68"/>
      <c r="F618" s="69">
        <v>25</v>
      </c>
      <c r="G618" s="66"/>
      <c r="H618" s="70"/>
      <c r="I618" s="71"/>
      <c r="J618" s="71"/>
      <c r="K618" s="35" t="s">
        <v>66</v>
      </c>
      <c r="L618" s="79">
        <v>618</v>
      </c>
      <c r="M618" s="79"/>
      <c r="N618" s="73"/>
      <c r="O618" s="81" t="s">
        <v>379</v>
      </c>
      <c r="P618">
        <v>1</v>
      </c>
      <c r="Q618" s="80" t="str">
        <f>REPLACE(INDEX(GroupVertices[Group],MATCH(Edges[[#This Row],[Vertex 1]],GroupVertices[Vertex],0)),1,1,"")</f>
        <v>1</v>
      </c>
      <c r="R618" s="80" t="str">
        <f>REPLACE(INDEX(GroupVertices[Group],MATCH(Edges[[#This Row],[Vertex 2]],GroupVertices[Vertex],0)),1,1,"")</f>
        <v>1</v>
      </c>
      <c r="S618" s="35"/>
      <c r="T618" s="35"/>
      <c r="U618" s="35"/>
      <c r="V618" s="35"/>
      <c r="W618" s="35"/>
      <c r="X618" s="35"/>
      <c r="Y618" s="35"/>
      <c r="Z618" s="35"/>
      <c r="AA618" s="35"/>
    </row>
    <row r="619" spans="1:27" ht="15">
      <c r="A619" s="65" t="s">
        <v>231</v>
      </c>
      <c r="B619" s="65" t="s">
        <v>215</v>
      </c>
      <c r="C619" s="66" t="s">
        <v>1612</v>
      </c>
      <c r="D619" s="67">
        <v>5</v>
      </c>
      <c r="E619" s="68"/>
      <c r="F619" s="69">
        <v>25</v>
      </c>
      <c r="G619" s="66"/>
      <c r="H619" s="70"/>
      <c r="I619" s="71"/>
      <c r="J619" s="71"/>
      <c r="K619" s="35" t="s">
        <v>66</v>
      </c>
      <c r="L619" s="79">
        <v>619</v>
      </c>
      <c r="M619" s="79"/>
      <c r="N619" s="73"/>
      <c r="O619" s="81" t="s">
        <v>379</v>
      </c>
      <c r="P619">
        <v>1</v>
      </c>
      <c r="Q619" s="80" t="str">
        <f>REPLACE(INDEX(GroupVertices[Group],MATCH(Edges[[#This Row],[Vertex 1]],GroupVertices[Vertex],0)),1,1,"")</f>
        <v>1</v>
      </c>
      <c r="R619" s="80" t="str">
        <f>REPLACE(INDEX(GroupVertices[Group],MATCH(Edges[[#This Row],[Vertex 2]],GroupVertices[Vertex],0)),1,1,"")</f>
        <v>1</v>
      </c>
      <c r="S619" s="35"/>
      <c r="T619" s="35"/>
      <c r="U619" s="35"/>
      <c r="V619" s="35"/>
      <c r="W619" s="35"/>
      <c r="X619" s="35"/>
      <c r="Y619" s="35"/>
      <c r="Z619" s="35"/>
      <c r="AA619" s="35"/>
    </row>
    <row r="620" spans="1:27" ht="15">
      <c r="A620" s="65" t="s">
        <v>232</v>
      </c>
      <c r="B620" s="65" t="s">
        <v>215</v>
      </c>
      <c r="C620" s="66" t="s">
        <v>1612</v>
      </c>
      <c r="D620" s="67">
        <v>5</v>
      </c>
      <c r="E620" s="68"/>
      <c r="F620" s="69">
        <v>25</v>
      </c>
      <c r="G620" s="66"/>
      <c r="H620" s="70"/>
      <c r="I620" s="71"/>
      <c r="J620" s="71"/>
      <c r="K620" s="35" t="s">
        <v>66</v>
      </c>
      <c r="L620" s="79">
        <v>620</v>
      </c>
      <c r="M620" s="79"/>
      <c r="N620" s="73"/>
      <c r="O620" s="81" t="s">
        <v>379</v>
      </c>
      <c r="P620">
        <v>1</v>
      </c>
      <c r="Q620" s="80" t="str">
        <f>REPLACE(INDEX(GroupVertices[Group],MATCH(Edges[[#This Row],[Vertex 1]],GroupVertices[Vertex],0)),1,1,"")</f>
        <v>1</v>
      </c>
      <c r="R620" s="80" t="str">
        <f>REPLACE(INDEX(GroupVertices[Group],MATCH(Edges[[#This Row],[Vertex 2]],GroupVertices[Vertex],0)),1,1,"")</f>
        <v>1</v>
      </c>
      <c r="S620" s="35"/>
      <c r="T620" s="35"/>
      <c r="U620" s="35"/>
      <c r="V620" s="35"/>
      <c r="W620" s="35"/>
      <c r="X620" s="35"/>
      <c r="Y620" s="35"/>
      <c r="Z620" s="35"/>
      <c r="AA620" s="35"/>
    </row>
    <row r="621" spans="1:27" ht="15">
      <c r="A621" s="65" t="s">
        <v>219</v>
      </c>
      <c r="B621" s="65" t="s">
        <v>215</v>
      </c>
      <c r="C621" s="66" t="s">
        <v>1612</v>
      </c>
      <c r="D621" s="67">
        <v>5</v>
      </c>
      <c r="E621" s="68"/>
      <c r="F621" s="69">
        <v>25</v>
      </c>
      <c r="G621" s="66"/>
      <c r="H621" s="70"/>
      <c r="I621" s="71"/>
      <c r="J621" s="71"/>
      <c r="K621" s="35" t="s">
        <v>65</v>
      </c>
      <c r="L621" s="79">
        <v>621</v>
      </c>
      <c r="M621" s="79"/>
      <c r="N621" s="73"/>
      <c r="O621" s="81" t="s">
        <v>379</v>
      </c>
      <c r="P621">
        <v>1</v>
      </c>
      <c r="Q621" s="80" t="str">
        <f>REPLACE(INDEX(GroupVertices[Group],MATCH(Edges[[#This Row],[Vertex 1]],GroupVertices[Vertex],0)),1,1,"")</f>
        <v>1</v>
      </c>
      <c r="R621" s="80" t="str">
        <f>REPLACE(INDEX(GroupVertices[Group],MATCH(Edges[[#This Row],[Vertex 2]],GroupVertices[Vertex],0)),1,1,"")</f>
        <v>1</v>
      </c>
      <c r="S621" s="35"/>
      <c r="T621" s="35"/>
      <c r="U621" s="35"/>
      <c r="V621" s="35"/>
      <c r="W621" s="35"/>
      <c r="X621" s="35"/>
      <c r="Y621" s="35"/>
      <c r="Z621" s="35"/>
      <c r="AA621" s="35"/>
    </row>
    <row r="622" spans="1:27" ht="15">
      <c r="A622" s="65" t="s">
        <v>221</v>
      </c>
      <c r="B622" s="65" t="s">
        <v>215</v>
      </c>
      <c r="C622" s="66" t="s">
        <v>1612</v>
      </c>
      <c r="D622" s="67">
        <v>5</v>
      </c>
      <c r="E622" s="68"/>
      <c r="F622" s="69">
        <v>25</v>
      </c>
      <c r="G622" s="66"/>
      <c r="H622" s="70"/>
      <c r="I622" s="71"/>
      <c r="J622" s="71"/>
      <c r="K622" s="35" t="s">
        <v>65</v>
      </c>
      <c r="L622" s="79">
        <v>622</v>
      </c>
      <c r="M622" s="79"/>
      <c r="N622" s="73"/>
      <c r="O622" s="81" t="s">
        <v>379</v>
      </c>
      <c r="P622">
        <v>1</v>
      </c>
      <c r="Q622" s="80" t="str">
        <f>REPLACE(INDEX(GroupVertices[Group],MATCH(Edges[[#This Row],[Vertex 1]],GroupVertices[Vertex],0)),1,1,"")</f>
        <v>1</v>
      </c>
      <c r="R622" s="80" t="str">
        <f>REPLACE(INDEX(GroupVertices[Group],MATCH(Edges[[#This Row],[Vertex 2]],GroupVertices[Vertex],0)),1,1,"")</f>
        <v>1</v>
      </c>
      <c r="S622" s="35"/>
      <c r="T622" s="35"/>
      <c r="U622" s="35"/>
      <c r="V622" s="35"/>
      <c r="W622" s="35"/>
      <c r="X622" s="35"/>
      <c r="Y622" s="35"/>
      <c r="Z622" s="35"/>
      <c r="AA622" s="35"/>
    </row>
    <row r="623" spans="1:27" ht="15">
      <c r="A623" s="65" t="s">
        <v>222</v>
      </c>
      <c r="B623" s="65" t="s">
        <v>215</v>
      </c>
      <c r="C623" s="66" t="s">
        <v>1612</v>
      </c>
      <c r="D623" s="67">
        <v>5</v>
      </c>
      <c r="E623" s="68"/>
      <c r="F623" s="69">
        <v>25</v>
      </c>
      <c r="G623" s="66"/>
      <c r="H623" s="70"/>
      <c r="I623" s="71"/>
      <c r="J623" s="71"/>
      <c r="K623" s="35" t="s">
        <v>65</v>
      </c>
      <c r="L623" s="79">
        <v>623</v>
      </c>
      <c r="M623" s="79"/>
      <c r="N623" s="73"/>
      <c r="O623" s="81" t="s">
        <v>379</v>
      </c>
      <c r="P623">
        <v>1</v>
      </c>
      <c r="Q623" s="80" t="str">
        <f>REPLACE(INDEX(GroupVertices[Group],MATCH(Edges[[#This Row],[Vertex 1]],GroupVertices[Vertex],0)),1,1,"")</f>
        <v>1</v>
      </c>
      <c r="R623" s="80" t="str">
        <f>REPLACE(INDEX(GroupVertices[Group],MATCH(Edges[[#This Row],[Vertex 2]],GroupVertices[Vertex],0)),1,1,"")</f>
        <v>1</v>
      </c>
      <c r="S623" s="35"/>
      <c r="T623" s="35"/>
      <c r="U623" s="35"/>
      <c r="V623" s="35"/>
      <c r="W623" s="35"/>
      <c r="X623" s="35"/>
      <c r="Y623" s="35"/>
      <c r="Z623" s="35"/>
      <c r="AA623" s="35"/>
    </row>
    <row r="624" spans="1:27" ht="15">
      <c r="A624" s="65" t="s">
        <v>223</v>
      </c>
      <c r="B624" s="65" t="s">
        <v>215</v>
      </c>
      <c r="C624" s="66" t="s">
        <v>1612</v>
      </c>
      <c r="D624" s="67">
        <v>5</v>
      </c>
      <c r="E624" s="68"/>
      <c r="F624" s="69">
        <v>25</v>
      </c>
      <c r="G624" s="66"/>
      <c r="H624" s="70"/>
      <c r="I624" s="71"/>
      <c r="J624" s="71"/>
      <c r="K624" s="35" t="s">
        <v>65</v>
      </c>
      <c r="L624" s="79">
        <v>624</v>
      </c>
      <c r="M624" s="79"/>
      <c r="N624" s="73"/>
      <c r="O624" s="81" t="s">
        <v>379</v>
      </c>
      <c r="P624">
        <v>1</v>
      </c>
      <c r="Q624" s="80" t="str">
        <f>REPLACE(INDEX(GroupVertices[Group],MATCH(Edges[[#This Row],[Vertex 1]],GroupVertices[Vertex],0)),1,1,"")</f>
        <v>1</v>
      </c>
      <c r="R624" s="80" t="str">
        <f>REPLACE(INDEX(GroupVertices[Group],MATCH(Edges[[#This Row],[Vertex 2]],GroupVertices[Vertex],0)),1,1,"")</f>
        <v>1</v>
      </c>
      <c r="S624" s="35"/>
      <c r="T624" s="35"/>
      <c r="U624" s="35"/>
      <c r="V624" s="35"/>
      <c r="W624" s="35"/>
      <c r="X624" s="35"/>
      <c r="Y624" s="35"/>
      <c r="Z624" s="35"/>
      <c r="AA624" s="35"/>
    </row>
    <row r="625" spans="1:27" ht="15">
      <c r="A625" s="65" t="s">
        <v>229</v>
      </c>
      <c r="B625" s="65" t="s">
        <v>215</v>
      </c>
      <c r="C625" s="66" t="s">
        <v>1612</v>
      </c>
      <c r="D625" s="67">
        <v>5</v>
      </c>
      <c r="E625" s="68"/>
      <c r="F625" s="69">
        <v>25</v>
      </c>
      <c r="G625" s="66"/>
      <c r="H625" s="70"/>
      <c r="I625" s="71"/>
      <c r="J625" s="71"/>
      <c r="K625" s="35" t="s">
        <v>66</v>
      </c>
      <c r="L625" s="79">
        <v>625</v>
      </c>
      <c r="M625" s="79"/>
      <c r="N625" s="73"/>
      <c r="O625" s="81" t="s">
        <v>379</v>
      </c>
      <c r="P625">
        <v>1</v>
      </c>
      <c r="Q625" s="80" t="str">
        <f>REPLACE(INDEX(GroupVertices[Group],MATCH(Edges[[#This Row],[Vertex 1]],GroupVertices[Vertex],0)),1,1,"")</f>
        <v>1</v>
      </c>
      <c r="R625" s="80" t="str">
        <f>REPLACE(INDEX(GroupVertices[Group],MATCH(Edges[[#This Row],[Vertex 2]],GroupVertices[Vertex],0)),1,1,"")</f>
        <v>1</v>
      </c>
      <c r="S625" s="35"/>
      <c r="T625" s="35"/>
      <c r="U625" s="35"/>
      <c r="V625" s="35"/>
      <c r="W625" s="35"/>
      <c r="X625" s="35"/>
      <c r="Y625" s="35"/>
      <c r="Z625" s="35"/>
      <c r="AA625" s="35"/>
    </row>
    <row r="626" spans="1:27" ht="15">
      <c r="A626" s="65" t="s">
        <v>230</v>
      </c>
      <c r="B626" s="65" t="s">
        <v>215</v>
      </c>
      <c r="C626" s="66" t="s">
        <v>1612</v>
      </c>
      <c r="D626" s="67">
        <v>5</v>
      </c>
      <c r="E626" s="68"/>
      <c r="F626" s="69">
        <v>25</v>
      </c>
      <c r="G626" s="66"/>
      <c r="H626" s="70"/>
      <c r="I626" s="71"/>
      <c r="J626" s="71"/>
      <c r="K626" s="35" t="s">
        <v>65</v>
      </c>
      <c r="L626" s="79">
        <v>626</v>
      </c>
      <c r="M626" s="79"/>
      <c r="N626" s="73"/>
      <c r="O626" s="81" t="s">
        <v>379</v>
      </c>
      <c r="P626">
        <v>1</v>
      </c>
      <c r="Q626" s="80" t="str">
        <f>REPLACE(INDEX(GroupVertices[Group],MATCH(Edges[[#This Row],[Vertex 1]],GroupVertices[Vertex],0)),1,1,"")</f>
        <v>2</v>
      </c>
      <c r="R626" s="80" t="str">
        <f>REPLACE(INDEX(GroupVertices[Group],MATCH(Edges[[#This Row],[Vertex 2]],GroupVertices[Vertex],0)),1,1,"")</f>
        <v>1</v>
      </c>
      <c r="S626" s="35"/>
      <c r="T626" s="35"/>
      <c r="U626" s="35"/>
      <c r="V626" s="35"/>
      <c r="W626" s="35"/>
      <c r="X626" s="35"/>
      <c r="Y626" s="35"/>
      <c r="Z626" s="35"/>
      <c r="AA626" s="35"/>
    </row>
    <row r="627" spans="1:27" ht="15">
      <c r="A627" s="65" t="s">
        <v>224</v>
      </c>
      <c r="B627" s="65" t="s">
        <v>215</v>
      </c>
      <c r="C627" s="66" t="s">
        <v>1612</v>
      </c>
      <c r="D627" s="67">
        <v>5</v>
      </c>
      <c r="E627" s="68"/>
      <c r="F627" s="69">
        <v>25</v>
      </c>
      <c r="G627" s="66"/>
      <c r="H627" s="70"/>
      <c r="I627" s="71"/>
      <c r="J627" s="71"/>
      <c r="K627" s="35" t="s">
        <v>65</v>
      </c>
      <c r="L627" s="79">
        <v>627</v>
      </c>
      <c r="M627" s="79"/>
      <c r="N627" s="73"/>
      <c r="O627" s="81" t="s">
        <v>379</v>
      </c>
      <c r="P627">
        <v>1</v>
      </c>
      <c r="Q627" s="80" t="str">
        <f>REPLACE(INDEX(GroupVertices[Group],MATCH(Edges[[#This Row],[Vertex 1]],GroupVertices[Vertex],0)),1,1,"")</f>
        <v>1</v>
      </c>
      <c r="R627" s="80" t="str">
        <f>REPLACE(INDEX(GroupVertices[Group],MATCH(Edges[[#This Row],[Vertex 2]],GroupVertices[Vertex],0)),1,1,"")</f>
        <v>1</v>
      </c>
      <c r="S627" s="35"/>
      <c r="T627" s="35"/>
      <c r="U627" s="35"/>
      <c r="V627" s="35"/>
      <c r="W627" s="35"/>
      <c r="X627" s="35"/>
      <c r="Y627" s="35"/>
      <c r="Z627" s="35"/>
      <c r="AA627" s="35"/>
    </row>
    <row r="628" spans="1:27" ht="15">
      <c r="A628" s="65" t="s">
        <v>225</v>
      </c>
      <c r="B628" s="65" t="s">
        <v>215</v>
      </c>
      <c r="C628" s="66" t="s">
        <v>1612</v>
      </c>
      <c r="D628" s="67">
        <v>5</v>
      </c>
      <c r="E628" s="68"/>
      <c r="F628" s="69">
        <v>25</v>
      </c>
      <c r="G628" s="66"/>
      <c r="H628" s="70"/>
      <c r="I628" s="71"/>
      <c r="J628" s="71"/>
      <c r="K628" s="35" t="s">
        <v>65</v>
      </c>
      <c r="L628" s="79">
        <v>628</v>
      </c>
      <c r="M628" s="79"/>
      <c r="N628" s="73"/>
      <c r="O628" s="81" t="s">
        <v>379</v>
      </c>
      <c r="P628">
        <v>1</v>
      </c>
      <c r="Q628" s="80" t="str">
        <f>REPLACE(INDEX(GroupVertices[Group],MATCH(Edges[[#This Row],[Vertex 1]],GroupVertices[Vertex],0)),1,1,"")</f>
        <v>1</v>
      </c>
      <c r="R628" s="80" t="str">
        <f>REPLACE(INDEX(GroupVertices[Group],MATCH(Edges[[#This Row],[Vertex 2]],GroupVertices[Vertex],0)),1,1,"")</f>
        <v>1</v>
      </c>
      <c r="S628" s="35"/>
      <c r="T628" s="35"/>
      <c r="U628" s="35"/>
      <c r="V628" s="35"/>
      <c r="W628" s="35"/>
      <c r="X628" s="35"/>
      <c r="Y628" s="35"/>
      <c r="Z628" s="35"/>
      <c r="AA628" s="35"/>
    </row>
    <row r="629" spans="1:27" ht="15">
      <c r="A629" s="65" t="s">
        <v>229</v>
      </c>
      <c r="B629" s="65" t="s">
        <v>215</v>
      </c>
      <c r="C629" s="66" t="s">
        <v>1612</v>
      </c>
      <c r="D629" s="67">
        <v>5</v>
      </c>
      <c r="E629" s="68"/>
      <c r="F629" s="69">
        <v>25</v>
      </c>
      <c r="G629" s="66"/>
      <c r="H629" s="70"/>
      <c r="I629" s="71"/>
      <c r="J629" s="71"/>
      <c r="K629" s="35" t="s">
        <v>66</v>
      </c>
      <c r="L629" s="79">
        <v>629</v>
      </c>
      <c r="M629" s="79"/>
      <c r="N629" s="73"/>
      <c r="O629" s="81" t="s">
        <v>378</v>
      </c>
      <c r="P629">
        <v>1</v>
      </c>
      <c r="Q629" s="80" t="str">
        <f>REPLACE(INDEX(GroupVertices[Group],MATCH(Edges[[#This Row],[Vertex 1]],GroupVertices[Vertex],0)),1,1,"")</f>
        <v>1</v>
      </c>
      <c r="R629" s="80" t="str">
        <f>REPLACE(INDEX(GroupVertices[Group],MATCH(Edges[[#This Row],[Vertex 2]],GroupVertices[Vertex],0)),1,1,"")</f>
        <v>1</v>
      </c>
      <c r="S629" s="35"/>
      <c r="T629" s="35"/>
      <c r="U629" s="35"/>
      <c r="V629" s="35"/>
      <c r="W629" s="35"/>
      <c r="X629" s="35"/>
      <c r="Y629" s="35"/>
      <c r="Z629" s="35"/>
      <c r="AA629" s="35"/>
    </row>
    <row r="630" spans="1:27" ht="15">
      <c r="A630" s="65" t="s">
        <v>228</v>
      </c>
      <c r="B630" s="65" t="s">
        <v>215</v>
      </c>
      <c r="C630" s="66" t="s">
        <v>1612</v>
      </c>
      <c r="D630" s="67">
        <v>5</v>
      </c>
      <c r="E630" s="68"/>
      <c r="F630" s="69">
        <v>25</v>
      </c>
      <c r="G630" s="66"/>
      <c r="H630" s="70"/>
      <c r="I630" s="71"/>
      <c r="J630" s="71"/>
      <c r="K630" s="35" t="s">
        <v>66</v>
      </c>
      <c r="L630" s="79">
        <v>630</v>
      </c>
      <c r="M630" s="79"/>
      <c r="N630" s="73"/>
      <c r="O630" s="81" t="s">
        <v>378</v>
      </c>
      <c r="P630">
        <v>1</v>
      </c>
      <c r="Q630" s="80" t="str">
        <f>REPLACE(INDEX(GroupVertices[Group],MATCH(Edges[[#This Row],[Vertex 1]],GroupVertices[Vertex],0)),1,1,"")</f>
        <v>1</v>
      </c>
      <c r="R630" s="80" t="str">
        <f>REPLACE(INDEX(GroupVertices[Group],MATCH(Edges[[#This Row],[Vertex 2]],GroupVertices[Vertex],0)),1,1,"")</f>
        <v>1</v>
      </c>
      <c r="S630" s="35"/>
      <c r="T630" s="35"/>
      <c r="U630" s="35"/>
      <c r="V630" s="35"/>
      <c r="W630" s="35"/>
      <c r="X630" s="35"/>
      <c r="Y630" s="35"/>
      <c r="Z630" s="35"/>
      <c r="AA630" s="35"/>
    </row>
    <row r="631" spans="1:27" ht="15">
      <c r="A631" s="65" t="s">
        <v>216</v>
      </c>
      <c r="B631" s="65" t="s">
        <v>220</v>
      </c>
      <c r="C631" s="66" t="s">
        <v>1612</v>
      </c>
      <c r="D631" s="67">
        <v>5</v>
      </c>
      <c r="E631" s="68"/>
      <c r="F631" s="69">
        <v>25</v>
      </c>
      <c r="G631" s="66"/>
      <c r="H631" s="70"/>
      <c r="I631" s="71"/>
      <c r="J631" s="71"/>
      <c r="K631" s="35" t="s">
        <v>66</v>
      </c>
      <c r="L631" s="79">
        <v>631</v>
      </c>
      <c r="M631" s="79"/>
      <c r="N631" s="73"/>
      <c r="O631" s="81" t="s">
        <v>377</v>
      </c>
      <c r="P631">
        <v>1</v>
      </c>
      <c r="Q631" s="80" t="str">
        <f>REPLACE(INDEX(GroupVertices[Group],MATCH(Edges[[#This Row],[Vertex 1]],GroupVertices[Vertex],0)),1,1,"")</f>
        <v>2</v>
      </c>
      <c r="R631" s="80" t="str">
        <f>REPLACE(INDEX(GroupVertices[Group],MATCH(Edges[[#This Row],[Vertex 2]],GroupVertices[Vertex],0)),1,1,"")</f>
        <v>2</v>
      </c>
      <c r="S631" s="35"/>
      <c r="T631" s="35"/>
      <c r="U631" s="35"/>
      <c r="V631" s="35"/>
      <c r="W631" s="35"/>
      <c r="X631" s="35"/>
      <c r="Y631" s="35"/>
      <c r="Z631" s="35"/>
      <c r="AA631" s="35"/>
    </row>
    <row r="632" spans="1:27" ht="15">
      <c r="A632" s="65" t="s">
        <v>216</v>
      </c>
      <c r="B632" s="65" t="s">
        <v>218</v>
      </c>
      <c r="C632" s="66" t="s">
        <v>1612</v>
      </c>
      <c r="D632" s="67">
        <v>5</v>
      </c>
      <c r="E632" s="68"/>
      <c r="F632" s="69">
        <v>25</v>
      </c>
      <c r="G632" s="66"/>
      <c r="H632" s="70"/>
      <c r="I632" s="71"/>
      <c r="J632" s="71"/>
      <c r="K632" s="35" t="s">
        <v>66</v>
      </c>
      <c r="L632" s="79">
        <v>632</v>
      </c>
      <c r="M632" s="79"/>
      <c r="N632" s="73"/>
      <c r="O632" s="81" t="s">
        <v>377</v>
      </c>
      <c r="P632">
        <v>1</v>
      </c>
      <c r="Q632" s="80" t="str">
        <f>REPLACE(INDEX(GroupVertices[Group],MATCH(Edges[[#This Row],[Vertex 1]],GroupVertices[Vertex],0)),1,1,"")</f>
        <v>2</v>
      </c>
      <c r="R632" s="80" t="str">
        <f>REPLACE(INDEX(GroupVertices[Group],MATCH(Edges[[#This Row],[Vertex 2]],GroupVertices[Vertex],0)),1,1,"")</f>
        <v>2</v>
      </c>
      <c r="S632" s="35"/>
      <c r="T632" s="35"/>
      <c r="U632" s="35"/>
      <c r="V632" s="35"/>
      <c r="W632" s="35"/>
      <c r="X632" s="35"/>
      <c r="Y632" s="35"/>
      <c r="Z632" s="35"/>
      <c r="AA632" s="35"/>
    </row>
    <row r="633" spans="1:27" ht="15">
      <c r="A633" s="65" t="s">
        <v>220</v>
      </c>
      <c r="B633" s="65" t="s">
        <v>216</v>
      </c>
      <c r="C633" s="66" t="s">
        <v>1612</v>
      </c>
      <c r="D633" s="67">
        <v>5</v>
      </c>
      <c r="E633" s="68"/>
      <c r="F633" s="69">
        <v>25</v>
      </c>
      <c r="G633" s="66"/>
      <c r="H633" s="70"/>
      <c r="I633" s="71"/>
      <c r="J633" s="71"/>
      <c r="K633" s="35" t="s">
        <v>66</v>
      </c>
      <c r="L633" s="79">
        <v>633</v>
      </c>
      <c r="M633" s="79"/>
      <c r="N633" s="73"/>
      <c r="O633" s="81" t="s">
        <v>377</v>
      </c>
      <c r="P633">
        <v>1</v>
      </c>
      <c r="Q633" s="80" t="str">
        <f>REPLACE(INDEX(GroupVertices[Group],MATCH(Edges[[#This Row],[Vertex 1]],GroupVertices[Vertex],0)),1,1,"")</f>
        <v>2</v>
      </c>
      <c r="R633" s="80" t="str">
        <f>REPLACE(INDEX(GroupVertices[Group],MATCH(Edges[[#This Row],[Vertex 2]],GroupVertices[Vertex],0)),1,1,"")</f>
        <v>2</v>
      </c>
      <c r="S633" s="35"/>
      <c r="T633" s="35"/>
      <c r="U633" s="35"/>
      <c r="V633" s="35"/>
      <c r="W633" s="35"/>
      <c r="X633" s="35"/>
      <c r="Y633" s="35"/>
      <c r="Z633" s="35"/>
      <c r="AA633" s="35"/>
    </row>
    <row r="634" spans="1:27" ht="15">
      <c r="A634" s="65" t="s">
        <v>230</v>
      </c>
      <c r="B634" s="65" t="s">
        <v>216</v>
      </c>
      <c r="C634" s="66" t="s">
        <v>1612</v>
      </c>
      <c r="D634" s="67">
        <v>5</v>
      </c>
      <c r="E634" s="68"/>
      <c r="F634" s="69">
        <v>25</v>
      </c>
      <c r="G634" s="66"/>
      <c r="H634" s="70"/>
      <c r="I634" s="71"/>
      <c r="J634" s="71"/>
      <c r="K634" s="35" t="s">
        <v>65</v>
      </c>
      <c r="L634" s="79">
        <v>634</v>
      </c>
      <c r="M634" s="79"/>
      <c r="N634" s="73"/>
      <c r="O634" s="81" t="s">
        <v>377</v>
      </c>
      <c r="P634">
        <v>1</v>
      </c>
      <c r="Q634" s="80" t="str">
        <f>REPLACE(INDEX(GroupVertices[Group],MATCH(Edges[[#This Row],[Vertex 1]],GroupVertices[Vertex],0)),1,1,"")</f>
        <v>2</v>
      </c>
      <c r="R634" s="80" t="str">
        <f>REPLACE(INDEX(GroupVertices[Group],MATCH(Edges[[#This Row],[Vertex 2]],GroupVertices[Vertex],0)),1,1,"")</f>
        <v>2</v>
      </c>
      <c r="S634" s="35"/>
      <c r="T634" s="35"/>
      <c r="U634" s="35"/>
      <c r="V634" s="35"/>
      <c r="W634" s="35"/>
      <c r="X634" s="35"/>
      <c r="Y634" s="35"/>
      <c r="Z634" s="35"/>
      <c r="AA634" s="35"/>
    </row>
    <row r="635" spans="1:27" ht="15">
      <c r="A635" s="65" t="s">
        <v>218</v>
      </c>
      <c r="B635" s="65" t="s">
        <v>216</v>
      </c>
      <c r="C635" s="66" t="s">
        <v>1612</v>
      </c>
      <c r="D635" s="67">
        <v>5</v>
      </c>
      <c r="E635" s="68"/>
      <c r="F635" s="69">
        <v>25</v>
      </c>
      <c r="G635" s="66"/>
      <c r="H635" s="70"/>
      <c r="I635" s="71"/>
      <c r="J635" s="71"/>
      <c r="K635" s="35" t="s">
        <v>66</v>
      </c>
      <c r="L635" s="79">
        <v>635</v>
      </c>
      <c r="M635" s="79"/>
      <c r="N635" s="73"/>
      <c r="O635" s="81" t="s">
        <v>379</v>
      </c>
      <c r="P635">
        <v>1</v>
      </c>
      <c r="Q635" s="80" t="str">
        <f>REPLACE(INDEX(GroupVertices[Group],MATCH(Edges[[#This Row],[Vertex 1]],GroupVertices[Vertex],0)),1,1,"")</f>
        <v>2</v>
      </c>
      <c r="R635" s="80" t="str">
        <f>REPLACE(INDEX(GroupVertices[Group],MATCH(Edges[[#This Row],[Vertex 2]],GroupVertices[Vertex],0)),1,1,"")</f>
        <v>2</v>
      </c>
      <c r="S635" s="35"/>
      <c r="T635" s="35"/>
      <c r="U635" s="35"/>
      <c r="V635" s="35"/>
      <c r="W635" s="35"/>
      <c r="X635" s="35"/>
      <c r="Y635" s="35"/>
      <c r="Z635" s="35"/>
      <c r="AA635" s="35"/>
    </row>
    <row r="636" spans="1:27" ht="15">
      <c r="A636" s="65" t="s">
        <v>231</v>
      </c>
      <c r="B636" s="65" t="s">
        <v>216</v>
      </c>
      <c r="C636" s="66" t="s">
        <v>1612</v>
      </c>
      <c r="D636" s="67">
        <v>5</v>
      </c>
      <c r="E636" s="68"/>
      <c r="F636" s="69">
        <v>25</v>
      </c>
      <c r="G636" s="66"/>
      <c r="H636" s="70"/>
      <c r="I636" s="71"/>
      <c r="J636" s="71"/>
      <c r="K636" s="35" t="s">
        <v>65</v>
      </c>
      <c r="L636" s="79">
        <v>636</v>
      </c>
      <c r="M636" s="79"/>
      <c r="N636" s="73"/>
      <c r="O636" s="81" t="s">
        <v>379</v>
      </c>
      <c r="P636">
        <v>1</v>
      </c>
      <c r="Q636" s="80" t="str">
        <f>REPLACE(INDEX(GroupVertices[Group],MATCH(Edges[[#This Row],[Vertex 1]],GroupVertices[Vertex],0)),1,1,"")</f>
        <v>1</v>
      </c>
      <c r="R636" s="80" t="str">
        <f>REPLACE(INDEX(GroupVertices[Group],MATCH(Edges[[#This Row],[Vertex 2]],GroupVertices[Vertex],0)),1,1,"")</f>
        <v>2</v>
      </c>
      <c r="S636" s="35"/>
      <c r="T636" s="35"/>
      <c r="U636" s="35"/>
      <c r="V636" s="35"/>
      <c r="W636" s="35"/>
      <c r="X636" s="35"/>
      <c r="Y636" s="35"/>
      <c r="Z636" s="35"/>
      <c r="AA636" s="35"/>
    </row>
    <row r="637" spans="1:27" ht="15">
      <c r="A637" s="65" t="s">
        <v>220</v>
      </c>
      <c r="B637" s="65" t="s">
        <v>216</v>
      </c>
      <c r="C637" s="66" t="s">
        <v>1612</v>
      </c>
      <c r="D637" s="67">
        <v>5</v>
      </c>
      <c r="E637" s="68"/>
      <c r="F637" s="69">
        <v>25</v>
      </c>
      <c r="G637" s="66"/>
      <c r="H637" s="70"/>
      <c r="I637" s="71"/>
      <c r="J637" s="71"/>
      <c r="K637" s="35" t="s">
        <v>66</v>
      </c>
      <c r="L637" s="79">
        <v>637</v>
      </c>
      <c r="M637" s="79"/>
      <c r="N637" s="73"/>
      <c r="O637" s="81" t="s">
        <v>379</v>
      </c>
      <c r="P637">
        <v>1</v>
      </c>
      <c r="Q637" s="80" t="str">
        <f>REPLACE(INDEX(GroupVertices[Group],MATCH(Edges[[#This Row],[Vertex 1]],GroupVertices[Vertex],0)),1,1,"")</f>
        <v>2</v>
      </c>
      <c r="R637" s="80" t="str">
        <f>REPLACE(INDEX(GroupVertices[Group],MATCH(Edges[[#This Row],[Vertex 2]],GroupVertices[Vertex],0)),1,1,"")</f>
        <v>2</v>
      </c>
      <c r="S637" s="35"/>
      <c r="T637" s="35"/>
      <c r="U637" s="35"/>
      <c r="V637" s="35"/>
      <c r="W637" s="35"/>
      <c r="X637" s="35"/>
      <c r="Y637" s="35"/>
      <c r="Z637" s="35"/>
      <c r="AA637" s="35"/>
    </row>
    <row r="638" spans="1:27" ht="15">
      <c r="A638" s="65" t="s">
        <v>230</v>
      </c>
      <c r="B638" s="65" t="s">
        <v>216</v>
      </c>
      <c r="C638" s="66" t="s">
        <v>1612</v>
      </c>
      <c r="D638" s="67">
        <v>5</v>
      </c>
      <c r="E638" s="68"/>
      <c r="F638" s="69">
        <v>25</v>
      </c>
      <c r="G638" s="66"/>
      <c r="H638" s="70"/>
      <c r="I638" s="71"/>
      <c r="J638" s="71"/>
      <c r="K638" s="35" t="s">
        <v>65</v>
      </c>
      <c r="L638" s="79">
        <v>638</v>
      </c>
      <c r="M638" s="79"/>
      <c r="N638" s="73"/>
      <c r="O638" s="81" t="s">
        <v>379</v>
      </c>
      <c r="P638">
        <v>1</v>
      </c>
      <c r="Q638" s="80" t="str">
        <f>REPLACE(INDEX(GroupVertices[Group],MATCH(Edges[[#This Row],[Vertex 1]],GroupVertices[Vertex],0)),1,1,"")</f>
        <v>2</v>
      </c>
      <c r="R638" s="80" t="str">
        <f>REPLACE(INDEX(GroupVertices[Group],MATCH(Edges[[#This Row],[Vertex 2]],GroupVertices[Vertex],0)),1,1,"")</f>
        <v>2</v>
      </c>
      <c r="S638" s="35"/>
      <c r="T638" s="35"/>
      <c r="U638" s="35"/>
      <c r="V638" s="35"/>
      <c r="W638" s="35"/>
      <c r="X638" s="35"/>
      <c r="Y638" s="35"/>
      <c r="Z638" s="35"/>
      <c r="AA638" s="35"/>
    </row>
    <row r="639" spans="1:27" ht="15">
      <c r="A639" s="65" t="s">
        <v>230</v>
      </c>
      <c r="B639" s="65" t="s">
        <v>216</v>
      </c>
      <c r="C639" s="66" t="s">
        <v>1612</v>
      </c>
      <c r="D639" s="67">
        <v>5</v>
      </c>
      <c r="E639" s="68"/>
      <c r="F639" s="69">
        <v>25</v>
      </c>
      <c r="G639" s="66"/>
      <c r="H639" s="70"/>
      <c r="I639" s="71"/>
      <c r="J639" s="71"/>
      <c r="K639" s="35" t="s">
        <v>65</v>
      </c>
      <c r="L639" s="79">
        <v>639</v>
      </c>
      <c r="M639" s="79"/>
      <c r="N639" s="73"/>
      <c r="O639" s="81" t="s">
        <v>378</v>
      </c>
      <c r="P639">
        <v>1</v>
      </c>
      <c r="Q639" s="80" t="str">
        <f>REPLACE(INDEX(GroupVertices[Group],MATCH(Edges[[#This Row],[Vertex 1]],GroupVertices[Vertex],0)),1,1,"")</f>
        <v>2</v>
      </c>
      <c r="R639" s="80" t="str">
        <f>REPLACE(INDEX(GroupVertices[Group],MATCH(Edges[[#This Row],[Vertex 2]],GroupVertices[Vertex],0)),1,1,"")</f>
        <v>2</v>
      </c>
      <c r="S639" s="35"/>
      <c r="T639" s="35"/>
      <c r="U639" s="35"/>
      <c r="V639" s="35"/>
      <c r="W639" s="35"/>
      <c r="X639" s="35"/>
      <c r="Y639" s="35"/>
      <c r="Z639" s="35"/>
      <c r="AA639" s="35"/>
    </row>
    <row r="640" spans="1:27" ht="15">
      <c r="A640" s="65" t="s">
        <v>230</v>
      </c>
      <c r="B640" s="65" t="s">
        <v>375</v>
      </c>
      <c r="C640" s="66" t="s">
        <v>1612</v>
      </c>
      <c r="D640" s="67">
        <v>5</v>
      </c>
      <c r="E640" s="68"/>
      <c r="F640" s="69">
        <v>25</v>
      </c>
      <c r="G640" s="66"/>
      <c r="H640" s="70"/>
      <c r="I640" s="71"/>
      <c r="J640" s="71"/>
      <c r="K640" s="35" t="s">
        <v>65</v>
      </c>
      <c r="L640" s="79">
        <v>640</v>
      </c>
      <c r="M640" s="79"/>
      <c r="N640" s="73"/>
      <c r="O640" s="81" t="s">
        <v>377</v>
      </c>
      <c r="P640">
        <v>1</v>
      </c>
      <c r="Q640" s="80" t="str">
        <f>REPLACE(INDEX(GroupVertices[Group],MATCH(Edges[[#This Row],[Vertex 1]],GroupVertices[Vertex],0)),1,1,"")</f>
        <v>2</v>
      </c>
      <c r="R640" s="80" t="str">
        <f>REPLACE(INDEX(GroupVertices[Group],MATCH(Edges[[#This Row],[Vertex 2]],GroupVertices[Vertex],0)),1,1,"")</f>
        <v>2</v>
      </c>
      <c r="S640" s="35"/>
      <c r="T640" s="35"/>
      <c r="U640" s="35"/>
      <c r="V640" s="35"/>
      <c r="W640" s="35"/>
      <c r="X640" s="35"/>
      <c r="Y640" s="35"/>
      <c r="Z640" s="35"/>
      <c r="AA640" s="35"/>
    </row>
    <row r="641" spans="1:27" ht="15">
      <c r="A641" s="65" t="s">
        <v>230</v>
      </c>
      <c r="B641" s="65" t="s">
        <v>375</v>
      </c>
      <c r="C641" s="66" t="s">
        <v>1612</v>
      </c>
      <c r="D641" s="67">
        <v>5</v>
      </c>
      <c r="E641" s="68"/>
      <c r="F641" s="69">
        <v>25</v>
      </c>
      <c r="G641" s="66"/>
      <c r="H641" s="70"/>
      <c r="I641" s="71"/>
      <c r="J641" s="71"/>
      <c r="K641" s="35" t="s">
        <v>65</v>
      </c>
      <c r="L641" s="79">
        <v>641</v>
      </c>
      <c r="M641" s="79"/>
      <c r="N641" s="73"/>
      <c r="O641" s="81" t="s">
        <v>378</v>
      </c>
      <c r="P641">
        <v>1</v>
      </c>
      <c r="Q641" s="80" t="str">
        <f>REPLACE(INDEX(GroupVertices[Group],MATCH(Edges[[#This Row],[Vertex 1]],GroupVertices[Vertex],0)),1,1,"")</f>
        <v>2</v>
      </c>
      <c r="R641" s="80" t="str">
        <f>REPLACE(INDEX(GroupVertices[Group],MATCH(Edges[[#This Row],[Vertex 2]],GroupVertices[Vertex],0)),1,1,"")</f>
        <v>2</v>
      </c>
      <c r="S641" s="35"/>
      <c r="T641" s="35"/>
      <c r="U641" s="35"/>
      <c r="V641" s="35"/>
      <c r="W641" s="35"/>
      <c r="X641" s="35"/>
      <c r="Y641" s="35"/>
      <c r="Z641" s="35"/>
      <c r="AA641" s="35"/>
    </row>
    <row r="642" spans="1:27" ht="15">
      <c r="A642" s="65" t="s">
        <v>217</v>
      </c>
      <c r="B642" s="65" t="s">
        <v>370</v>
      </c>
      <c r="C642" s="66" t="s">
        <v>1612</v>
      </c>
      <c r="D642" s="67">
        <v>5</v>
      </c>
      <c r="E642" s="68"/>
      <c r="F642" s="69">
        <v>25</v>
      </c>
      <c r="G642" s="66"/>
      <c r="H642" s="70"/>
      <c r="I642" s="71"/>
      <c r="J642" s="71"/>
      <c r="K642" s="35" t="s">
        <v>65</v>
      </c>
      <c r="L642" s="79">
        <v>642</v>
      </c>
      <c r="M642" s="79"/>
      <c r="N642" s="73"/>
      <c r="O642" s="81" t="s">
        <v>377</v>
      </c>
      <c r="P642">
        <v>1</v>
      </c>
      <c r="Q642" s="80" t="str">
        <f>REPLACE(INDEX(GroupVertices[Group],MATCH(Edges[[#This Row],[Vertex 1]],GroupVertices[Vertex],0)),1,1,"")</f>
        <v>5</v>
      </c>
      <c r="R642" s="80" t="str">
        <f>REPLACE(INDEX(GroupVertices[Group],MATCH(Edges[[#This Row],[Vertex 2]],GroupVertices[Vertex],0)),1,1,"")</f>
        <v>2</v>
      </c>
      <c r="S642" s="35"/>
      <c r="T642" s="35"/>
      <c r="U642" s="35"/>
      <c r="V642" s="35"/>
      <c r="W642" s="35"/>
      <c r="X642" s="35"/>
      <c r="Y642" s="35"/>
      <c r="Z642" s="35"/>
      <c r="AA642" s="35"/>
    </row>
    <row r="643" spans="1:27" ht="15">
      <c r="A643" s="65" t="s">
        <v>230</v>
      </c>
      <c r="B643" s="65" t="s">
        <v>217</v>
      </c>
      <c r="C643" s="66" t="s">
        <v>1612</v>
      </c>
      <c r="D643" s="67">
        <v>5</v>
      </c>
      <c r="E643" s="68"/>
      <c r="F643" s="69">
        <v>25</v>
      </c>
      <c r="G643" s="66"/>
      <c r="H643" s="70"/>
      <c r="I643" s="71"/>
      <c r="J643" s="71"/>
      <c r="K643" s="35" t="s">
        <v>65</v>
      </c>
      <c r="L643" s="79">
        <v>643</v>
      </c>
      <c r="M643" s="79"/>
      <c r="N643" s="73"/>
      <c r="O643" s="81" t="s">
        <v>377</v>
      </c>
      <c r="P643">
        <v>1</v>
      </c>
      <c r="Q643" s="80" t="str">
        <f>REPLACE(INDEX(GroupVertices[Group],MATCH(Edges[[#This Row],[Vertex 1]],GroupVertices[Vertex],0)),1,1,"")</f>
        <v>2</v>
      </c>
      <c r="R643" s="80" t="str">
        <f>REPLACE(INDEX(GroupVertices[Group],MATCH(Edges[[#This Row],[Vertex 2]],GroupVertices[Vertex],0)),1,1,"")</f>
        <v>5</v>
      </c>
      <c r="S643" s="35"/>
      <c r="T643" s="35"/>
      <c r="U643" s="35"/>
      <c r="V643" s="35"/>
      <c r="W643" s="35"/>
      <c r="X643" s="35"/>
      <c r="Y643" s="35"/>
      <c r="Z643" s="35"/>
      <c r="AA643" s="35"/>
    </row>
    <row r="644" spans="1:27" ht="15">
      <c r="A644" s="65" t="s">
        <v>230</v>
      </c>
      <c r="B644" s="65" t="s">
        <v>217</v>
      </c>
      <c r="C644" s="66" t="s">
        <v>1612</v>
      </c>
      <c r="D644" s="67">
        <v>5</v>
      </c>
      <c r="E644" s="68"/>
      <c r="F644" s="69">
        <v>25</v>
      </c>
      <c r="G644" s="66"/>
      <c r="H644" s="70"/>
      <c r="I644" s="71"/>
      <c r="J644" s="71"/>
      <c r="K644" s="35" t="s">
        <v>65</v>
      </c>
      <c r="L644" s="79">
        <v>644</v>
      </c>
      <c r="M644" s="79"/>
      <c r="N644" s="73"/>
      <c r="O644" s="81" t="s">
        <v>379</v>
      </c>
      <c r="P644">
        <v>1</v>
      </c>
      <c r="Q644" s="80" t="str">
        <f>REPLACE(INDEX(GroupVertices[Group],MATCH(Edges[[#This Row],[Vertex 1]],GroupVertices[Vertex],0)),1,1,"")</f>
        <v>2</v>
      </c>
      <c r="R644" s="80" t="str">
        <f>REPLACE(INDEX(GroupVertices[Group],MATCH(Edges[[#This Row],[Vertex 2]],GroupVertices[Vertex],0)),1,1,"")</f>
        <v>5</v>
      </c>
      <c r="S644" s="35"/>
      <c r="T644" s="35"/>
      <c r="U644" s="35"/>
      <c r="V644" s="35"/>
      <c r="W644" s="35"/>
      <c r="X644" s="35"/>
      <c r="Y644" s="35"/>
      <c r="Z644" s="35"/>
      <c r="AA644" s="35"/>
    </row>
    <row r="645" spans="1:27" ht="15">
      <c r="A645" s="65" t="s">
        <v>230</v>
      </c>
      <c r="B645" s="65" t="s">
        <v>217</v>
      </c>
      <c r="C645" s="66" t="s">
        <v>1612</v>
      </c>
      <c r="D645" s="67">
        <v>5</v>
      </c>
      <c r="E645" s="68"/>
      <c r="F645" s="69">
        <v>25</v>
      </c>
      <c r="G645" s="66"/>
      <c r="H645" s="70"/>
      <c r="I645" s="71"/>
      <c r="J645" s="71"/>
      <c r="K645" s="35" t="s">
        <v>65</v>
      </c>
      <c r="L645" s="79">
        <v>645</v>
      </c>
      <c r="M645" s="79"/>
      <c r="N645" s="73"/>
      <c r="O645" s="81" t="s">
        <v>378</v>
      </c>
      <c r="P645">
        <v>1</v>
      </c>
      <c r="Q645" s="80" t="str">
        <f>REPLACE(INDEX(GroupVertices[Group],MATCH(Edges[[#This Row],[Vertex 1]],GroupVertices[Vertex],0)),1,1,"")</f>
        <v>2</v>
      </c>
      <c r="R645" s="80" t="str">
        <f>REPLACE(INDEX(GroupVertices[Group],MATCH(Edges[[#This Row],[Vertex 2]],GroupVertices[Vertex],0)),1,1,"")</f>
        <v>5</v>
      </c>
      <c r="S645" s="35"/>
      <c r="T645" s="35"/>
      <c r="U645" s="35"/>
      <c r="V645" s="35"/>
      <c r="W645" s="35"/>
      <c r="X645" s="35"/>
      <c r="Y645" s="35"/>
      <c r="Z645" s="35"/>
      <c r="AA645" s="35"/>
    </row>
    <row r="646" spans="1:27" ht="15">
      <c r="A646" s="65" t="s">
        <v>218</v>
      </c>
      <c r="B646" s="65" t="s">
        <v>220</v>
      </c>
      <c r="C646" s="66" t="s">
        <v>1612</v>
      </c>
      <c r="D646" s="67">
        <v>5</v>
      </c>
      <c r="E646" s="68"/>
      <c r="F646" s="69">
        <v>25</v>
      </c>
      <c r="G646" s="66"/>
      <c r="H646" s="70"/>
      <c r="I646" s="71"/>
      <c r="J646" s="71"/>
      <c r="K646" s="35" t="s">
        <v>66</v>
      </c>
      <c r="L646" s="79">
        <v>646</v>
      </c>
      <c r="M646" s="79"/>
      <c r="N646" s="73"/>
      <c r="O646" s="81" t="s">
        <v>377</v>
      </c>
      <c r="P646">
        <v>1</v>
      </c>
      <c r="Q646" s="80" t="str">
        <f>REPLACE(INDEX(GroupVertices[Group],MATCH(Edges[[#This Row],[Vertex 1]],GroupVertices[Vertex],0)),1,1,"")</f>
        <v>2</v>
      </c>
      <c r="R646" s="80" t="str">
        <f>REPLACE(INDEX(GroupVertices[Group],MATCH(Edges[[#This Row],[Vertex 2]],GroupVertices[Vertex],0)),1,1,"")</f>
        <v>2</v>
      </c>
      <c r="S646" s="35"/>
      <c r="T646" s="35"/>
      <c r="U646" s="35"/>
      <c r="V646" s="35"/>
      <c r="W646" s="35"/>
      <c r="X646" s="35"/>
      <c r="Y646" s="35"/>
      <c r="Z646" s="35"/>
      <c r="AA646" s="35"/>
    </row>
    <row r="647" spans="1:27" ht="15">
      <c r="A647" s="65" t="s">
        <v>220</v>
      </c>
      <c r="B647" s="65" t="s">
        <v>218</v>
      </c>
      <c r="C647" s="66" t="s">
        <v>1612</v>
      </c>
      <c r="D647" s="67">
        <v>5</v>
      </c>
      <c r="E647" s="68"/>
      <c r="F647" s="69">
        <v>25</v>
      </c>
      <c r="G647" s="66"/>
      <c r="H647" s="70"/>
      <c r="I647" s="71"/>
      <c r="J647" s="71"/>
      <c r="K647" s="35" t="s">
        <v>66</v>
      </c>
      <c r="L647" s="79">
        <v>647</v>
      </c>
      <c r="M647" s="79"/>
      <c r="N647" s="73"/>
      <c r="O647" s="81" t="s">
        <v>377</v>
      </c>
      <c r="P647">
        <v>1</v>
      </c>
      <c r="Q647" s="80" t="str">
        <f>REPLACE(INDEX(GroupVertices[Group],MATCH(Edges[[#This Row],[Vertex 1]],GroupVertices[Vertex],0)),1,1,"")</f>
        <v>2</v>
      </c>
      <c r="R647" s="80" t="str">
        <f>REPLACE(INDEX(GroupVertices[Group],MATCH(Edges[[#This Row],[Vertex 2]],GroupVertices[Vertex],0)),1,1,"")</f>
        <v>2</v>
      </c>
      <c r="S647" s="35"/>
      <c r="T647" s="35"/>
      <c r="U647" s="35"/>
      <c r="V647" s="35"/>
      <c r="W647" s="35"/>
      <c r="X647" s="35"/>
      <c r="Y647" s="35"/>
      <c r="Z647" s="35"/>
      <c r="AA647" s="35"/>
    </row>
    <row r="648" spans="1:27" ht="15">
      <c r="A648" s="65" t="s">
        <v>230</v>
      </c>
      <c r="B648" s="65" t="s">
        <v>218</v>
      </c>
      <c r="C648" s="66" t="s">
        <v>1612</v>
      </c>
      <c r="D648" s="67">
        <v>5</v>
      </c>
      <c r="E648" s="68"/>
      <c r="F648" s="69">
        <v>25</v>
      </c>
      <c r="G648" s="66"/>
      <c r="H648" s="70"/>
      <c r="I648" s="71"/>
      <c r="J648" s="71"/>
      <c r="K648" s="35" t="s">
        <v>65</v>
      </c>
      <c r="L648" s="79">
        <v>648</v>
      </c>
      <c r="M648" s="79"/>
      <c r="N648" s="73"/>
      <c r="O648" s="81" t="s">
        <v>377</v>
      </c>
      <c r="P648">
        <v>1</v>
      </c>
      <c r="Q648" s="80" t="str">
        <f>REPLACE(INDEX(GroupVertices[Group],MATCH(Edges[[#This Row],[Vertex 1]],GroupVertices[Vertex],0)),1,1,"")</f>
        <v>2</v>
      </c>
      <c r="R648" s="80" t="str">
        <f>REPLACE(INDEX(GroupVertices[Group],MATCH(Edges[[#This Row],[Vertex 2]],GroupVertices[Vertex],0)),1,1,"")</f>
        <v>2</v>
      </c>
      <c r="S648" s="35"/>
      <c r="T648" s="35"/>
      <c r="U648" s="35"/>
      <c r="V648" s="35"/>
      <c r="W648" s="35"/>
      <c r="X648" s="35"/>
      <c r="Y648" s="35"/>
      <c r="Z648" s="35"/>
      <c r="AA648" s="35"/>
    </row>
    <row r="649" spans="1:27" ht="15">
      <c r="A649" s="65" t="s">
        <v>231</v>
      </c>
      <c r="B649" s="65" t="s">
        <v>218</v>
      </c>
      <c r="C649" s="66" t="s">
        <v>1612</v>
      </c>
      <c r="D649" s="67">
        <v>5</v>
      </c>
      <c r="E649" s="68"/>
      <c r="F649" s="69">
        <v>25</v>
      </c>
      <c r="G649" s="66"/>
      <c r="H649" s="70"/>
      <c r="I649" s="71"/>
      <c r="J649" s="71"/>
      <c r="K649" s="35" t="s">
        <v>65</v>
      </c>
      <c r="L649" s="79">
        <v>649</v>
      </c>
      <c r="M649" s="79"/>
      <c r="N649" s="73"/>
      <c r="O649" s="81" t="s">
        <v>379</v>
      </c>
      <c r="P649">
        <v>1</v>
      </c>
      <c r="Q649" s="80" t="str">
        <f>REPLACE(INDEX(GroupVertices[Group],MATCH(Edges[[#This Row],[Vertex 1]],GroupVertices[Vertex],0)),1,1,"")</f>
        <v>1</v>
      </c>
      <c r="R649" s="80" t="str">
        <f>REPLACE(INDEX(GroupVertices[Group],MATCH(Edges[[#This Row],[Vertex 2]],GroupVertices[Vertex],0)),1,1,"")</f>
        <v>2</v>
      </c>
      <c r="S649" s="35"/>
      <c r="T649" s="35"/>
      <c r="U649" s="35"/>
      <c r="V649" s="35"/>
      <c r="W649" s="35"/>
      <c r="X649" s="35"/>
      <c r="Y649" s="35"/>
      <c r="Z649" s="35"/>
      <c r="AA649" s="35"/>
    </row>
    <row r="650" spans="1:27" ht="15">
      <c r="A650" s="65" t="s">
        <v>220</v>
      </c>
      <c r="B650" s="65" t="s">
        <v>218</v>
      </c>
      <c r="C650" s="66" t="s">
        <v>1612</v>
      </c>
      <c r="D650" s="67">
        <v>5</v>
      </c>
      <c r="E650" s="68"/>
      <c r="F650" s="69">
        <v>25</v>
      </c>
      <c r="G650" s="66"/>
      <c r="H650" s="70"/>
      <c r="I650" s="71"/>
      <c r="J650" s="71"/>
      <c r="K650" s="35" t="s">
        <v>66</v>
      </c>
      <c r="L650" s="79">
        <v>650</v>
      </c>
      <c r="M650" s="79"/>
      <c r="N650" s="73"/>
      <c r="O650" s="81" t="s">
        <v>379</v>
      </c>
      <c r="P650">
        <v>1</v>
      </c>
      <c r="Q650" s="80" t="str">
        <f>REPLACE(INDEX(GroupVertices[Group],MATCH(Edges[[#This Row],[Vertex 1]],GroupVertices[Vertex],0)),1,1,"")</f>
        <v>2</v>
      </c>
      <c r="R650" s="80" t="str">
        <f>REPLACE(INDEX(GroupVertices[Group],MATCH(Edges[[#This Row],[Vertex 2]],GroupVertices[Vertex],0)),1,1,"")</f>
        <v>2</v>
      </c>
      <c r="S650" s="35"/>
      <c r="T650" s="35"/>
      <c r="U650" s="35"/>
      <c r="V650" s="35"/>
      <c r="W650" s="35"/>
      <c r="X650" s="35"/>
      <c r="Y650" s="35"/>
      <c r="Z650" s="35"/>
      <c r="AA650" s="35"/>
    </row>
    <row r="651" spans="1:27" ht="15">
      <c r="A651" s="65" t="s">
        <v>230</v>
      </c>
      <c r="B651" s="65" t="s">
        <v>218</v>
      </c>
      <c r="C651" s="66" t="s">
        <v>1612</v>
      </c>
      <c r="D651" s="67">
        <v>5</v>
      </c>
      <c r="E651" s="68"/>
      <c r="F651" s="69">
        <v>25</v>
      </c>
      <c r="G651" s="66"/>
      <c r="H651" s="70"/>
      <c r="I651" s="71"/>
      <c r="J651" s="71"/>
      <c r="K651" s="35" t="s">
        <v>65</v>
      </c>
      <c r="L651" s="79">
        <v>651</v>
      </c>
      <c r="M651" s="79"/>
      <c r="N651" s="73"/>
      <c r="O651" s="81" t="s">
        <v>378</v>
      </c>
      <c r="P651">
        <v>1</v>
      </c>
      <c r="Q651" s="80" t="str">
        <f>REPLACE(INDEX(GroupVertices[Group],MATCH(Edges[[#This Row],[Vertex 1]],GroupVertices[Vertex],0)),1,1,"")</f>
        <v>2</v>
      </c>
      <c r="R651" s="80" t="str">
        <f>REPLACE(INDEX(GroupVertices[Group],MATCH(Edges[[#This Row],[Vertex 2]],GroupVertices[Vertex],0)),1,1,"")</f>
        <v>2</v>
      </c>
      <c r="S651" s="35"/>
      <c r="T651" s="35"/>
      <c r="U651" s="35"/>
      <c r="V651" s="35"/>
      <c r="W651" s="35"/>
      <c r="X651" s="35"/>
      <c r="Y651" s="35"/>
      <c r="Z651" s="35"/>
      <c r="AA651" s="35"/>
    </row>
    <row r="652" spans="1:27" ht="15">
      <c r="A652" s="65" t="s">
        <v>228</v>
      </c>
      <c r="B652" s="65" t="s">
        <v>231</v>
      </c>
      <c r="C652" s="66" t="s">
        <v>1612</v>
      </c>
      <c r="D652" s="67">
        <v>5</v>
      </c>
      <c r="E652" s="68"/>
      <c r="F652" s="69">
        <v>25</v>
      </c>
      <c r="G652" s="66"/>
      <c r="H652" s="70"/>
      <c r="I652" s="71"/>
      <c r="J652" s="71"/>
      <c r="K652" s="35" t="s">
        <v>66</v>
      </c>
      <c r="L652" s="79">
        <v>652</v>
      </c>
      <c r="M652" s="79"/>
      <c r="N652" s="73"/>
      <c r="O652" s="81" t="s">
        <v>377</v>
      </c>
      <c r="P652">
        <v>1</v>
      </c>
      <c r="Q652" s="80" t="str">
        <f>REPLACE(INDEX(GroupVertices[Group],MATCH(Edges[[#This Row],[Vertex 1]],GroupVertices[Vertex],0)),1,1,"")</f>
        <v>1</v>
      </c>
      <c r="R652" s="80" t="str">
        <f>REPLACE(INDEX(GroupVertices[Group],MATCH(Edges[[#This Row],[Vertex 2]],GroupVertices[Vertex],0)),1,1,"")</f>
        <v>1</v>
      </c>
      <c r="S652" s="35"/>
      <c r="T652" s="35"/>
      <c r="U652" s="35"/>
      <c r="V652" s="35"/>
      <c r="W652" s="35"/>
      <c r="X652" s="35"/>
      <c r="Y652" s="35"/>
      <c r="Z652" s="35"/>
      <c r="AA652" s="35"/>
    </row>
    <row r="653" spans="1:27" ht="15">
      <c r="A653" s="65" t="s">
        <v>228</v>
      </c>
      <c r="B653" s="65" t="s">
        <v>230</v>
      </c>
      <c r="C653" s="66" t="s">
        <v>1612</v>
      </c>
      <c r="D653" s="67">
        <v>5</v>
      </c>
      <c r="E653" s="68"/>
      <c r="F653" s="69">
        <v>25</v>
      </c>
      <c r="G653" s="66"/>
      <c r="H653" s="70"/>
      <c r="I653" s="71"/>
      <c r="J653" s="71"/>
      <c r="K653" s="35" t="s">
        <v>66</v>
      </c>
      <c r="L653" s="79">
        <v>653</v>
      </c>
      <c r="M653" s="79"/>
      <c r="N653" s="73"/>
      <c r="O653" s="81" t="s">
        <v>377</v>
      </c>
      <c r="P653">
        <v>1</v>
      </c>
      <c r="Q653" s="80" t="str">
        <f>REPLACE(INDEX(GroupVertices[Group],MATCH(Edges[[#This Row],[Vertex 1]],GroupVertices[Vertex],0)),1,1,"")</f>
        <v>1</v>
      </c>
      <c r="R653" s="80" t="str">
        <f>REPLACE(INDEX(GroupVertices[Group],MATCH(Edges[[#This Row],[Vertex 2]],GroupVertices[Vertex],0)),1,1,"")</f>
        <v>2</v>
      </c>
      <c r="S653" s="35"/>
      <c r="T653" s="35"/>
      <c r="U653" s="35"/>
      <c r="V653" s="35"/>
      <c r="W653" s="35"/>
      <c r="X653" s="35"/>
      <c r="Y653" s="35"/>
      <c r="Z653" s="35"/>
      <c r="AA653" s="35"/>
    </row>
    <row r="654" spans="1:27" ht="15">
      <c r="A654" s="65" t="s">
        <v>228</v>
      </c>
      <c r="B654" s="65" t="s">
        <v>229</v>
      </c>
      <c r="C654" s="66" t="s">
        <v>1612</v>
      </c>
      <c r="D654" s="67">
        <v>5</v>
      </c>
      <c r="E654" s="68"/>
      <c r="F654" s="69">
        <v>25</v>
      </c>
      <c r="G654" s="66"/>
      <c r="H654" s="70"/>
      <c r="I654" s="71"/>
      <c r="J654" s="71"/>
      <c r="K654" s="35" t="s">
        <v>66</v>
      </c>
      <c r="L654" s="79">
        <v>654</v>
      </c>
      <c r="M654" s="79"/>
      <c r="N654" s="73"/>
      <c r="O654" s="81" t="s">
        <v>377</v>
      </c>
      <c r="P654">
        <v>1</v>
      </c>
      <c r="Q654" s="80" t="str">
        <f>REPLACE(INDEX(GroupVertices[Group],MATCH(Edges[[#This Row],[Vertex 1]],GroupVertices[Vertex],0)),1,1,"")</f>
        <v>1</v>
      </c>
      <c r="R654" s="80" t="str">
        <f>REPLACE(INDEX(GroupVertices[Group],MATCH(Edges[[#This Row],[Vertex 2]],GroupVertices[Vertex],0)),1,1,"")</f>
        <v>1</v>
      </c>
      <c r="S654" s="35"/>
      <c r="T654" s="35"/>
      <c r="U654" s="35"/>
      <c r="V654" s="35"/>
      <c r="W654" s="35"/>
      <c r="X654" s="35"/>
      <c r="Y654" s="35"/>
      <c r="Z654" s="35"/>
      <c r="AA654" s="35"/>
    </row>
    <row r="655" spans="1:27" ht="15">
      <c r="A655" s="65" t="s">
        <v>228</v>
      </c>
      <c r="B655" s="65" t="s">
        <v>223</v>
      </c>
      <c r="C655" s="66" t="s">
        <v>1612</v>
      </c>
      <c r="D655" s="67">
        <v>5</v>
      </c>
      <c r="E655" s="68"/>
      <c r="F655" s="69">
        <v>25</v>
      </c>
      <c r="G655" s="66"/>
      <c r="H655" s="70"/>
      <c r="I655" s="71"/>
      <c r="J655" s="71"/>
      <c r="K655" s="35" t="s">
        <v>66</v>
      </c>
      <c r="L655" s="79">
        <v>655</v>
      </c>
      <c r="M655" s="79"/>
      <c r="N655" s="73"/>
      <c r="O655" s="81" t="s">
        <v>377</v>
      </c>
      <c r="P655">
        <v>1</v>
      </c>
      <c r="Q655" s="80" t="str">
        <f>REPLACE(INDEX(GroupVertices[Group],MATCH(Edges[[#This Row],[Vertex 1]],GroupVertices[Vertex],0)),1,1,"")</f>
        <v>1</v>
      </c>
      <c r="R655" s="80" t="str">
        <f>REPLACE(INDEX(GroupVertices[Group],MATCH(Edges[[#This Row],[Vertex 2]],GroupVertices[Vertex],0)),1,1,"")</f>
        <v>1</v>
      </c>
      <c r="S655" s="35"/>
      <c r="T655" s="35"/>
      <c r="U655" s="35"/>
      <c r="V655" s="35"/>
      <c r="W655" s="35"/>
      <c r="X655" s="35"/>
      <c r="Y655" s="35"/>
      <c r="Z655" s="35"/>
      <c r="AA655" s="35"/>
    </row>
    <row r="656" spans="1:27" ht="15">
      <c r="A656" s="65" t="s">
        <v>232</v>
      </c>
      <c r="B656" s="65" t="s">
        <v>228</v>
      </c>
      <c r="C656" s="66" t="s">
        <v>1612</v>
      </c>
      <c r="D656" s="67">
        <v>5</v>
      </c>
      <c r="E656" s="68"/>
      <c r="F656" s="69">
        <v>25</v>
      </c>
      <c r="G656" s="66"/>
      <c r="H656" s="70"/>
      <c r="I656" s="71"/>
      <c r="J656" s="71"/>
      <c r="K656" s="35" t="s">
        <v>65</v>
      </c>
      <c r="L656" s="79">
        <v>656</v>
      </c>
      <c r="M656" s="79"/>
      <c r="N656" s="73"/>
      <c r="O656" s="81" t="s">
        <v>377</v>
      </c>
      <c r="P656">
        <v>1</v>
      </c>
      <c r="Q656" s="80" t="str">
        <f>REPLACE(INDEX(GroupVertices[Group],MATCH(Edges[[#This Row],[Vertex 1]],GroupVertices[Vertex],0)),1,1,"")</f>
        <v>1</v>
      </c>
      <c r="R656" s="80" t="str">
        <f>REPLACE(INDEX(GroupVertices[Group],MATCH(Edges[[#This Row],[Vertex 2]],GroupVertices[Vertex],0)),1,1,"")</f>
        <v>1</v>
      </c>
      <c r="S656" s="35"/>
      <c r="T656" s="35"/>
      <c r="U656" s="35"/>
      <c r="V656" s="35"/>
      <c r="W656" s="35"/>
      <c r="X656" s="35"/>
      <c r="Y656" s="35"/>
      <c r="Z656" s="35"/>
      <c r="AA656" s="35"/>
    </row>
    <row r="657" spans="1:27" ht="15">
      <c r="A657" s="65" t="s">
        <v>223</v>
      </c>
      <c r="B657" s="65" t="s">
        <v>228</v>
      </c>
      <c r="C657" s="66" t="s">
        <v>1612</v>
      </c>
      <c r="D657" s="67">
        <v>5</v>
      </c>
      <c r="E657" s="68"/>
      <c r="F657" s="69">
        <v>25</v>
      </c>
      <c r="G657" s="66"/>
      <c r="H657" s="70"/>
      <c r="I657" s="71"/>
      <c r="J657" s="71"/>
      <c r="K657" s="35" t="s">
        <v>66</v>
      </c>
      <c r="L657" s="79">
        <v>657</v>
      </c>
      <c r="M657" s="79"/>
      <c r="N657" s="73"/>
      <c r="O657" s="81" t="s">
        <v>377</v>
      </c>
      <c r="P657">
        <v>1</v>
      </c>
      <c r="Q657" s="80" t="str">
        <f>REPLACE(INDEX(GroupVertices[Group],MATCH(Edges[[#This Row],[Vertex 1]],GroupVertices[Vertex],0)),1,1,"")</f>
        <v>1</v>
      </c>
      <c r="R657" s="80" t="str">
        <f>REPLACE(INDEX(GroupVertices[Group],MATCH(Edges[[#This Row],[Vertex 2]],GroupVertices[Vertex],0)),1,1,"")</f>
        <v>1</v>
      </c>
      <c r="S657" s="35"/>
      <c r="T657" s="35"/>
      <c r="U657" s="35"/>
      <c r="V657" s="35"/>
      <c r="W657" s="35"/>
      <c r="X657" s="35"/>
      <c r="Y657" s="35"/>
      <c r="Z657" s="35"/>
      <c r="AA657" s="35"/>
    </row>
    <row r="658" spans="1:27" ht="15">
      <c r="A658" s="65" t="s">
        <v>230</v>
      </c>
      <c r="B658" s="65" t="s">
        <v>228</v>
      </c>
      <c r="C658" s="66" t="s">
        <v>1612</v>
      </c>
      <c r="D658" s="67">
        <v>5</v>
      </c>
      <c r="E658" s="68"/>
      <c r="F658" s="69">
        <v>25</v>
      </c>
      <c r="G658" s="66"/>
      <c r="H658" s="70"/>
      <c r="I658" s="71"/>
      <c r="J658" s="71"/>
      <c r="K658" s="35" t="s">
        <v>66</v>
      </c>
      <c r="L658" s="79">
        <v>658</v>
      </c>
      <c r="M658" s="79"/>
      <c r="N658" s="73"/>
      <c r="O658" s="81" t="s">
        <v>377</v>
      </c>
      <c r="P658">
        <v>1</v>
      </c>
      <c r="Q658" s="80" t="str">
        <f>REPLACE(INDEX(GroupVertices[Group],MATCH(Edges[[#This Row],[Vertex 1]],GroupVertices[Vertex],0)),1,1,"")</f>
        <v>2</v>
      </c>
      <c r="R658" s="80" t="str">
        <f>REPLACE(INDEX(GroupVertices[Group],MATCH(Edges[[#This Row],[Vertex 2]],GroupVertices[Vertex],0)),1,1,"")</f>
        <v>1</v>
      </c>
      <c r="S658" s="35"/>
      <c r="T658" s="35"/>
      <c r="U658" s="35"/>
      <c r="V658" s="35"/>
      <c r="W658" s="35"/>
      <c r="X658" s="35"/>
      <c r="Y658" s="35"/>
      <c r="Z658" s="35"/>
      <c r="AA658" s="35"/>
    </row>
    <row r="659" spans="1:27" ht="15">
      <c r="A659" s="65" t="s">
        <v>231</v>
      </c>
      <c r="B659" s="65" t="s">
        <v>228</v>
      </c>
      <c r="C659" s="66" t="s">
        <v>1612</v>
      </c>
      <c r="D659" s="67">
        <v>5</v>
      </c>
      <c r="E659" s="68"/>
      <c r="F659" s="69">
        <v>25</v>
      </c>
      <c r="G659" s="66"/>
      <c r="H659" s="70"/>
      <c r="I659" s="71"/>
      <c r="J659" s="71"/>
      <c r="K659" s="35" t="s">
        <v>66</v>
      </c>
      <c r="L659" s="79">
        <v>659</v>
      </c>
      <c r="M659" s="79"/>
      <c r="N659" s="73"/>
      <c r="O659" s="81" t="s">
        <v>379</v>
      </c>
      <c r="P659">
        <v>1</v>
      </c>
      <c r="Q659" s="80" t="str">
        <f>REPLACE(INDEX(GroupVertices[Group],MATCH(Edges[[#This Row],[Vertex 1]],GroupVertices[Vertex],0)),1,1,"")</f>
        <v>1</v>
      </c>
      <c r="R659" s="80" t="str">
        <f>REPLACE(INDEX(GroupVertices[Group],MATCH(Edges[[#This Row],[Vertex 2]],GroupVertices[Vertex],0)),1,1,"")</f>
        <v>1</v>
      </c>
      <c r="S659" s="35"/>
      <c r="T659" s="35"/>
      <c r="U659" s="35"/>
      <c r="V659" s="35"/>
      <c r="W659" s="35"/>
      <c r="X659" s="35"/>
      <c r="Y659" s="35"/>
      <c r="Z659" s="35"/>
      <c r="AA659" s="35"/>
    </row>
    <row r="660" spans="1:27" ht="15">
      <c r="A660" s="65" t="s">
        <v>232</v>
      </c>
      <c r="B660" s="65" t="s">
        <v>228</v>
      </c>
      <c r="C660" s="66" t="s">
        <v>1612</v>
      </c>
      <c r="D660" s="67">
        <v>5</v>
      </c>
      <c r="E660" s="68"/>
      <c r="F660" s="69">
        <v>25</v>
      </c>
      <c r="G660" s="66"/>
      <c r="H660" s="70"/>
      <c r="I660" s="71"/>
      <c r="J660" s="71"/>
      <c r="K660" s="35" t="s">
        <v>65</v>
      </c>
      <c r="L660" s="79">
        <v>660</v>
      </c>
      <c r="M660" s="79"/>
      <c r="N660" s="73"/>
      <c r="O660" s="81" t="s">
        <v>379</v>
      </c>
      <c r="P660">
        <v>1</v>
      </c>
      <c r="Q660" s="80" t="str">
        <f>REPLACE(INDEX(GroupVertices[Group],MATCH(Edges[[#This Row],[Vertex 1]],GroupVertices[Vertex],0)),1,1,"")</f>
        <v>1</v>
      </c>
      <c r="R660" s="80" t="str">
        <f>REPLACE(INDEX(GroupVertices[Group],MATCH(Edges[[#This Row],[Vertex 2]],GroupVertices[Vertex],0)),1,1,"")</f>
        <v>1</v>
      </c>
      <c r="S660" s="35"/>
      <c r="T660" s="35"/>
      <c r="U660" s="35"/>
      <c r="V660" s="35"/>
      <c r="W660" s="35"/>
      <c r="X660" s="35"/>
      <c r="Y660" s="35"/>
      <c r="Z660" s="35"/>
      <c r="AA660" s="35"/>
    </row>
    <row r="661" spans="1:27" ht="15">
      <c r="A661" s="65" t="s">
        <v>219</v>
      </c>
      <c r="B661" s="65" t="s">
        <v>228</v>
      </c>
      <c r="C661" s="66" t="s">
        <v>1612</v>
      </c>
      <c r="D661" s="67">
        <v>5</v>
      </c>
      <c r="E661" s="68"/>
      <c r="F661" s="69">
        <v>25</v>
      </c>
      <c r="G661" s="66"/>
      <c r="H661" s="70"/>
      <c r="I661" s="71"/>
      <c r="J661" s="71"/>
      <c r="K661" s="35" t="s">
        <v>65</v>
      </c>
      <c r="L661" s="79">
        <v>661</v>
      </c>
      <c r="M661" s="79"/>
      <c r="N661" s="73"/>
      <c r="O661" s="81" t="s">
        <v>379</v>
      </c>
      <c r="P661">
        <v>1</v>
      </c>
      <c r="Q661" s="80" t="str">
        <f>REPLACE(INDEX(GroupVertices[Group],MATCH(Edges[[#This Row],[Vertex 1]],GroupVertices[Vertex],0)),1,1,"")</f>
        <v>1</v>
      </c>
      <c r="R661" s="80" t="str">
        <f>REPLACE(INDEX(GroupVertices[Group],MATCH(Edges[[#This Row],[Vertex 2]],GroupVertices[Vertex],0)),1,1,"")</f>
        <v>1</v>
      </c>
      <c r="S661" s="35"/>
      <c r="T661" s="35"/>
      <c r="U661" s="35"/>
      <c r="V661" s="35"/>
      <c r="W661" s="35"/>
      <c r="X661" s="35"/>
      <c r="Y661" s="35"/>
      <c r="Z661" s="35"/>
      <c r="AA661" s="35"/>
    </row>
    <row r="662" spans="1:27" ht="15">
      <c r="A662" s="65" t="s">
        <v>221</v>
      </c>
      <c r="B662" s="65" t="s">
        <v>228</v>
      </c>
      <c r="C662" s="66" t="s">
        <v>1612</v>
      </c>
      <c r="D662" s="67">
        <v>5</v>
      </c>
      <c r="E662" s="68"/>
      <c r="F662" s="69">
        <v>25</v>
      </c>
      <c r="G662" s="66"/>
      <c r="H662" s="70"/>
      <c r="I662" s="71"/>
      <c r="J662" s="71"/>
      <c r="K662" s="35" t="s">
        <v>65</v>
      </c>
      <c r="L662" s="79">
        <v>662</v>
      </c>
      <c r="M662" s="79"/>
      <c r="N662" s="73"/>
      <c r="O662" s="81" t="s">
        <v>379</v>
      </c>
      <c r="P662">
        <v>1</v>
      </c>
      <c r="Q662" s="80" t="str">
        <f>REPLACE(INDEX(GroupVertices[Group],MATCH(Edges[[#This Row],[Vertex 1]],GroupVertices[Vertex],0)),1,1,"")</f>
        <v>1</v>
      </c>
      <c r="R662" s="80" t="str">
        <f>REPLACE(INDEX(GroupVertices[Group],MATCH(Edges[[#This Row],[Vertex 2]],GroupVertices[Vertex],0)),1,1,"")</f>
        <v>1</v>
      </c>
      <c r="S662" s="35"/>
      <c r="T662" s="35"/>
      <c r="U662" s="35"/>
      <c r="V662" s="35"/>
      <c r="W662" s="35"/>
      <c r="X662" s="35"/>
      <c r="Y662" s="35"/>
      <c r="Z662" s="35"/>
      <c r="AA662" s="35"/>
    </row>
    <row r="663" spans="1:27" ht="15">
      <c r="A663" s="65" t="s">
        <v>222</v>
      </c>
      <c r="B663" s="65" t="s">
        <v>228</v>
      </c>
      <c r="C663" s="66" t="s">
        <v>1612</v>
      </c>
      <c r="D663" s="67">
        <v>5</v>
      </c>
      <c r="E663" s="68"/>
      <c r="F663" s="69">
        <v>25</v>
      </c>
      <c r="G663" s="66"/>
      <c r="H663" s="70"/>
      <c r="I663" s="71"/>
      <c r="J663" s="71"/>
      <c r="K663" s="35" t="s">
        <v>65</v>
      </c>
      <c r="L663" s="79">
        <v>663</v>
      </c>
      <c r="M663" s="79"/>
      <c r="N663" s="73"/>
      <c r="O663" s="81" t="s">
        <v>379</v>
      </c>
      <c r="P663">
        <v>1</v>
      </c>
      <c r="Q663" s="80" t="str">
        <f>REPLACE(INDEX(GroupVertices[Group],MATCH(Edges[[#This Row],[Vertex 1]],GroupVertices[Vertex],0)),1,1,"")</f>
        <v>1</v>
      </c>
      <c r="R663" s="80" t="str">
        <f>REPLACE(INDEX(GroupVertices[Group],MATCH(Edges[[#This Row],[Vertex 2]],GroupVertices[Vertex],0)),1,1,"")</f>
        <v>1</v>
      </c>
      <c r="S663" s="35"/>
      <c r="T663" s="35"/>
      <c r="U663" s="35"/>
      <c r="V663" s="35"/>
      <c r="W663" s="35"/>
      <c r="X663" s="35"/>
      <c r="Y663" s="35"/>
      <c r="Z663" s="35"/>
      <c r="AA663" s="35"/>
    </row>
    <row r="664" spans="1:27" ht="15">
      <c r="A664" s="65" t="s">
        <v>223</v>
      </c>
      <c r="B664" s="65" t="s">
        <v>228</v>
      </c>
      <c r="C664" s="66" t="s">
        <v>1612</v>
      </c>
      <c r="D664" s="67">
        <v>5</v>
      </c>
      <c r="E664" s="68"/>
      <c r="F664" s="69">
        <v>25</v>
      </c>
      <c r="G664" s="66"/>
      <c r="H664" s="70"/>
      <c r="I664" s="71"/>
      <c r="J664" s="71"/>
      <c r="K664" s="35" t="s">
        <v>66</v>
      </c>
      <c r="L664" s="79">
        <v>664</v>
      </c>
      <c r="M664" s="79"/>
      <c r="N664" s="73"/>
      <c r="O664" s="81" t="s">
        <v>379</v>
      </c>
      <c r="P664">
        <v>1</v>
      </c>
      <c r="Q664" s="80" t="str">
        <f>REPLACE(INDEX(GroupVertices[Group],MATCH(Edges[[#This Row],[Vertex 1]],GroupVertices[Vertex],0)),1,1,"")</f>
        <v>1</v>
      </c>
      <c r="R664" s="80" t="str">
        <f>REPLACE(INDEX(GroupVertices[Group],MATCH(Edges[[#This Row],[Vertex 2]],GroupVertices[Vertex],0)),1,1,"")</f>
        <v>1</v>
      </c>
      <c r="S664" s="35"/>
      <c r="T664" s="35"/>
      <c r="U664" s="35"/>
      <c r="V664" s="35"/>
      <c r="W664" s="35"/>
      <c r="X664" s="35"/>
      <c r="Y664" s="35"/>
      <c r="Z664" s="35"/>
      <c r="AA664" s="35"/>
    </row>
    <row r="665" spans="1:27" ht="15">
      <c r="A665" s="65" t="s">
        <v>229</v>
      </c>
      <c r="B665" s="65" t="s">
        <v>228</v>
      </c>
      <c r="C665" s="66" t="s">
        <v>1612</v>
      </c>
      <c r="D665" s="67">
        <v>5</v>
      </c>
      <c r="E665" s="68"/>
      <c r="F665" s="69">
        <v>25</v>
      </c>
      <c r="G665" s="66"/>
      <c r="H665" s="70"/>
      <c r="I665" s="71"/>
      <c r="J665" s="71"/>
      <c r="K665" s="35" t="s">
        <v>66</v>
      </c>
      <c r="L665" s="79">
        <v>665</v>
      </c>
      <c r="M665" s="79"/>
      <c r="N665" s="73"/>
      <c r="O665" s="81" t="s">
        <v>379</v>
      </c>
      <c r="P665">
        <v>1</v>
      </c>
      <c r="Q665" s="80" t="str">
        <f>REPLACE(INDEX(GroupVertices[Group],MATCH(Edges[[#This Row],[Vertex 1]],GroupVertices[Vertex],0)),1,1,"")</f>
        <v>1</v>
      </c>
      <c r="R665" s="80" t="str">
        <f>REPLACE(INDEX(GroupVertices[Group],MATCH(Edges[[#This Row],[Vertex 2]],GroupVertices[Vertex],0)),1,1,"")</f>
        <v>1</v>
      </c>
      <c r="S665" s="35"/>
      <c r="T665" s="35"/>
      <c r="U665" s="35"/>
      <c r="V665" s="35"/>
      <c r="W665" s="35"/>
      <c r="X665" s="35"/>
      <c r="Y665" s="35"/>
      <c r="Z665" s="35"/>
      <c r="AA665" s="35"/>
    </row>
    <row r="666" spans="1:27" ht="15">
      <c r="A666" s="65" t="s">
        <v>230</v>
      </c>
      <c r="B666" s="65" t="s">
        <v>228</v>
      </c>
      <c r="C666" s="66" t="s">
        <v>1612</v>
      </c>
      <c r="D666" s="67">
        <v>5</v>
      </c>
      <c r="E666" s="68"/>
      <c r="F666" s="69">
        <v>25</v>
      </c>
      <c r="G666" s="66"/>
      <c r="H666" s="70"/>
      <c r="I666" s="71"/>
      <c r="J666" s="71"/>
      <c r="K666" s="35" t="s">
        <v>66</v>
      </c>
      <c r="L666" s="79">
        <v>666</v>
      </c>
      <c r="M666" s="79"/>
      <c r="N666" s="73"/>
      <c r="O666" s="81" t="s">
        <v>379</v>
      </c>
      <c r="P666">
        <v>1</v>
      </c>
      <c r="Q666" s="80" t="str">
        <f>REPLACE(INDEX(GroupVertices[Group],MATCH(Edges[[#This Row],[Vertex 1]],GroupVertices[Vertex],0)),1,1,"")</f>
        <v>2</v>
      </c>
      <c r="R666" s="80" t="str">
        <f>REPLACE(INDEX(GroupVertices[Group],MATCH(Edges[[#This Row],[Vertex 2]],GroupVertices[Vertex],0)),1,1,"")</f>
        <v>1</v>
      </c>
      <c r="S666" s="35"/>
      <c r="T666" s="35"/>
      <c r="U666" s="35"/>
      <c r="V666" s="35"/>
      <c r="W666" s="35"/>
      <c r="X666" s="35"/>
      <c r="Y666" s="35"/>
      <c r="Z666" s="35"/>
      <c r="AA666" s="35"/>
    </row>
    <row r="667" spans="1:27" ht="15">
      <c r="A667" s="65" t="s">
        <v>224</v>
      </c>
      <c r="B667" s="65" t="s">
        <v>228</v>
      </c>
      <c r="C667" s="66" t="s">
        <v>1612</v>
      </c>
      <c r="D667" s="67">
        <v>5</v>
      </c>
      <c r="E667" s="68"/>
      <c r="F667" s="69">
        <v>25</v>
      </c>
      <c r="G667" s="66"/>
      <c r="H667" s="70"/>
      <c r="I667" s="71"/>
      <c r="J667" s="71"/>
      <c r="K667" s="35" t="s">
        <v>65</v>
      </c>
      <c r="L667" s="79">
        <v>667</v>
      </c>
      <c r="M667" s="79"/>
      <c r="N667" s="73"/>
      <c r="O667" s="81" t="s">
        <v>379</v>
      </c>
      <c r="P667">
        <v>1</v>
      </c>
      <c r="Q667" s="80" t="str">
        <f>REPLACE(INDEX(GroupVertices[Group],MATCH(Edges[[#This Row],[Vertex 1]],GroupVertices[Vertex],0)),1,1,"")</f>
        <v>1</v>
      </c>
      <c r="R667" s="80" t="str">
        <f>REPLACE(INDEX(GroupVertices[Group],MATCH(Edges[[#This Row],[Vertex 2]],GroupVertices[Vertex],0)),1,1,"")</f>
        <v>1</v>
      </c>
      <c r="S667" s="35"/>
      <c r="T667" s="35"/>
      <c r="U667" s="35"/>
      <c r="V667" s="35"/>
      <c r="W667" s="35"/>
      <c r="X667" s="35"/>
      <c r="Y667" s="35"/>
      <c r="Z667" s="35"/>
      <c r="AA667" s="35"/>
    </row>
    <row r="668" spans="1:27" ht="15">
      <c r="A668" s="65" t="s">
        <v>225</v>
      </c>
      <c r="B668" s="65" t="s">
        <v>228</v>
      </c>
      <c r="C668" s="66" t="s">
        <v>1612</v>
      </c>
      <c r="D668" s="67">
        <v>5</v>
      </c>
      <c r="E668" s="68"/>
      <c r="F668" s="69">
        <v>25</v>
      </c>
      <c r="G668" s="66"/>
      <c r="H668" s="70"/>
      <c r="I668" s="71"/>
      <c r="J668" s="71"/>
      <c r="K668" s="35" t="s">
        <v>65</v>
      </c>
      <c r="L668" s="79">
        <v>668</v>
      </c>
      <c r="M668" s="79"/>
      <c r="N668" s="73"/>
      <c r="O668" s="81" t="s">
        <v>379</v>
      </c>
      <c r="P668">
        <v>1</v>
      </c>
      <c r="Q668" s="80" t="str">
        <f>REPLACE(INDEX(GroupVertices[Group],MATCH(Edges[[#This Row],[Vertex 1]],GroupVertices[Vertex],0)),1,1,"")</f>
        <v>1</v>
      </c>
      <c r="R668" s="80" t="str">
        <f>REPLACE(INDEX(GroupVertices[Group],MATCH(Edges[[#This Row],[Vertex 2]],GroupVertices[Vertex],0)),1,1,"")</f>
        <v>1</v>
      </c>
      <c r="S668" s="35"/>
      <c r="T668" s="35"/>
      <c r="U668" s="35"/>
      <c r="V668" s="35"/>
      <c r="W668" s="35"/>
      <c r="X668" s="35"/>
      <c r="Y668" s="35"/>
      <c r="Z668" s="35"/>
      <c r="AA668" s="35"/>
    </row>
    <row r="669" spans="1:27" ht="15">
      <c r="A669" s="65" t="s">
        <v>232</v>
      </c>
      <c r="B669" s="65" t="s">
        <v>228</v>
      </c>
      <c r="C669" s="66" t="s">
        <v>1612</v>
      </c>
      <c r="D669" s="67">
        <v>5</v>
      </c>
      <c r="E669" s="68"/>
      <c r="F669" s="69">
        <v>25</v>
      </c>
      <c r="G669" s="66"/>
      <c r="H669" s="70"/>
      <c r="I669" s="71"/>
      <c r="J669" s="71"/>
      <c r="K669" s="35" t="s">
        <v>65</v>
      </c>
      <c r="L669" s="79">
        <v>669</v>
      </c>
      <c r="M669" s="79"/>
      <c r="N669" s="73"/>
      <c r="O669" s="81" t="s">
        <v>378</v>
      </c>
      <c r="P669">
        <v>1</v>
      </c>
      <c r="Q669" s="80" t="str">
        <f>REPLACE(INDEX(GroupVertices[Group],MATCH(Edges[[#This Row],[Vertex 1]],GroupVertices[Vertex],0)),1,1,"")</f>
        <v>1</v>
      </c>
      <c r="R669" s="80" t="str">
        <f>REPLACE(INDEX(GroupVertices[Group],MATCH(Edges[[#This Row],[Vertex 2]],GroupVertices[Vertex],0)),1,1,"")</f>
        <v>1</v>
      </c>
      <c r="S669" s="35"/>
      <c r="T669" s="35"/>
      <c r="U669" s="35"/>
      <c r="V669" s="35"/>
      <c r="W669" s="35"/>
      <c r="X669" s="35"/>
      <c r="Y669" s="35"/>
      <c r="Z669" s="35"/>
      <c r="AA669" s="35"/>
    </row>
    <row r="670" spans="1:27" ht="15">
      <c r="A670" s="65" t="s">
        <v>228</v>
      </c>
      <c r="B670" s="65" t="s">
        <v>231</v>
      </c>
      <c r="C670" s="66" t="s">
        <v>1612</v>
      </c>
      <c r="D670" s="67">
        <v>5</v>
      </c>
      <c r="E670" s="68"/>
      <c r="F670" s="69">
        <v>25</v>
      </c>
      <c r="G670" s="66"/>
      <c r="H670" s="70"/>
      <c r="I670" s="71"/>
      <c r="J670" s="71"/>
      <c r="K670" s="35" t="s">
        <v>66</v>
      </c>
      <c r="L670" s="79">
        <v>670</v>
      </c>
      <c r="M670" s="79"/>
      <c r="N670" s="73"/>
      <c r="O670" s="81" t="s">
        <v>378</v>
      </c>
      <c r="P670">
        <v>1</v>
      </c>
      <c r="Q670" s="80" t="str">
        <f>REPLACE(INDEX(GroupVertices[Group],MATCH(Edges[[#This Row],[Vertex 1]],GroupVertices[Vertex],0)),1,1,"")</f>
        <v>1</v>
      </c>
      <c r="R670" s="80" t="str">
        <f>REPLACE(INDEX(GroupVertices[Group],MATCH(Edges[[#This Row],[Vertex 2]],GroupVertices[Vertex],0)),1,1,"")</f>
        <v>1</v>
      </c>
      <c r="S670" s="35"/>
      <c r="T670" s="35"/>
      <c r="U670" s="35"/>
      <c r="V670" s="35"/>
      <c r="W670" s="35"/>
      <c r="X670" s="35"/>
      <c r="Y670" s="35"/>
      <c r="Z670" s="35"/>
      <c r="AA670" s="35"/>
    </row>
    <row r="671" spans="1:27" ht="15">
      <c r="A671" s="65" t="s">
        <v>228</v>
      </c>
      <c r="B671" s="65" t="s">
        <v>230</v>
      </c>
      <c r="C671" s="66" t="s">
        <v>1612</v>
      </c>
      <c r="D671" s="67">
        <v>5</v>
      </c>
      <c r="E671" s="68"/>
      <c r="F671" s="69">
        <v>25</v>
      </c>
      <c r="G671" s="66"/>
      <c r="H671" s="70"/>
      <c r="I671" s="71"/>
      <c r="J671" s="71"/>
      <c r="K671" s="35" t="s">
        <v>66</v>
      </c>
      <c r="L671" s="79">
        <v>671</v>
      </c>
      <c r="M671" s="79"/>
      <c r="N671" s="73"/>
      <c r="O671" s="81" t="s">
        <v>378</v>
      </c>
      <c r="P671">
        <v>1</v>
      </c>
      <c r="Q671" s="80" t="str">
        <f>REPLACE(INDEX(GroupVertices[Group],MATCH(Edges[[#This Row],[Vertex 1]],GroupVertices[Vertex],0)),1,1,"")</f>
        <v>1</v>
      </c>
      <c r="R671" s="80" t="str">
        <f>REPLACE(INDEX(GroupVertices[Group],MATCH(Edges[[#This Row],[Vertex 2]],GroupVertices[Vertex],0)),1,1,"")</f>
        <v>2</v>
      </c>
      <c r="S671" s="35"/>
      <c r="T671" s="35"/>
      <c r="U671" s="35"/>
      <c r="V671" s="35"/>
      <c r="W671" s="35"/>
      <c r="X671" s="35"/>
      <c r="Y671" s="35"/>
      <c r="Z671" s="35"/>
      <c r="AA671" s="35"/>
    </row>
    <row r="672" spans="1:27" ht="15">
      <c r="A672" s="65" t="s">
        <v>228</v>
      </c>
      <c r="B672" s="65" t="s">
        <v>229</v>
      </c>
      <c r="C672" s="66" t="s">
        <v>1612</v>
      </c>
      <c r="D672" s="67">
        <v>5</v>
      </c>
      <c r="E672" s="68"/>
      <c r="F672" s="69">
        <v>25</v>
      </c>
      <c r="G672" s="66"/>
      <c r="H672" s="70"/>
      <c r="I672" s="71"/>
      <c r="J672" s="71"/>
      <c r="K672" s="35" t="s">
        <v>66</v>
      </c>
      <c r="L672" s="79">
        <v>672</v>
      </c>
      <c r="M672" s="79"/>
      <c r="N672" s="73"/>
      <c r="O672" s="81" t="s">
        <v>378</v>
      </c>
      <c r="P672">
        <v>1</v>
      </c>
      <c r="Q672" s="80" t="str">
        <f>REPLACE(INDEX(GroupVertices[Group],MATCH(Edges[[#This Row],[Vertex 1]],GroupVertices[Vertex],0)),1,1,"")</f>
        <v>1</v>
      </c>
      <c r="R672" s="80" t="str">
        <f>REPLACE(INDEX(GroupVertices[Group],MATCH(Edges[[#This Row],[Vertex 2]],GroupVertices[Vertex],0)),1,1,"")</f>
        <v>1</v>
      </c>
      <c r="S672" s="35"/>
      <c r="T672" s="35"/>
      <c r="U672" s="35"/>
      <c r="V672" s="35"/>
      <c r="W672" s="35"/>
      <c r="X672" s="35"/>
      <c r="Y672" s="35"/>
      <c r="Z672" s="35"/>
      <c r="AA672" s="35"/>
    </row>
    <row r="673" spans="1:27" ht="15">
      <c r="A673" s="65" t="s">
        <v>228</v>
      </c>
      <c r="B673" s="65" t="s">
        <v>223</v>
      </c>
      <c r="C673" s="66" t="s">
        <v>1612</v>
      </c>
      <c r="D673" s="67">
        <v>5</v>
      </c>
      <c r="E673" s="68"/>
      <c r="F673" s="69">
        <v>25</v>
      </c>
      <c r="G673" s="66"/>
      <c r="H673" s="70"/>
      <c r="I673" s="71"/>
      <c r="J673" s="71"/>
      <c r="K673" s="35" t="s">
        <v>66</v>
      </c>
      <c r="L673" s="79">
        <v>673</v>
      </c>
      <c r="M673" s="79"/>
      <c r="N673" s="73"/>
      <c r="O673" s="81" t="s">
        <v>378</v>
      </c>
      <c r="P673">
        <v>1</v>
      </c>
      <c r="Q673" s="80" t="str">
        <f>REPLACE(INDEX(GroupVertices[Group],MATCH(Edges[[#This Row],[Vertex 1]],GroupVertices[Vertex],0)),1,1,"")</f>
        <v>1</v>
      </c>
      <c r="R673" s="80" t="str">
        <f>REPLACE(INDEX(GroupVertices[Group],MATCH(Edges[[#This Row],[Vertex 2]],GroupVertices[Vertex],0)),1,1,"")</f>
        <v>1</v>
      </c>
      <c r="S673" s="35"/>
      <c r="T673" s="35"/>
      <c r="U673" s="35"/>
      <c r="V673" s="35"/>
      <c r="W673" s="35"/>
      <c r="X673" s="35"/>
      <c r="Y673" s="35"/>
      <c r="Z673" s="35"/>
      <c r="AA673" s="35"/>
    </row>
    <row r="674" spans="1:27" ht="15">
      <c r="A674" s="65" t="s">
        <v>230</v>
      </c>
      <c r="B674" s="65" t="s">
        <v>228</v>
      </c>
      <c r="C674" s="66" t="s">
        <v>1612</v>
      </c>
      <c r="D674" s="67">
        <v>5</v>
      </c>
      <c r="E674" s="68"/>
      <c r="F674" s="69">
        <v>25</v>
      </c>
      <c r="G674" s="66"/>
      <c r="H674" s="70"/>
      <c r="I674" s="71"/>
      <c r="J674" s="71"/>
      <c r="K674" s="35" t="s">
        <v>66</v>
      </c>
      <c r="L674" s="79">
        <v>674</v>
      </c>
      <c r="M674" s="79"/>
      <c r="N674" s="73"/>
      <c r="O674" s="81" t="s">
        <v>378</v>
      </c>
      <c r="P674">
        <v>1</v>
      </c>
      <c r="Q674" s="80" t="str">
        <f>REPLACE(INDEX(GroupVertices[Group],MATCH(Edges[[#This Row],[Vertex 1]],GroupVertices[Vertex],0)),1,1,"")</f>
        <v>2</v>
      </c>
      <c r="R674" s="80" t="str">
        <f>REPLACE(INDEX(GroupVertices[Group],MATCH(Edges[[#This Row],[Vertex 2]],GroupVertices[Vertex],0)),1,1,"")</f>
        <v>1</v>
      </c>
      <c r="S674" s="35"/>
      <c r="T674" s="35"/>
      <c r="U674" s="35"/>
      <c r="V674" s="35"/>
      <c r="W674" s="35"/>
      <c r="X674" s="35"/>
      <c r="Y674" s="35"/>
      <c r="Z674" s="35"/>
      <c r="AA674" s="35"/>
    </row>
    <row r="675" spans="1:27" ht="15">
      <c r="A675" s="65" t="s">
        <v>230</v>
      </c>
      <c r="B675" s="65" t="s">
        <v>370</v>
      </c>
      <c r="C675" s="66" t="s">
        <v>1612</v>
      </c>
      <c r="D675" s="67">
        <v>5</v>
      </c>
      <c r="E675" s="68"/>
      <c r="F675" s="69">
        <v>25</v>
      </c>
      <c r="G675" s="66"/>
      <c r="H675" s="70"/>
      <c r="I675" s="71"/>
      <c r="J675" s="71"/>
      <c r="K675" s="35" t="s">
        <v>65</v>
      </c>
      <c r="L675" s="79">
        <v>675</v>
      </c>
      <c r="M675" s="79"/>
      <c r="N675" s="73"/>
      <c r="O675" s="81" t="s">
        <v>377</v>
      </c>
      <c r="P675">
        <v>1</v>
      </c>
      <c r="Q675" s="80" t="str">
        <f>REPLACE(INDEX(GroupVertices[Group],MATCH(Edges[[#This Row],[Vertex 1]],GroupVertices[Vertex],0)),1,1,"")</f>
        <v>2</v>
      </c>
      <c r="R675" s="80" t="str">
        <f>REPLACE(INDEX(GroupVertices[Group],MATCH(Edges[[#This Row],[Vertex 2]],GroupVertices[Vertex],0)),1,1,"")</f>
        <v>2</v>
      </c>
      <c r="S675" s="35"/>
      <c r="T675" s="35"/>
      <c r="U675" s="35"/>
      <c r="V675" s="35"/>
      <c r="W675" s="35"/>
      <c r="X675" s="35"/>
      <c r="Y675" s="35"/>
      <c r="Z675" s="35"/>
      <c r="AA675" s="35"/>
    </row>
    <row r="676" spans="1:27" ht="15">
      <c r="A676" s="65" t="s">
        <v>230</v>
      </c>
      <c r="B676" s="65" t="s">
        <v>370</v>
      </c>
      <c r="C676" s="66" t="s">
        <v>1612</v>
      </c>
      <c r="D676" s="67">
        <v>5</v>
      </c>
      <c r="E676" s="68"/>
      <c r="F676" s="69">
        <v>25</v>
      </c>
      <c r="G676" s="66"/>
      <c r="H676" s="70"/>
      <c r="I676" s="71"/>
      <c r="J676" s="71"/>
      <c r="K676" s="35" t="s">
        <v>65</v>
      </c>
      <c r="L676" s="79">
        <v>676</v>
      </c>
      <c r="M676" s="79"/>
      <c r="N676" s="73"/>
      <c r="O676" s="81" t="s">
        <v>378</v>
      </c>
      <c r="P676">
        <v>1</v>
      </c>
      <c r="Q676" s="80" t="str">
        <f>REPLACE(INDEX(GroupVertices[Group],MATCH(Edges[[#This Row],[Vertex 1]],GroupVertices[Vertex],0)),1,1,"")</f>
        <v>2</v>
      </c>
      <c r="R676" s="80" t="str">
        <f>REPLACE(INDEX(GroupVertices[Group],MATCH(Edges[[#This Row],[Vertex 2]],GroupVertices[Vertex],0)),1,1,"")</f>
        <v>2</v>
      </c>
      <c r="S676" s="35"/>
      <c r="T676" s="35"/>
      <c r="U676" s="35"/>
      <c r="V676" s="35"/>
      <c r="W676" s="35"/>
      <c r="X676" s="35"/>
      <c r="Y676" s="35"/>
      <c r="Z676" s="35"/>
      <c r="AA676" s="35"/>
    </row>
    <row r="677" spans="1:27" ht="15">
      <c r="A677" s="65" t="s">
        <v>231</v>
      </c>
      <c r="B677" s="65" t="s">
        <v>232</v>
      </c>
      <c r="C677" s="66" t="s">
        <v>1612</v>
      </c>
      <c r="D677" s="67">
        <v>5</v>
      </c>
      <c r="E677" s="68"/>
      <c r="F677" s="69">
        <v>25</v>
      </c>
      <c r="G677" s="66"/>
      <c r="H677" s="70"/>
      <c r="I677" s="71"/>
      <c r="J677" s="71"/>
      <c r="K677" s="35" t="s">
        <v>66</v>
      </c>
      <c r="L677" s="79">
        <v>677</v>
      </c>
      <c r="M677" s="79"/>
      <c r="N677" s="73"/>
      <c r="O677" s="81" t="s">
        <v>377</v>
      </c>
      <c r="P677">
        <v>1</v>
      </c>
      <c r="Q677" s="80" t="str">
        <f>REPLACE(INDEX(GroupVertices[Group],MATCH(Edges[[#This Row],[Vertex 1]],GroupVertices[Vertex],0)),1,1,"")</f>
        <v>1</v>
      </c>
      <c r="R677" s="80" t="str">
        <f>REPLACE(INDEX(GroupVertices[Group],MATCH(Edges[[#This Row],[Vertex 2]],GroupVertices[Vertex],0)),1,1,"")</f>
        <v>1</v>
      </c>
      <c r="S677" s="35"/>
      <c r="T677" s="35"/>
      <c r="U677" s="35"/>
      <c r="V677" s="35"/>
      <c r="W677" s="35"/>
      <c r="X677" s="35"/>
      <c r="Y677" s="35"/>
      <c r="Z677" s="35"/>
      <c r="AA677" s="35"/>
    </row>
    <row r="678" spans="1:27" ht="15">
      <c r="A678" s="65" t="s">
        <v>232</v>
      </c>
      <c r="B678" s="65" t="s">
        <v>221</v>
      </c>
      <c r="C678" s="66" t="s">
        <v>1612</v>
      </c>
      <c r="D678" s="67">
        <v>5</v>
      </c>
      <c r="E678" s="68"/>
      <c r="F678" s="69">
        <v>25</v>
      </c>
      <c r="G678" s="66"/>
      <c r="H678" s="70"/>
      <c r="I678" s="71"/>
      <c r="J678" s="71"/>
      <c r="K678" s="35" t="s">
        <v>66</v>
      </c>
      <c r="L678" s="79">
        <v>678</v>
      </c>
      <c r="M678" s="79"/>
      <c r="N678" s="73"/>
      <c r="O678" s="81" t="s">
        <v>377</v>
      </c>
      <c r="P678">
        <v>1</v>
      </c>
      <c r="Q678" s="80" t="str">
        <f>REPLACE(INDEX(GroupVertices[Group],MATCH(Edges[[#This Row],[Vertex 1]],GroupVertices[Vertex],0)),1,1,"")</f>
        <v>1</v>
      </c>
      <c r="R678" s="80" t="str">
        <f>REPLACE(INDEX(GroupVertices[Group],MATCH(Edges[[#This Row],[Vertex 2]],GroupVertices[Vertex],0)),1,1,"")</f>
        <v>1</v>
      </c>
      <c r="S678" s="35"/>
      <c r="T678" s="35"/>
      <c r="U678" s="35"/>
      <c r="V678" s="35"/>
      <c r="W678" s="35"/>
      <c r="X678" s="35"/>
      <c r="Y678" s="35"/>
      <c r="Z678" s="35"/>
      <c r="AA678" s="35"/>
    </row>
    <row r="679" spans="1:27" ht="15">
      <c r="A679" s="65" t="s">
        <v>232</v>
      </c>
      <c r="B679" s="65" t="s">
        <v>230</v>
      </c>
      <c r="C679" s="66" t="s">
        <v>1612</v>
      </c>
      <c r="D679" s="67">
        <v>5</v>
      </c>
      <c r="E679" s="68"/>
      <c r="F679" s="69">
        <v>25</v>
      </c>
      <c r="G679" s="66"/>
      <c r="H679" s="70"/>
      <c r="I679" s="71"/>
      <c r="J679" s="71"/>
      <c r="K679" s="35" t="s">
        <v>66</v>
      </c>
      <c r="L679" s="79">
        <v>679</v>
      </c>
      <c r="M679" s="79"/>
      <c r="N679" s="73"/>
      <c r="O679" s="81" t="s">
        <v>377</v>
      </c>
      <c r="P679">
        <v>1</v>
      </c>
      <c r="Q679" s="80" t="str">
        <f>REPLACE(INDEX(GroupVertices[Group],MATCH(Edges[[#This Row],[Vertex 1]],GroupVertices[Vertex],0)),1,1,"")</f>
        <v>1</v>
      </c>
      <c r="R679" s="80" t="str">
        <f>REPLACE(INDEX(GroupVertices[Group],MATCH(Edges[[#This Row],[Vertex 2]],GroupVertices[Vertex],0)),1,1,"")</f>
        <v>2</v>
      </c>
      <c r="S679" s="35"/>
      <c r="T679" s="35"/>
      <c r="U679" s="35"/>
      <c r="V679" s="35"/>
      <c r="W679" s="35"/>
      <c r="X679" s="35"/>
      <c r="Y679" s="35"/>
      <c r="Z679" s="35"/>
      <c r="AA679" s="35"/>
    </row>
    <row r="680" spans="1:27" ht="15">
      <c r="A680" s="65" t="s">
        <v>232</v>
      </c>
      <c r="B680" s="65" t="s">
        <v>231</v>
      </c>
      <c r="C680" s="66" t="s">
        <v>1612</v>
      </c>
      <c r="D680" s="67">
        <v>5</v>
      </c>
      <c r="E680" s="68"/>
      <c r="F680" s="69">
        <v>25</v>
      </c>
      <c r="G680" s="66"/>
      <c r="H680" s="70"/>
      <c r="I680" s="71"/>
      <c r="J680" s="71"/>
      <c r="K680" s="35" t="s">
        <v>66</v>
      </c>
      <c r="L680" s="79">
        <v>680</v>
      </c>
      <c r="M680" s="79"/>
      <c r="N680" s="73"/>
      <c r="O680" s="81" t="s">
        <v>377</v>
      </c>
      <c r="P680">
        <v>1</v>
      </c>
      <c r="Q680" s="80" t="str">
        <f>REPLACE(INDEX(GroupVertices[Group],MATCH(Edges[[#This Row],[Vertex 1]],GroupVertices[Vertex],0)),1,1,"")</f>
        <v>1</v>
      </c>
      <c r="R680" s="80" t="str">
        <f>REPLACE(INDEX(GroupVertices[Group],MATCH(Edges[[#This Row],[Vertex 2]],GroupVertices[Vertex],0)),1,1,"")</f>
        <v>1</v>
      </c>
      <c r="S680" s="35"/>
      <c r="T680" s="35"/>
      <c r="U680" s="35"/>
      <c r="V680" s="35"/>
      <c r="W680" s="35"/>
      <c r="X680" s="35"/>
      <c r="Y680" s="35"/>
      <c r="Z680" s="35"/>
      <c r="AA680" s="35"/>
    </row>
    <row r="681" spans="1:27" ht="15">
      <c r="A681" s="65" t="s">
        <v>232</v>
      </c>
      <c r="B681" s="65" t="s">
        <v>223</v>
      </c>
      <c r="C681" s="66" t="s">
        <v>1612</v>
      </c>
      <c r="D681" s="67">
        <v>5</v>
      </c>
      <c r="E681" s="68"/>
      <c r="F681" s="69">
        <v>25</v>
      </c>
      <c r="G681" s="66"/>
      <c r="H681" s="70"/>
      <c r="I681" s="71"/>
      <c r="J681" s="71"/>
      <c r="K681" s="35" t="s">
        <v>66</v>
      </c>
      <c r="L681" s="79">
        <v>681</v>
      </c>
      <c r="M681" s="79"/>
      <c r="N681" s="73"/>
      <c r="O681" s="81" t="s">
        <v>377</v>
      </c>
      <c r="P681">
        <v>1</v>
      </c>
      <c r="Q681" s="80" t="str">
        <f>REPLACE(INDEX(GroupVertices[Group],MATCH(Edges[[#This Row],[Vertex 1]],GroupVertices[Vertex],0)),1,1,"")</f>
        <v>1</v>
      </c>
      <c r="R681" s="80" t="str">
        <f>REPLACE(INDEX(GroupVertices[Group],MATCH(Edges[[#This Row],[Vertex 2]],GroupVertices[Vertex],0)),1,1,"")</f>
        <v>1</v>
      </c>
      <c r="S681" s="35"/>
      <c r="T681" s="35"/>
      <c r="U681" s="35"/>
      <c r="V681" s="35"/>
      <c r="W681" s="35"/>
      <c r="X681" s="35"/>
      <c r="Y681" s="35"/>
      <c r="Z681" s="35"/>
      <c r="AA681" s="35"/>
    </row>
    <row r="682" spans="1:27" ht="15">
      <c r="A682" s="65" t="s">
        <v>232</v>
      </c>
      <c r="B682" s="65" t="s">
        <v>231</v>
      </c>
      <c r="C682" s="66" t="s">
        <v>1612</v>
      </c>
      <c r="D682" s="67">
        <v>5</v>
      </c>
      <c r="E682" s="68"/>
      <c r="F682" s="69">
        <v>25</v>
      </c>
      <c r="G682" s="66"/>
      <c r="H682" s="70"/>
      <c r="I682" s="71"/>
      <c r="J682" s="71"/>
      <c r="K682" s="35" t="s">
        <v>66</v>
      </c>
      <c r="L682" s="79">
        <v>682</v>
      </c>
      <c r="M682" s="79"/>
      <c r="N682" s="73"/>
      <c r="O682" s="81" t="s">
        <v>379</v>
      </c>
      <c r="P682">
        <v>1</v>
      </c>
      <c r="Q682" s="80" t="str">
        <f>REPLACE(INDEX(GroupVertices[Group],MATCH(Edges[[#This Row],[Vertex 1]],GroupVertices[Vertex],0)),1,1,"")</f>
        <v>1</v>
      </c>
      <c r="R682" s="80" t="str">
        <f>REPLACE(INDEX(GroupVertices[Group],MATCH(Edges[[#This Row],[Vertex 2]],GroupVertices[Vertex],0)),1,1,"")</f>
        <v>1</v>
      </c>
      <c r="S682" s="35"/>
      <c r="T682" s="35"/>
      <c r="U682" s="35"/>
      <c r="V682" s="35"/>
      <c r="W682" s="35"/>
      <c r="X682" s="35"/>
      <c r="Y682" s="35"/>
      <c r="Z682" s="35"/>
      <c r="AA682" s="35"/>
    </row>
    <row r="683" spans="1:27" ht="15">
      <c r="A683" s="65" t="s">
        <v>219</v>
      </c>
      <c r="B683" s="65" t="s">
        <v>232</v>
      </c>
      <c r="C683" s="66" t="s">
        <v>1612</v>
      </c>
      <c r="D683" s="67">
        <v>5</v>
      </c>
      <c r="E683" s="68"/>
      <c r="F683" s="69">
        <v>25</v>
      </c>
      <c r="G683" s="66"/>
      <c r="H683" s="70"/>
      <c r="I683" s="71"/>
      <c r="J683" s="71"/>
      <c r="K683" s="35" t="s">
        <v>65</v>
      </c>
      <c r="L683" s="79">
        <v>683</v>
      </c>
      <c r="M683" s="79"/>
      <c r="N683" s="73"/>
      <c r="O683" s="81" t="s">
        <v>379</v>
      </c>
      <c r="P683">
        <v>1</v>
      </c>
      <c r="Q683" s="80" t="str">
        <f>REPLACE(INDEX(GroupVertices[Group],MATCH(Edges[[#This Row],[Vertex 1]],GroupVertices[Vertex],0)),1,1,"")</f>
        <v>1</v>
      </c>
      <c r="R683" s="80" t="str">
        <f>REPLACE(INDEX(GroupVertices[Group],MATCH(Edges[[#This Row],[Vertex 2]],GroupVertices[Vertex],0)),1,1,"")</f>
        <v>1</v>
      </c>
      <c r="S683" s="35"/>
      <c r="T683" s="35"/>
      <c r="U683" s="35"/>
      <c r="V683" s="35"/>
      <c r="W683" s="35"/>
      <c r="X683" s="35"/>
      <c r="Y683" s="35"/>
      <c r="Z683" s="35"/>
      <c r="AA683" s="35"/>
    </row>
    <row r="684" spans="1:27" ht="15">
      <c r="A684" s="65" t="s">
        <v>220</v>
      </c>
      <c r="B684" s="65" t="s">
        <v>232</v>
      </c>
      <c r="C684" s="66" t="s">
        <v>1612</v>
      </c>
      <c r="D684" s="67">
        <v>5</v>
      </c>
      <c r="E684" s="68"/>
      <c r="F684" s="69">
        <v>25</v>
      </c>
      <c r="G684" s="66"/>
      <c r="H684" s="70"/>
      <c r="I684" s="71"/>
      <c r="J684" s="71"/>
      <c r="K684" s="35" t="s">
        <v>65</v>
      </c>
      <c r="L684" s="79">
        <v>684</v>
      </c>
      <c r="M684" s="79"/>
      <c r="N684" s="73"/>
      <c r="O684" s="81" t="s">
        <v>379</v>
      </c>
      <c r="P684">
        <v>1</v>
      </c>
      <c r="Q684" s="80" t="str">
        <f>REPLACE(INDEX(GroupVertices[Group],MATCH(Edges[[#This Row],[Vertex 1]],GroupVertices[Vertex],0)),1,1,"")</f>
        <v>2</v>
      </c>
      <c r="R684" s="80" t="str">
        <f>REPLACE(INDEX(GroupVertices[Group],MATCH(Edges[[#This Row],[Vertex 2]],GroupVertices[Vertex],0)),1,1,"")</f>
        <v>1</v>
      </c>
      <c r="S684" s="35"/>
      <c r="T684" s="35"/>
      <c r="U684" s="35"/>
      <c r="V684" s="35"/>
      <c r="W684" s="35"/>
      <c r="X684" s="35"/>
      <c r="Y684" s="35"/>
      <c r="Z684" s="35"/>
      <c r="AA684" s="35"/>
    </row>
    <row r="685" spans="1:27" ht="15">
      <c r="A685" s="65" t="s">
        <v>221</v>
      </c>
      <c r="B685" s="65" t="s">
        <v>232</v>
      </c>
      <c r="C685" s="66" t="s">
        <v>1612</v>
      </c>
      <c r="D685" s="67">
        <v>5</v>
      </c>
      <c r="E685" s="68"/>
      <c r="F685" s="69">
        <v>25</v>
      </c>
      <c r="G685" s="66"/>
      <c r="H685" s="70"/>
      <c r="I685" s="71"/>
      <c r="J685" s="71"/>
      <c r="K685" s="35" t="s">
        <v>66</v>
      </c>
      <c r="L685" s="79">
        <v>685</v>
      </c>
      <c r="M685" s="79"/>
      <c r="N685" s="73"/>
      <c r="O685" s="81" t="s">
        <v>379</v>
      </c>
      <c r="P685">
        <v>1</v>
      </c>
      <c r="Q685" s="80" t="str">
        <f>REPLACE(INDEX(GroupVertices[Group],MATCH(Edges[[#This Row],[Vertex 1]],GroupVertices[Vertex],0)),1,1,"")</f>
        <v>1</v>
      </c>
      <c r="R685" s="80" t="str">
        <f>REPLACE(INDEX(GroupVertices[Group],MATCH(Edges[[#This Row],[Vertex 2]],GroupVertices[Vertex],0)),1,1,"")</f>
        <v>1</v>
      </c>
      <c r="S685" s="35"/>
      <c r="T685" s="35"/>
      <c r="U685" s="35"/>
      <c r="V685" s="35"/>
      <c r="W685" s="35"/>
      <c r="X685" s="35"/>
      <c r="Y685" s="35"/>
      <c r="Z685" s="35"/>
      <c r="AA685" s="35"/>
    </row>
    <row r="686" spans="1:27" ht="15">
      <c r="A686" s="65" t="s">
        <v>222</v>
      </c>
      <c r="B686" s="65" t="s">
        <v>232</v>
      </c>
      <c r="C686" s="66" t="s">
        <v>1612</v>
      </c>
      <c r="D686" s="67">
        <v>5</v>
      </c>
      <c r="E686" s="68"/>
      <c r="F686" s="69">
        <v>25</v>
      </c>
      <c r="G686" s="66"/>
      <c r="H686" s="70"/>
      <c r="I686" s="71"/>
      <c r="J686" s="71"/>
      <c r="K686" s="35" t="s">
        <v>65</v>
      </c>
      <c r="L686" s="79">
        <v>686</v>
      </c>
      <c r="M686" s="79"/>
      <c r="N686" s="73"/>
      <c r="O686" s="81" t="s">
        <v>379</v>
      </c>
      <c r="P686">
        <v>1</v>
      </c>
      <c r="Q686" s="80" t="str">
        <f>REPLACE(INDEX(GroupVertices[Group],MATCH(Edges[[#This Row],[Vertex 1]],GroupVertices[Vertex],0)),1,1,"")</f>
        <v>1</v>
      </c>
      <c r="R686" s="80" t="str">
        <f>REPLACE(INDEX(GroupVertices[Group],MATCH(Edges[[#This Row],[Vertex 2]],GroupVertices[Vertex],0)),1,1,"")</f>
        <v>1</v>
      </c>
      <c r="S686" s="35"/>
      <c r="T686" s="35"/>
      <c r="U686" s="35"/>
      <c r="V686" s="35"/>
      <c r="W686" s="35"/>
      <c r="X686" s="35"/>
      <c r="Y686" s="35"/>
      <c r="Z686" s="35"/>
      <c r="AA686" s="35"/>
    </row>
    <row r="687" spans="1:27" ht="15">
      <c r="A687" s="65" t="s">
        <v>223</v>
      </c>
      <c r="B687" s="65" t="s">
        <v>232</v>
      </c>
      <c r="C687" s="66" t="s">
        <v>1612</v>
      </c>
      <c r="D687" s="67">
        <v>5</v>
      </c>
      <c r="E687" s="68"/>
      <c r="F687" s="69">
        <v>25</v>
      </c>
      <c r="G687" s="66"/>
      <c r="H687" s="70"/>
      <c r="I687" s="71"/>
      <c r="J687" s="71"/>
      <c r="K687" s="35" t="s">
        <v>66</v>
      </c>
      <c r="L687" s="79">
        <v>687</v>
      </c>
      <c r="M687" s="79"/>
      <c r="N687" s="73"/>
      <c r="O687" s="81" t="s">
        <v>379</v>
      </c>
      <c r="P687">
        <v>1</v>
      </c>
      <c r="Q687" s="80" t="str">
        <f>REPLACE(INDEX(GroupVertices[Group],MATCH(Edges[[#This Row],[Vertex 1]],GroupVertices[Vertex],0)),1,1,"")</f>
        <v>1</v>
      </c>
      <c r="R687" s="80" t="str">
        <f>REPLACE(INDEX(GroupVertices[Group],MATCH(Edges[[#This Row],[Vertex 2]],GroupVertices[Vertex],0)),1,1,"")</f>
        <v>1</v>
      </c>
      <c r="S687" s="35"/>
      <c r="T687" s="35"/>
      <c r="U687" s="35"/>
      <c r="V687" s="35"/>
      <c r="W687" s="35"/>
      <c r="X687" s="35"/>
      <c r="Y687" s="35"/>
      <c r="Z687" s="35"/>
      <c r="AA687" s="35"/>
    </row>
    <row r="688" spans="1:27" ht="15">
      <c r="A688" s="65" t="s">
        <v>229</v>
      </c>
      <c r="B688" s="65" t="s">
        <v>232</v>
      </c>
      <c r="C688" s="66" t="s">
        <v>1612</v>
      </c>
      <c r="D688" s="67">
        <v>5</v>
      </c>
      <c r="E688" s="68"/>
      <c r="F688" s="69">
        <v>25</v>
      </c>
      <c r="G688" s="66"/>
      <c r="H688" s="70"/>
      <c r="I688" s="71"/>
      <c r="J688" s="71"/>
      <c r="K688" s="35" t="s">
        <v>65</v>
      </c>
      <c r="L688" s="79">
        <v>688</v>
      </c>
      <c r="M688" s="79"/>
      <c r="N688" s="73"/>
      <c r="O688" s="81" t="s">
        <v>379</v>
      </c>
      <c r="P688">
        <v>1</v>
      </c>
      <c r="Q688" s="80" t="str">
        <f>REPLACE(INDEX(GroupVertices[Group],MATCH(Edges[[#This Row],[Vertex 1]],GroupVertices[Vertex],0)),1,1,"")</f>
        <v>1</v>
      </c>
      <c r="R688" s="80" t="str">
        <f>REPLACE(INDEX(GroupVertices[Group],MATCH(Edges[[#This Row],[Vertex 2]],GroupVertices[Vertex],0)),1,1,"")</f>
        <v>1</v>
      </c>
      <c r="S688" s="35"/>
      <c r="T688" s="35"/>
      <c r="U688" s="35"/>
      <c r="V688" s="35"/>
      <c r="W688" s="35"/>
      <c r="X688" s="35"/>
      <c r="Y688" s="35"/>
      <c r="Z688" s="35"/>
      <c r="AA688" s="35"/>
    </row>
    <row r="689" spans="1:27" ht="15">
      <c r="A689" s="65" t="s">
        <v>230</v>
      </c>
      <c r="B689" s="65" t="s">
        <v>232</v>
      </c>
      <c r="C689" s="66" t="s">
        <v>1612</v>
      </c>
      <c r="D689" s="67">
        <v>5</v>
      </c>
      <c r="E689" s="68"/>
      <c r="F689" s="69">
        <v>25</v>
      </c>
      <c r="G689" s="66"/>
      <c r="H689" s="70"/>
      <c r="I689" s="71"/>
      <c r="J689" s="71"/>
      <c r="K689" s="35" t="s">
        <v>66</v>
      </c>
      <c r="L689" s="79">
        <v>689</v>
      </c>
      <c r="M689" s="79"/>
      <c r="N689" s="73"/>
      <c r="O689" s="81" t="s">
        <v>379</v>
      </c>
      <c r="P689">
        <v>1</v>
      </c>
      <c r="Q689" s="80" t="str">
        <f>REPLACE(INDEX(GroupVertices[Group],MATCH(Edges[[#This Row],[Vertex 1]],GroupVertices[Vertex],0)),1,1,"")</f>
        <v>2</v>
      </c>
      <c r="R689" s="80" t="str">
        <f>REPLACE(INDEX(GroupVertices[Group],MATCH(Edges[[#This Row],[Vertex 2]],GroupVertices[Vertex],0)),1,1,"")</f>
        <v>1</v>
      </c>
      <c r="S689" s="35"/>
      <c r="T689" s="35"/>
      <c r="U689" s="35"/>
      <c r="V689" s="35"/>
      <c r="W689" s="35"/>
      <c r="X689" s="35"/>
      <c r="Y689" s="35"/>
      <c r="Z689" s="35"/>
      <c r="AA689" s="35"/>
    </row>
    <row r="690" spans="1:27" ht="15">
      <c r="A690" s="65" t="s">
        <v>224</v>
      </c>
      <c r="B690" s="65" t="s">
        <v>232</v>
      </c>
      <c r="C690" s="66" t="s">
        <v>1612</v>
      </c>
      <c r="D690" s="67">
        <v>5</v>
      </c>
      <c r="E690" s="68"/>
      <c r="F690" s="69">
        <v>25</v>
      </c>
      <c r="G690" s="66"/>
      <c r="H690" s="70"/>
      <c r="I690" s="71"/>
      <c r="J690" s="71"/>
      <c r="K690" s="35" t="s">
        <v>65</v>
      </c>
      <c r="L690" s="79">
        <v>690</v>
      </c>
      <c r="M690" s="79"/>
      <c r="N690" s="73"/>
      <c r="O690" s="81" t="s">
        <v>379</v>
      </c>
      <c r="P690">
        <v>1</v>
      </c>
      <c r="Q690" s="80" t="str">
        <f>REPLACE(INDEX(GroupVertices[Group],MATCH(Edges[[#This Row],[Vertex 1]],GroupVertices[Vertex],0)),1,1,"")</f>
        <v>1</v>
      </c>
      <c r="R690" s="80" t="str">
        <f>REPLACE(INDEX(GroupVertices[Group],MATCH(Edges[[#This Row],[Vertex 2]],GroupVertices[Vertex],0)),1,1,"")</f>
        <v>1</v>
      </c>
      <c r="S690" s="35"/>
      <c r="T690" s="35"/>
      <c r="U690" s="35"/>
      <c r="V690" s="35"/>
      <c r="W690" s="35"/>
      <c r="X690" s="35"/>
      <c r="Y690" s="35"/>
      <c r="Z690" s="35"/>
      <c r="AA690" s="35"/>
    </row>
    <row r="691" spans="1:27" ht="15">
      <c r="A691" s="65" t="s">
        <v>225</v>
      </c>
      <c r="B691" s="65" t="s">
        <v>232</v>
      </c>
      <c r="C691" s="66" t="s">
        <v>1612</v>
      </c>
      <c r="D691" s="67">
        <v>5</v>
      </c>
      <c r="E691" s="68"/>
      <c r="F691" s="69">
        <v>25</v>
      </c>
      <c r="G691" s="66"/>
      <c r="H691" s="70"/>
      <c r="I691" s="71"/>
      <c r="J691" s="71"/>
      <c r="K691" s="35" t="s">
        <v>65</v>
      </c>
      <c r="L691" s="79">
        <v>691</v>
      </c>
      <c r="M691" s="79"/>
      <c r="N691" s="73"/>
      <c r="O691" s="81" t="s">
        <v>379</v>
      </c>
      <c r="P691">
        <v>1</v>
      </c>
      <c r="Q691" s="80" t="str">
        <f>REPLACE(INDEX(GroupVertices[Group],MATCH(Edges[[#This Row],[Vertex 1]],GroupVertices[Vertex],0)),1,1,"")</f>
        <v>1</v>
      </c>
      <c r="R691" s="80" t="str">
        <f>REPLACE(INDEX(GroupVertices[Group],MATCH(Edges[[#This Row],[Vertex 2]],GroupVertices[Vertex],0)),1,1,"")</f>
        <v>1</v>
      </c>
      <c r="S691" s="35"/>
      <c r="T691" s="35"/>
      <c r="U691" s="35"/>
      <c r="V691" s="35"/>
      <c r="W691" s="35"/>
      <c r="X691" s="35"/>
      <c r="Y691" s="35"/>
      <c r="Z691" s="35"/>
      <c r="AA691" s="35"/>
    </row>
    <row r="692" spans="1:27" ht="15">
      <c r="A692" s="65" t="s">
        <v>232</v>
      </c>
      <c r="B692" s="65" t="s">
        <v>221</v>
      </c>
      <c r="C692" s="66" t="s">
        <v>1612</v>
      </c>
      <c r="D692" s="67">
        <v>5</v>
      </c>
      <c r="E692" s="68"/>
      <c r="F692" s="69">
        <v>25</v>
      </c>
      <c r="G692" s="66"/>
      <c r="H692" s="70"/>
      <c r="I692" s="71"/>
      <c r="J692" s="71"/>
      <c r="K692" s="35" t="s">
        <v>66</v>
      </c>
      <c r="L692" s="79">
        <v>692</v>
      </c>
      <c r="M692" s="79"/>
      <c r="N692" s="73"/>
      <c r="O692" s="81" t="s">
        <v>378</v>
      </c>
      <c r="P692">
        <v>1</v>
      </c>
      <c r="Q692" s="80" t="str">
        <f>REPLACE(INDEX(GroupVertices[Group],MATCH(Edges[[#This Row],[Vertex 1]],GroupVertices[Vertex],0)),1,1,"")</f>
        <v>1</v>
      </c>
      <c r="R692" s="80" t="str">
        <f>REPLACE(INDEX(GroupVertices[Group],MATCH(Edges[[#This Row],[Vertex 2]],GroupVertices[Vertex],0)),1,1,"")</f>
        <v>1</v>
      </c>
      <c r="S692" s="35"/>
      <c r="T692" s="35"/>
      <c r="U692" s="35"/>
      <c r="V692" s="35"/>
      <c r="W692" s="35"/>
      <c r="X692" s="35"/>
      <c r="Y692" s="35"/>
      <c r="Z692" s="35"/>
      <c r="AA692" s="35"/>
    </row>
    <row r="693" spans="1:27" ht="15">
      <c r="A693" s="65" t="s">
        <v>232</v>
      </c>
      <c r="B693" s="65" t="s">
        <v>230</v>
      </c>
      <c r="C693" s="66" t="s">
        <v>1612</v>
      </c>
      <c r="D693" s="67">
        <v>5</v>
      </c>
      <c r="E693" s="68"/>
      <c r="F693" s="69">
        <v>25</v>
      </c>
      <c r="G693" s="66"/>
      <c r="H693" s="70"/>
      <c r="I693" s="71"/>
      <c r="J693" s="71"/>
      <c r="K693" s="35" t="s">
        <v>66</v>
      </c>
      <c r="L693" s="79">
        <v>693</v>
      </c>
      <c r="M693" s="79"/>
      <c r="N693" s="73"/>
      <c r="O693" s="81" t="s">
        <v>378</v>
      </c>
      <c r="P693">
        <v>1</v>
      </c>
      <c r="Q693" s="80" t="str">
        <f>REPLACE(INDEX(GroupVertices[Group],MATCH(Edges[[#This Row],[Vertex 1]],GroupVertices[Vertex],0)),1,1,"")</f>
        <v>1</v>
      </c>
      <c r="R693" s="80" t="str">
        <f>REPLACE(INDEX(GroupVertices[Group],MATCH(Edges[[#This Row],[Vertex 2]],GroupVertices[Vertex],0)),1,1,"")</f>
        <v>2</v>
      </c>
      <c r="S693" s="35"/>
      <c r="T693" s="35"/>
      <c r="U693" s="35"/>
      <c r="V693" s="35"/>
      <c r="W693" s="35"/>
      <c r="X693" s="35"/>
      <c r="Y693" s="35"/>
      <c r="Z693" s="35"/>
      <c r="AA693" s="35"/>
    </row>
    <row r="694" spans="1:27" ht="15">
      <c r="A694" s="65" t="s">
        <v>232</v>
      </c>
      <c r="B694" s="65" t="s">
        <v>231</v>
      </c>
      <c r="C694" s="66" t="s">
        <v>1612</v>
      </c>
      <c r="D694" s="67">
        <v>5</v>
      </c>
      <c r="E694" s="68"/>
      <c r="F694" s="69">
        <v>25</v>
      </c>
      <c r="G694" s="66"/>
      <c r="H694" s="70"/>
      <c r="I694" s="71"/>
      <c r="J694" s="71"/>
      <c r="K694" s="35" t="s">
        <v>66</v>
      </c>
      <c r="L694" s="79">
        <v>694</v>
      </c>
      <c r="M694" s="79"/>
      <c r="N694" s="73"/>
      <c r="O694" s="81" t="s">
        <v>378</v>
      </c>
      <c r="P694">
        <v>1</v>
      </c>
      <c r="Q694" s="80" t="str">
        <f>REPLACE(INDEX(GroupVertices[Group],MATCH(Edges[[#This Row],[Vertex 1]],GroupVertices[Vertex],0)),1,1,"")</f>
        <v>1</v>
      </c>
      <c r="R694" s="80" t="str">
        <f>REPLACE(INDEX(GroupVertices[Group],MATCH(Edges[[#This Row],[Vertex 2]],GroupVertices[Vertex],0)),1,1,"")</f>
        <v>1</v>
      </c>
      <c r="S694" s="35"/>
      <c r="T694" s="35"/>
      <c r="U694" s="35"/>
      <c r="V694" s="35"/>
      <c r="W694" s="35"/>
      <c r="X694" s="35"/>
      <c r="Y694" s="35"/>
      <c r="Z694" s="35"/>
      <c r="AA694" s="35"/>
    </row>
    <row r="695" spans="1:27" ht="15">
      <c r="A695" s="65" t="s">
        <v>232</v>
      </c>
      <c r="B695" s="65" t="s">
        <v>223</v>
      </c>
      <c r="C695" s="66" t="s">
        <v>1612</v>
      </c>
      <c r="D695" s="67">
        <v>5</v>
      </c>
      <c r="E695" s="68"/>
      <c r="F695" s="69">
        <v>25</v>
      </c>
      <c r="G695" s="66"/>
      <c r="H695" s="70"/>
      <c r="I695" s="71"/>
      <c r="J695" s="71"/>
      <c r="K695" s="35" t="s">
        <v>66</v>
      </c>
      <c r="L695" s="79">
        <v>695</v>
      </c>
      <c r="M695" s="79"/>
      <c r="N695" s="73"/>
      <c r="O695" s="81" t="s">
        <v>378</v>
      </c>
      <c r="P695">
        <v>1</v>
      </c>
      <c r="Q695" s="80" t="str">
        <f>REPLACE(INDEX(GroupVertices[Group],MATCH(Edges[[#This Row],[Vertex 1]],GroupVertices[Vertex],0)),1,1,"")</f>
        <v>1</v>
      </c>
      <c r="R695" s="80" t="str">
        <f>REPLACE(INDEX(GroupVertices[Group],MATCH(Edges[[#This Row],[Vertex 2]],GroupVertices[Vertex],0)),1,1,"")</f>
        <v>1</v>
      </c>
      <c r="S695" s="35"/>
      <c r="T695" s="35"/>
      <c r="U695" s="35"/>
      <c r="V695" s="35"/>
      <c r="W695" s="35"/>
      <c r="X695" s="35"/>
      <c r="Y695" s="35"/>
      <c r="Z695" s="35"/>
      <c r="AA695" s="35"/>
    </row>
    <row r="696" spans="1:27" ht="15">
      <c r="A696" s="65" t="s">
        <v>231</v>
      </c>
      <c r="B696" s="65" t="s">
        <v>232</v>
      </c>
      <c r="C696" s="66" t="s">
        <v>1612</v>
      </c>
      <c r="D696" s="67">
        <v>5</v>
      </c>
      <c r="E696" s="68"/>
      <c r="F696" s="69">
        <v>25</v>
      </c>
      <c r="G696" s="66"/>
      <c r="H696" s="70"/>
      <c r="I696" s="71"/>
      <c r="J696" s="71"/>
      <c r="K696" s="35" t="s">
        <v>66</v>
      </c>
      <c r="L696" s="79">
        <v>696</v>
      </c>
      <c r="M696" s="79"/>
      <c r="N696" s="73"/>
      <c r="O696" s="81" t="s">
        <v>378</v>
      </c>
      <c r="P696">
        <v>1</v>
      </c>
      <c r="Q696" s="80" t="str">
        <f>REPLACE(INDEX(GroupVertices[Group],MATCH(Edges[[#This Row],[Vertex 1]],GroupVertices[Vertex],0)),1,1,"")</f>
        <v>1</v>
      </c>
      <c r="R696" s="80" t="str">
        <f>REPLACE(INDEX(GroupVertices[Group],MATCH(Edges[[#This Row],[Vertex 2]],GroupVertices[Vertex],0)),1,1,"")</f>
        <v>1</v>
      </c>
      <c r="S696" s="35"/>
      <c r="T696" s="35"/>
      <c r="U696" s="35"/>
      <c r="V696" s="35"/>
      <c r="W696" s="35"/>
      <c r="X696" s="35"/>
      <c r="Y696" s="35"/>
      <c r="Z696" s="35"/>
      <c r="AA696" s="35"/>
    </row>
    <row r="697" spans="1:27" ht="15">
      <c r="A697" s="65" t="s">
        <v>231</v>
      </c>
      <c r="B697" s="65" t="s">
        <v>219</v>
      </c>
      <c r="C697" s="66" t="s">
        <v>1612</v>
      </c>
      <c r="D697" s="67">
        <v>5</v>
      </c>
      <c r="E697" s="68"/>
      <c r="F697" s="69">
        <v>25</v>
      </c>
      <c r="G697" s="66"/>
      <c r="H697" s="70"/>
      <c r="I697" s="71"/>
      <c r="J697" s="71"/>
      <c r="K697" s="35" t="s">
        <v>66</v>
      </c>
      <c r="L697" s="79">
        <v>697</v>
      </c>
      <c r="M697" s="79"/>
      <c r="N697" s="73"/>
      <c r="O697" s="81" t="s">
        <v>377</v>
      </c>
      <c r="P697">
        <v>1</v>
      </c>
      <c r="Q697" s="80" t="str">
        <f>REPLACE(INDEX(GroupVertices[Group],MATCH(Edges[[#This Row],[Vertex 1]],GroupVertices[Vertex],0)),1,1,"")</f>
        <v>1</v>
      </c>
      <c r="R697" s="80" t="str">
        <f>REPLACE(INDEX(GroupVertices[Group],MATCH(Edges[[#This Row],[Vertex 2]],GroupVertices[Vertex],0)),1,1,"")</f>
        <v>1</v>
      </c>
      <c r="S697" s="35"/>
      <c r="T697" s="35"/>
      <c r="U697" s="35"/>
      <c r="V697" s="35"/>
      <c r="W697" s="35"/>
      <c r="X697" s="35"/>
      <c r="Y697" s="35"/>
      <c r="Z697" s="35"/>
      <c r="AA697" s="35"/>
    </row>
    <row r="698" spans="1:27" ht="15">
      <c r="A698" s="65" t="s">
        <v>219</v>
      </c>
      <c r="B698" s="65" t="s">
        <v>222</v>
      </c>
      <c r="C698" s="66" t="s">
        <v>1612</v>
      </c>
      <c r="D698" s="67">
        <v>5</v>
      </c>
      <c r="E698" s="68"/>
      <c r="F698" s="69">
        <v>25</v>
      </c>
      <c r="G698" s="66"/>
      <c r="H698" s="70"/>
      <c r="I698" s="71"/>
      <c r="J698" s="71"/>
      <c r="K698" s="35" t="s">
        <v>66</v>
      </c>
      <c r="L698" s="79">
        <v>698</v>
      </c>
      <c r="M698" s="79"/>
      <c r="N698" s="73"/>
      <c r="O698" s="81" t="s">
        <v>377</v>
      </c>
      <c r="P698">
        <v>1</v>
      </c>
      <c r="Q698" s="80" t="str">
        <f>REPLACE(INDEX(GroupVertices[Group],MATCH(Edges[[#This Row],[Vertex 1]],GroupVertices[Vertex],0)),1,1,"")</f>
        <v>1</v>
      </c>
      <c r="R698" s="80" t="str">
        <f>REPLACE(INDEX(GroupVertices[Group],MATCH(Edges[[#This Row],[Vertex 2]],GroupVertices[Vertex],0)),1,1,"")</f>
        <v>1</v>
      </c>
      <c r="S698" s="35"/>
      <c r="T698" s="35"/>
      <c r="U698" s="35"/>
      <c r="V698" s="35"/>
      <c r="W698" s="35"/>
      <c r="X698" s="35"/>
      <c r="Y698" s="35"/>
      <c r="Z698" s="35"/>
      <c r="AA698" s="35"/>
    </row>
    <row r="699" spans="1:27" ht="15">
      <c r="A699" s="65" t="s">
        <v>219</v>
      </c>
      <c r="B699" s="65" t="s">
        <v>231</v>
      </c>
      <c r="C699" s="66" t="s">
        <v>1612</v>
      </c>
      <c r="D699" s="67">
        <v>5</v>
      </c>
      <c r="E699" s="68"/>
      <c r="F699" s="69">
        <v>25</v>
      </c>
      <c r="G699" s="66"/>
      <c r="H699" s="70"/>
      <c r="I699" s="71"/>
      <c r="J699" s="71"/>
      <c r="K699" s="35" t="s">
        <v>66</v>
      </c>
      <c r="L699" s="79">
        <v>699</v>
      </c>
      <c r="M699" s="79"/>
      <c r="N699" s="73"/>
      <c r="O699" s="81" t="s">
        <v>377</v>
      </c>
      <c r="P699">
        <v>1</v>
      </c>
      <c r="Q699" s="80" t="str">
        <f>REPLACE(INDEX(GroupVertices[Group],MATCH(Edges[[#This Row],[Vertex 1]],GroupVertices[Vertex],0)),1,1,"")</f>
        <v>1</v>
      </c>
      <c r="R699" s="80" t="str">
        <f>REPLACE(INDEX(GroupVertices[Group],MATCH(Edges[[#This Row],[Vertex 2]],GroupVertices[Vertex],0)),1,1,"")</f>
        <v>1</v>
      </c>
      <c r="S699" s="35"/>
      <c r="T699" s="35"/>
      <c r="U699" s="35"/>
      <c r="V699" s="35"/>
      <c r="W699" s="35"/>
      <c r="X699" s="35"/>
      <c r="Y699" s="35"/>
      <c r="Z699" s="35"/>
      <c r="AA699" s="35"/>
    </row>
    <row r="700" spans="1:27" ht="15">
      <c r="A700" s="65" t="s">
        <v>224</v>
      </c>
      <c r="B700" s="65" t="s">
        <v>219</v>
      </c>
      <c r="C700" s="66" t="s">
        <v>1612</v>
      </c>
      <c r="D700" s="67">
        <v>5</v>
      </c>
      <c r="E700" s="68"/>
      <c r="F700" s="69">
        <v>25</v>
      </c>
      <c r="G700" s="66"/>
      <c r="H700" s="70"/>
      <c r="I700" s="71"/>
      <c r="J700" s="71"/>
      <c r="K700" s="35" t="s">
        <v>65</v>
      </c>
      <c r="L700" s="79">
        <v>700</v>
      </c>
      <c r="M700" s="79"/>
      <c r="N700" s="73"/>
      <c r="O700" s="81" t="s">
        <v>377</v>
      </c>
      <c r="P700">
        <v>1</v>
      </c>
      <c r="Q700" s="80" t="str">
        <f>REPLACE(INDEX(GroupVertices[Group],MATCH(Edges[[#This Row],[Vertex 1]],GroupVertices[Vertex],0)),1,1,"")</f>
        <v>1</v>
      </c>
      <c r="R700" s="80" t="str">
        <f>REPLACE(INDEX(GroupVertices[Group],MATCH(Edges[[#This Row],[Vertex 2]],GroupVertices[Vertex],0)),1,1,"")</f>
        <v>1</v>
      </c>
      <c r="S700" s="35"/>
      <c r="T700" s="35"/>
      <c r="U700" s="35"/>
      <c r="V700" s="35"/>
      <c r="W700" s="35"/>
      <c r="X700" s="35"/>
      <c r="Y700" s="35"/>
      <c r="Z700" s="35"/>
      <c r="AA700" s="35"/>
    </row>
    <row r="701" spans="1:27" ht="15">
      <c r="A701" s="65" t="s">
        <v>225</v>
      </c>
      <c r="B701" s="65" t="s">
        <v>219</v>
      </c>
      <c r="C701" s="66" t="s">
        <v>1612</v>
      </c>
      <c r="D701" s="67">
        <v>5</v>
      </c>
      <c r="E701" s="68"/>
      <c r="F701" s="69">
        <v>25</v>
      </c>
      <c r="G701" s="66"/>
      <c r="H701" s="70"/>
      <c r="I701" s="71"/>
      <c r="J701" s="71"/>
      <c r="K701" s="35" t="s">
        <v>65</v>
      </c>
      <c r="L701" s="79">
        <v>701</v>
      </c>
      <c r="M701" s="79"/>
      <c r="N701" s="73"/>
      <c r="O701" s="81" t="s">
        <v>377</v>
      </c>
      <c r="P701">
        <v>1</v>
      </c>
      <c r="Q701" s="80" t="str">
        <f>REPLACE(INDEX(GroupVertices[Group],MATCH(Edges[[#This Row],[Vertex 1]],GroupVertices[Vertex],0)),1,1,"")</f>
        <v>1</v>
      </c>
      <c r="R701" s="80" t="str">
        <f>REPLACE(INDEX(GroupVertices[Group],MATCH(Edges[[#This Row],[Vertex 2]],GroupVertices[Vertex],0)),1,1,"")</f>
        <v>1</v>
      </c>
      <c r="S701" s="35"/>
      <c r="T701" s="35"/>
      <c r="U701" s="35"/>
      <c r="V701" s="35"/>
      <c r="W701" s="35"/>
      <c r="X701" s="35"/>
      <c r="Y701" s="35"/>
      <c r="Z701" s="35"/>
      <c r="AA701" s="35"/>
    </row>
    <row r="702" spans="1:27" ht="15">
      <c r="A702" s="65" t="s">
        <v>219</v>
      </c>
      <c r="B702" s="65" t="s">
        <v>231</v>
      </c>
      <c r="C702" s="66" t="s">
        <v>1612</v>
      </c>
      <c r="D702" s="67">
        <v>5</v>
      </c>
      <c r="E702" s="68"/>
      <c r="F702" s="69">
        <v>25</v>
      </c>
      <c r="G702" s="66"/>
      <c r="H702" s="70"/>
      <c r="I702" s="71"/>
      <c r="J702" s="71"/>
      <c r="K702" s="35" t="s">
        <v>66</v>
      </c>
      <c r="L702" s="79">
        <v>702</v>
      </c>
      <c r="M702" s="79"/>
      <c r="N702" s="73"/>
      <c r="O702" s="81" t="s">
        <v>379</v>
      </c>
      <c r="P702">
        <v>1</v>
      </c>
      <c r="Q702" s="80" t="str">
        <f>REPLACE(INDEX(GroupVertices[Group],MATCH(Edges[[#This Row],[Vertex 1]],GroupVertices[Vertex],0)),1,1,"")</f>
        <v>1</v>
      </c>
      <c r="R702" s="80" t="str">
        <f>REPLACE(INDEX(GroupVertices[Group],MATCH(Edges[[#This Row],[Vertex 2]],GroupVertices[Vertex],0)),1,1,"")</f>
        <v>1</v>
      </c>
      <c r="S702" s="35"/>
      <c r="T702" s="35"/>
      <c r="U702" s="35"/>
      <c r="V702" s="35"/>
      <c r="W702" s="35"/>
      <c r="X702" s="35"/>
      <c r="Y702" s="35"/>
      <c r="Z702" s="35"/>
      <c r="AA702" s="35"/>
    </row>
    <row r="703" spans="1:27" ht="15">
      <c r="A703" s="65" t="s">
        <v>220</v>
      </c>
      <c r="B703" s="65" t="s">
        <v>219</v>
      </c>
      <c r="C703" s="66" t="s">
        <v>1612</v>
      </c>
      <c r="D703" s="67">
        <v>5</v>
      </c>
      <c r="E703" s="68"/>
      <c r="F703" s="69">
        <v>25</v>
      </c>
      <c r="G703" s="66"/>
      <c r="H703" s="70"/>
      <c r="I703" s="71"/>
      <c r="J703" s="71"/>
      <c r="K703" s="35" t="s">
        <v>65</v>
      </c>
      <c r="L703" s="79">
        <v>703</v>
      </c>
      <c r="M703" s="79"/>
      <c r="N703" s="73"/>
      <c r="O703" s="81" t="s">
        <v>379</v>
      </c>
      <c r="P703">
        <v>1</v>
      </c>
      <c r="Q703" s="80" t="str">
        <f>REPLACE(INDEX(GroupVertices[Group],MATCH(Edges[[#This Row],[Vertex 1]],GroupVertices[Vertex],0)),1,1,"")</f>
        <v>2</v>
      </c>
      <c r="R703" s="80" t="str">
        <f>REPLACE(INDEX(GroupVertices[Group],MATCH(Edges[[#This Row],[Vertex 2]],GroupVertices[Vertex],0)),1,1,"")</f>
        <v>1</v>
      </c>
      <c r="S703" s="35"/>
      <c r="T703" s="35"/>
      <c r="U703" s="35"/>
      <c r="V703" s="35"/>
      <c r="W703" s="35"/>
      <c r="X703" s="35"/>
      <c r="Y703" s="35"/>
      <c r="Z703" s="35"/>
      <c r="AA703" s="35"/>
    </row>
    <row r="704" spans="1:27" ht="15">
      <c r="A704" s="65" t="s">
        <v>221</v>
      </c>
      <c r="B704" s="65" t="s">
        <v>219</v>
      </c>
      <c r="C704" s="66" t="s">
        <v>1612</v>
      </c>
      <c r="D704" s="67">
        <v>5</v>
      </c>
      <c r="E704" s="68"/>
      <c r="F704" s="69">
        <v>25</v>
      </c>
      <c r="G704" s="66"/>
      <c r="H704" s="70"/>
      <c r="I704" s="71"/>
      <c r="J704" s="71"/>
      <c r="K704" s="35" t="s">
        <v>65</v>
      </c>
      <c r="L704" s="79">
        <v>704</v>
      </c>
      <c r="M704" s="79"/>
      <c r="N704" s="73"/>
      <c r="O704" s="81" t="s">
        <v>379</v>
      </c>
      <c r="P704">
        <v>1</v>
      </c>
      <c r="Q704" s="80" t="str">
        <f>REPLACE(INDEX(GroupVertices[Group],MATCH(Edges[[#This Row],[Vertex 1]],GroupVertices[Vertex],0)),1,1,"")</f>
        <v>1</v>
      </c>
      <c r="R704" s="80" t="str">
        <f>REPLACE(INDEX(GroupVertices[Group],MATCH(Edges[[#This Row],[Vertex 2]],GroupVertices[Vertex],0)),1,1,"")</f>
        <v>1</v>
      </c>
      <c r="S704" s="35"/>
      <c r="T704" s="35"/>
      <c r="U704" s="35"/>
      <c r="V704" s="35"/>
      <c r="W704" s="35"/>
      <c r="X704" s="35"/>
      <c r="Y704" s="35"/>
      <c r="Z704" s="35"/>
      <c r="AA704" s="35"/>
    </row>
    <row r="705" spans="1:27" ht="15">
      <c r="A705" s="65" t="s">
        <v>222</v>
      </c>
      <c r="B705" s="65" t="s">
        <v>219</v>
      </c>
      <c r="C705" s="66" t="s">
        <v>1612</v>
      </c>
      <c r="D705" s="67">
        <v>5</v>
      </c>
      <c r="E705" s="68"/>
      <c r="F705" s="69">
        <v>25</v>
      </c>
      <c r="G705" s="66"/>
      <c r="H705" s="70"/>
      <c r="I705" s="71"/>
      <c r="J705" s="71"/>
      <c r="K705" s="35" t="s">
        <v>66</v>
      </c>
      <c r="L705" s="79">
        <v>705</v>
      </c>
      <c r="M705" s="79"/>
      <c r="N705" s="73"/>
      <c r="O705" s="81" t="s">
        <v>379</v>
      </c>
      <c r="P705">
        <v>1</v>
      </c>
      <c r="Q705" s="80" t="str">
        <f>REPLACE(INDEX(GroupVertices[Group],MATCH(Edges[[#This Row],[Vertex 1]],GroupVertices[Vertex],0)),1,1,"")</f>
        <v>1</v>
      </c>
      <c r="R705" s="80" t="str">
        <f>REPLACE(INDEX(GroupVertices[Group],MATCH(Edges[[#This Row],[Vertex 2]],GroupVertices[Vertex],0)),1,1,"")</f>
        <v>1</v>
      </c>
      <c r="S705" s="35"/>
      <c r="T705" s="35"/>
      <c r="U705" s="35"/>
      <c r="V705" s="35"/>
      <c r="W705" s="35"/>
      <c r="X705" s="35"/>
      <c r="Y705" s="35"/>
      <c r="Z705" s="35"/>
      <c r="AA705" s="35"/>
    </row>
    <row r="706" spans="1:27" ht="15">
      <c r="A706" s="65" t="s">
        <v>223</v>
      </c>
      <c r="B706" s="65" t="s">
        <v>219</v>
      </c>
      <c r="C706" s="66" t="s">
        <v>1612</v>
      </c>
      <c r="D706" s="67">
        <v>5</v>
      </c>
      <c r="E706" s="68"/>
      <c r="F706" s="69">
        <v>25</v>
      </c>
      <c r="G706" s="66"/>
      <c r="H706" s="70"/>
      <c r="I706" s="71"/>
      <c r="J706" s="71"/>
      <c r="K706" s="35" t="s">
        <v>65</v>
      </c>
      <c r="L706" s="79">
        <v>706</v>
      </c>
      <c r="M706" s="79"/>
      <c r="N706" s="73"/>
      <c r="O706" s="81" t="s">
        <v>379</v>
      </c>
      <c r="P706">
        <v>1</v>
      </c>
      <c r="Q706" s="80" t="str">
        <f>REPLACE(INDEX(GroupVertices[Group],MATCH(Edges[[#This Row],[Vertex 1]],GroupVertices[Vertex],0)),1,1,"")</f>
        <v>1</v>
      </c>
      <c r="R706" s="80" t="str">
        <f>REPLACE(INDEX(GroupVertices[Group],MATCH(Edges[[#This Row],[Vertex 2]],GroupVertices[Vertex],0)),1,1,"")</f>
        <v>1</v>
      </c>
      <c r="S706" s="35"/>
      <c r="T706" s="35"/>
      <c r="U706" s="35"/>
      <c r="V706" s="35"/>
      <c r="W706" s="35"/>
      <c r="X706" s="35"/>
      <c r="Y706" s="35"/>
      <c r="Z706" s="35"/>
      <c r="AA706" s="35"/>
    </row>
    <row r="707" spans="1:27" ht="15">
      <c r="A707" s="65" t="s">
        <v>229</v>
      </c>
      <c r="B707" s="65" t="s">
        <v>219</v>
      </c>
      <c r="C707" s="66" t="s">
        <v>1612</v>
      </c>
      <c r="D707" s="67">
        <v>5</v>
      </c>
      <c r="E707" s="68"/>
      <c r="F707" s="69">
        <v>25</v>
      </c>
      <c r="G707" s="66"/>
      <c r="H707" s="70"/>
      <c r="I707" s="71"/>
      <c r="J707" s="71"/>
      <c r="K707" s="35" t="s">
        <v>65</v>
      </c>
      <c r="L707" s="79">
        <v>707</v>
      </c>
      <c r="M707" s="79"/>
      <c r="N707" s="73"/>
      <c r="O707" s="81" t="s">
        <v>379</v>
      </c>
      <c r="P707">
        <v>1</v>
      </c>
      <c r="Q707" s="80" t="str">
        <f>REPLACE(INDEX(GroupVertices[Group],MATCH(Edges[[#This Row],[Vertex 1]],GroupVertices[Vertex],0)),1,1,"")</f>
        <v>1</v>
      </c>
      <c r="R707" s="80" t="str">
        <f>REPLACE(INDEX(GroupVertices[Group],MATCH(Edges[[#This Row],[Vertex 2]],GroupVertices[Vertex],0)),1,1,"")</f>
        <v>1</v>
      </c>
      <c r="S707" s="35"/>
      <c r="T707" s="35"/>
      <c r="U707" s="35"/>
      <c r="V707" s="35"/>
      <c r="W707" s="35"/>
      <c r="X707" s="35"/>
      <c r="Y707" s="35"/>
      <c r="Z707" s="35"/>
      <c r="AA707" s="35"/>
    </row>
    <row r="708" spans="1:27" ht="15">
      <c r="A708" s="65" t="s">
        <v>230</v>
      </c>
      <c r="B708" s="65" t="s">
        <v>219</v>
      </c>
      <c r="C708" s="66" t="s">
        <v>1612</v>
      </c>
      <c r="D708" s="67">
        <v>5</v>
      </c>
      <c r="E708" s="68"/>
      <c r="F708" s="69">
        <v>25</v>
      </c>
      <c r="G708" s="66"/>
      <c r="H708" s="70"/>
      <c r="I708" s="71"/>
      <c r="J708" s="71"/>
      <c r="K708" s="35" t="s">
        <v>65</v>
      </c>
      <c r="L708" s="79">
        <v>708</v>
      </c>
      <c r="M708" s="79"/>
      <c r="N708" s="73"/>
      <c r="O708" s="81" t="s">
        <v>379</v>
      </c>
      <c r="P708">
        <v>1</v>
      </c>
      <c r="Q708" s="80" t="str">
        <f>REPLACE(INDEX(GroupVertices[Group],MATCH(Edges[[#This Row],[Vertex 1]],GroupVertices[Vertex],0)),1,1,"")</f>
        <v>2</v>
      </c>
      <c r="R708" s="80" t="str">
        <f>REPLACE(INDEX(GroupVertices[Group],MATCH(Edges[[#This Row],[Vertex 2]],GroupVertices[Vertex],0)),1,1,"")</f>
        <v>1</v>
      </c>
      <c r="S708" s="35"/>
      <c r="T708" s="35"/>
      <c r="U708" s="35"/>
      <c r="V708" s="35"/>
      <c r="W708" s="35"/>
      <c r="X708" s="35"/>
      <c r="Y708" s="35"/>
      <c r="Z708" s="35"/>
      <c r="AA708" s="35"/>
    </row>
    <row r="709" spans="1:27" ht="15">
      <c r="A709" s="65" t="s">
        <v>224</v>
      </c>
      <c r="B709" s="65" t="s">
        <v>219</v>
      </c>
      <c r="C709" s="66" t="s">
        <v>1612</v>
      </c>
      <c r="D709" s="67">
        <v>5</v>
      </c>
      <c r="E709" s="68"/>
      <c r="F709" s="69">
        <v>25</v>
      </c>
      <c r="G709" s="66"/>
      <c r="H709" s="70"/>
      <c r="I709" s="71"/>
      <c r="J709" s="71"/>
      <c r="K709" s="35" t="s">
        <v>65</v>
      </c>
      <c r="L709" s="79">
        <v>709</v>
      </c>
      <c r="M709" s="79"/>
      <c r="N709" s="73"/>
      <c r="O709" s="81" t="s">
        <v>379</v>
      </c>
      <c r="P709">
        <v>1</v>
      </c>
      <c r="Q709" s="80" t="str">
        <f>REPLACE(INDEX(GroupVertices[Group],MATCH(Edges[[#This Row],[Vertex 1]],GroupVertices[Vertex],0)),1,1,"")</f>
        <v>1</v>
      </c>
      <c r="R709" s="80" t="str">
        <f>REPLACE(INDEX(GroupVertices[Group],MATCH(Edges[[#This Row],[Vertex 2]],GroupVertices[Vertex],0)),1,1,"")</f>
        <v>1</v>
      </c>
      <c r="S709" s="35"/>
      <c r="T709" s="35"/>
      <c r="U709" s="35"/>
      <c r="V709" s="35"/>
      <c r="W709" s="35"/>
      <c r="X709" s="35"/>
      <c r="Y709" s="35"/>
      <c r="Z709" s="35"/>
      <c r="AA709" s="35"/>
    </row>
    <row r="710" spans="1:27" ht="15">
      <c r="A710" s="65" t="s">
        <v>225</v>
      </c>
      <c r="B710" s="65" t="s">
        <v>219</v>
      </c>
      <c r="C710" s="66" t="s">
        <v>1612</v>
      </c>
      <c r="D710" s="67">
        <v>5</v>
      </c>
      <c r="E710" s="68"/>
      <c r="F710" s="69">
        <v>25</v>
      </c>
      <c r="G710" s="66"/>
      <c r="H710" s="70"/>
      <c r="I710" s="71"/>
      <c r="J710" s="71"/>
      <c r="K710" s="35" t="s">
        <v>65</v>
      </c>
      <c r="L710" s="79">
        <v>710</v>
      </c>
      <c r="M710" s="79"/>
      <c r="N710" s="73"/>
      <c r="O710" s="81" t="s">
        <v>379</v>
      </c>
      <c r="P710">
        <v>1</v>
      </c>
      <c r="Q710" s="80" t="str">
        <f>REPLACE(INDEX(GroupVertices[Group],MATCH(Edges[[#This Row],[Vertex 1]],GroupVertices[Vertex],0)),1,1,"")</f>
        <v>1</v>
      </c>
      <c r="R710" s="80" t="str">
        <f>REPLACE(INDEX(GroupVertices[Group],MATCH(Edges[[#This Row],[Vertex 2]],GroupVertices[Vertex],0)),1,1,"")</f>
        <v>1</v>
      </c>
      <c r="S710" s="35"/>
      <c r="T710" s="35"/>
      <c r="U710" s="35"/>
      <c r="V710" s="35"/>
      <c r="W710" s="35"/>
      <c r="X710" s="35"/>
      <c r="Y710" s="35"/>
      <c r="Z710" s="35"/>
      <c r="AA710" s="35"/>
    </row>
    <row r="711" spans="1:27" ht="15">
      <c r="A711" s="65" t="s">
        <v>231</v>
      </c>
      <c r="B711" s="65" t="s">
        <v>219</v>
      </c>
      <c r="C711" s="66" t="s">
        <v>1612</v>
      </c>
      <c r="D711" s="67">
        <v>5</v>
      </c>
      <c r="E711" s="68"/>
      <c r="F711" s="69">
        <v>25</v>
      </c>
      <c r="G711" s="66"/>
      <c r="H711" s="70"/>
      <c r="I711" s="71"/>
      <c r="J711" s="71"/>
      <c r="K711" s="35" t="s">
        <v>66</v>
      </c>
      <c r="L711" s="79">
        <v>711</v>
      </c>
      <c r="M711" s="79"/>
      <c r="N711" s="73"/>
      <c r="O711" s="81" t="s">
        <v>378</v>
      </c>
      <c r="P711">
        <v>1</v>
      </c>
      <c r="Q711" s="80" t="str">
        <f>REPLACE(INDEX(GroupVertices[Group],MATCH(Edges[[#This Row],[Vertex 1]],GroupVertices[Vertex],0)),1,1,"")</f>
        <v>1</v>
      </c>
      <c r="R711" s="80" t="str">
        <f>REPLACE(INDEX(GroupVertices[Group],MATCH(Edges[[#This Row],[Vertex 2]],GroupVertices[Vertex],0)),1,1,"")</f>
        <v>1</v>
      </c>
      <c r="S711" s="35"/>
      <c r="T711" s="35"/>
      <c r="U711" s="35"/>
      <c r="V711" s="35"/>
      <c r="W711" s="35"/>
      <c r="X711" s="35"/>
      <c r="Y711" s="35"/>
      <c r="Z711" s="35"/>
      <c r="AA711" s="35"/>
    </row>
    <row r="712" spans="1:27" ht="15">
      <c r="A712" s="65" t="s">
        <v>231</v>
      </c>
      <c r="B712" s="65" t="s">
        <v>220</v>
      </c>
      <c r="C712" s="66" t="s">
        <v>1612</v>
      </c>
      <c r="D712" s="67">
        <v>5</v>
      </c>
      <c r="E712" s="68"/>
      <c r="F712" s="69">
        <v>25</v>
      </c>
      <c r="G712" s="66"/>
      <c r="H712" s="70"/>
      <c r="I712" s="71"/>
      <c r="J712" s="71"/>
      <c r="K712" s="35" t="s">
        <v>65</v>
      </c>
      <c r="L712" s="79">
        <v>712</v>
      </c>
      <c r="M712" s="79"/>
      <c r="N712" s="73"/>
      <c r="O712" s="81" t="s">
        <v>377</v>
      </c>
      <c r="P712">
        <v>1</v>
      </c>
      <c r="Q712" s="80" t="str">
        <f>REPLACE(INDEX(GroupVertices[Group],MATCH(Edges[[#This Row],[Vertex 1]],GroupVertices[Vertex],0)),1,1,"")</f>
        <v>1</v>
      </c>
      <c r="R712" s="80" t="str">
        <f>REPLACE(INDEX(GroupVertices[Group],MATCH(Edges[[#This Row],[Vertex 2]],GroupVertices[Vertex],0)),1,1,"")</f>
        <v>2</v>
      </c>
      <c r="S712" s="35"/>
      <c r="T712" s="35"/>
      <c r="U712" s="35"/>
      <c r="V712" s="35"/>
      <c r="W712" s="35"/>
      <c r="X712" s="35"/>
      <c r="Y712" s="35"/>
      <c r="Z712" s="35"/>
      <c r="AA712" s="35"/>
    </row>
    <row r="713" spans="1:27" ht="15">
      <c r="A713" s="65" t="s">
        <v>230</v>
      </c>
      <c r="B713" s="65" t="s">
        <v>220</v>
      </c>
      <c r="C713" s="66" t="s">
        <v>1612</v>
      </c>
      <c r="D713" s="67">
        <v>5</v>
      </c>
      <c r="E713" s="68"/>
      <c r="F713" s="69">
        <v>25</v>
      </c>
      <c r="G713" s="66"/>
      <c r="H713" s="70"/>
      <c r="I713" s="71"/>
      <c r="J713" s="71"/>
      <c r="K713" s="35" t="s">
        <v>65</v>
      </c>
      <c r="L713" s="79">
        <v>713</v>
      </c>
      <c r="M713" s="79"/>
      <c r="N713" s="73"/>
      <c r="O713" s="81" t="s">
        <v>379</v>
      </c>
      <c r="P713">
        <v>1</v>
      </c>
      <c r="Q713" s="80" t="str">
        <f>REPLACE(INDEX(GroupVertices[Group],MATCH(Edges[[#This Row],[Vertex 1]],GroupVertices[Vertex],0)),1,1,"")</f>
        <v>2</v>
      </c>
      <c r="R713" s="80" t="str">
        <f>REPLACE(INDEX(GroupVertices[Group],MATCH(Edges[[#This Row],[Vertex 2]],GroupVertices[Vertex],0)),1,1,"")</f>
        <v>2</v>
      </c>
      <c r="S713" s="35"/>
      <c r="T713" s="35"/>
      <c r="U713" s="35"/>
      <c r="V713" s="35"/>
      <c r="W713" s="35"/>
      <c r="X713" s="35"/>
      <c r="Y713" s="35"/>
      <c r="Z713" s="35"/>
      <c r="AA713" s="35"/>
    </row>
    <row r="714" spans="1:27" ht="15">
      <c r="A714" s="65" t="s">
        <v>231</v>
      </c>
      <c r="B714" s="65" t="s">
        <v>220</v>
      </c>
      <c r="C714" s="66" t="s">
        <v>1612</v>
      </c>
      <c r="D714" s="67">
        <v>5</v>
      </c>
      <c r="E714" s="68"/>
      <c r="F714" s="69">
        <v>25</v>
      </c>
      <c r="G714" s="66"/>
      <c r="H714" s="70"/>
      <c r="I714" s="71"/>
      <c r="J714" s="71"/>
      <c r="K714" s="35" t="s">
        <v>65</v>
      </c>
      <c r="L714" s="79">
        <v>714</v>
      </c>
      <c r="M714" s="79"/>
      <c r="N714" s="73"/>
      <c r="O714" s="81" t="s">
        <v>378</v>
      </c>
      <c r="P714">
        <v>1</v>
      </c>
      <c r="Q714" s="80" t="str">
        <f>REPLACE(INDEX(GroupVertices[Group],MATCH(Edges[[#This Row],[Vertex 1]],GroupVertices[Vertex],0)),1,1,"")</f>
        <v>1</v>
      </c>
      <c r="R714" s="80" t="str">
        <f>REPLACE(INDEX(GroupVertices[Group],MATCH(Edges[[#This Row],[Vertex 2]],GroupVertices[Vertex],0)),1,1,"")</f>
        <v>2</v>
      </c>
      <c r="S714" s="35"/>
      <c r="T714" s="35"/>
      <c r="U714" s="35"/>
      <c r="V714" s="35"/>
      <c r="W714" s="35"/>
      <c r="X714" s="35"/>
      <c r="Y714" s="35"/>
      <c r="Z714" s="35"/>
      <c r="AA714" s="35"/>
    </row>
    <row r="715" spans="1:27" ht="15">
      <c r="A715" s="65" t="s">
        <v>231</v>
      </c>
      <c r="B715" s="65" t="s">
        <v>221</v>
      </c>
      <c r="C715" s="66" t="s">
        <v>1612</v>
      </c>
      <c r="D715" s="67">
        <v>5</v>
      </c>
      <c r="E715" s="68"/>
      <c r="F715" s="69">
        <v>25</v>
      </c>
      <c r="G715" s="66"/>
      <c r="H715" s="70"/>
      <c r="I715" s="71"/>
      <c r="J715" s="71"/>
      <c r="K715" s="35" t="s">
        <v>66</v>
      </c>
      <c r="L715" s="79">
        <v>715</v>
      </c>
      <c r="M715" s="79"/>
      <c r="N715" s="73"/>
      <c r="O715" s="81" t="s">
        <v>377</v>
      </c>
      <c r="P715">
        <v>1</v>
      </c>
      <c r="Q715" s="80" t="str">
        <f>REPLACE(INDEX(GroupVertices[Group],MATCH(Edges[[#This Row],[Vertex 1]],GroupVertices[Vertex],0)),1,1,"")</f>
        <v>1</v>
      </c>
      <c r="R715" s="80" t="str">
        <f>REPLACE(INDEX(GroupVertices[Group],MATCH(Edges[[#This Row],[Vertex 2]],GroupVertices[Vertex],0)),1,1,"")</f>
        <v>1</v>
      </c>
      <c r="S715" s="35"/>
      <c r="T715" s="35"/>
      <c r="U715" s="35"/>
      <c r="V715" s="35"/>
      <c r="W715" s="35"/>
      <c r="X715" s="35"/>
      <c r="Y715" s="35"/>
      <c r="Z715" s="35"/>
      <c r="AA715" s="35"/>
    </row>
    <row r="716" spans="1:27" ht="15">
      <c r="A716" s="65" t="s">
        <v>221</v>
      </c>
      <c r="B716" s="65" t="s">
        <v>231</v>
      </c>
      <c r="C716" s="66" t="s">
        <v>1612</v>
      </c>
      <c r="D716" s="67">
        <v>5</v>
      </c>
      <c r="E716" s="68"/>
      <c r="F716" s="69">
        <v>25</v>
      </c>
      <c r="G716" s="66"/>
      <c r="H716" s="70"/>
      <c r="I716" s="71"/>
      <c r="J716" s="71"/>
      <c r="K716" s="35" t="s">
        <v>66</v>
      </c>
      <c r="L716" s="79">
        <v>716</v>
      </c>
      <c r="M716" s="79"/>
      <c r="N716" s="73"/>
      <c r="O716" s="81" t="s">
        <v>377</v>
      </c>
      <c r="P716">
        <v>1</v>
      </c>
      <c r="Q716" s="80" t="str">
        <f>REPLACE(INDEX(GroupVertices[Group],MATCH(Edges[[#This Row],[Vertex 1]],GroupVertices[Vertex],0)),1,1,"")</f>
        <v>1</v>
      </c>
      <c r="R716" s="80" t="str">
        <f>REPLACE(INDEX(GroupVertices[Group],MATCH(Edges[[#This Row],[Vertex 2]],GroupVertices[Vertex],0)),1,1,"")</f>
        <v>1</v>
      </c>
      <c r="S716" s="35"/>
      <c r="T716" s="35"/>
      <c r="U716" s="35"/>
      <c r="V716" s="35"/>
      <c r="W716" s="35"/>
      <c r="X716" s="35"/>
      <c r="Y716" s="35"/>
      <c r="Z716" s="35"/>
      <c r="AA716" s="35"/>
    </row>
    <row r="717" spans="1:27" ht="15">
      <c r="A717" s="65" t="s">
        <v>221</v>
      </c>
      <c r="B717" s="65" t="s">
        <v>222</v>
      </c>
      <c r="C717" s="66" t="s">
        <v>1612</v>
      </c>
      <c r="D717" s="67">
        <v>5</v>
      </c>
      <c r="E717" s="68"/>
      <c r="F717" s="69">
        <v>25</v>
      </c>
      <c r="G717" s="66"/>
      <c r="H717" s="70"/>
      <c r="I717" s="71"/>
      <c r="J717" s="71"/>
      <c r="K717" s="35" t="s">
        <v>66</v>
      </c>
      <c r="L717" s="79">
        <v>717</v>
      </c>
      <c r="M717" s="79"/>
      <c r="N717" s="73"/>
      <c r="O717" s="81" t="s">
        <v>377</v>
      </c>
      <c r="P717">
        <v>1</v>
      </c>
      <c r="Q717" s="80" t="str">
        <f>REPLACE(INDEX(GroupVertices[Group],MATCH(Edges[[#This Row],[Vertex 1]],GroupVertices[Vertex],0)),1,1,"")</f>
        <v>1</v>
      </c>
      <c r="R717" s="80" t="str">
        <f>REPLACE(INDEX(GroupVertices[Group],MATCH(Edges[[#This Row],[Vertex 2]],GroupVertices[Vertex],0)),1,1,"")</f>
        <v>1</v>
      </c>
      <c r="S717" s="35"/>
      <c r="T717" s="35"/>
      <c r="U717" s="35"/>
      <c r="V717" s="35"/>
      <c r="W717" s="35"/>
      <c r="X717" s="35"/>
      <c r="Y717" s="35"/>
      <c r="Z717" s="35"/>
      <c r="AA717" s="35"/>
    </row>
    <row r="718" spans="1:27" ht="15">
      <c r="A718" s="65" t="s">
        <v>221</v>
      </c>
      <c r="B718" s="65" t="s">
        <v>223</v>
      </c>
      <c r="C718" s="66" t="s">
        <v>1612</v>
      </c>
      <c r="D718" s="67">
        <v>5</v>
      </c>
      <c r="E718" s="68"/>
      <c r="F718" s="69">
        <v>25</v>
      </c>
      <c r="G718" s="66"/>
      <c r="H718" s="70"/>
      <c r="I718" s="71"/>
      <c r="J718" s="71"/>
      <c r="K718" s="35" t="s">
        <v>66</v>
      </c>
      <c r="L718" s="79">
        <v>718</v>
      </c>
      <c r="M718" s="79"/>
      <c r="N718" s="73"/>
      <c r="O718" s="81" t="s">
        <v>377</v>
      </c>
      <c r="P718">
        <v>1</v>
      </c>
      <c r="Q718" s="80" t="str">
        <f>REPLACE(INDEX(GroupVertices[Group],MATCH(Edges[[#This Row],[Vertex 1]],GroupVertices[Vertex],0)),1,1,"")</f>
        <v>1</v>
      </c>
      <c r="R718" s="80" t="str">
        <f>REPLACE(INDEX(GroupVertices[Group],MATCH(Edges[[#This Row],[Vertex 2]],GroupVertices[Vertex],0)),1,1,"")</f>
        <v>1</v>
      </c>
      <c r="S718" s="35"/>
      <c r="T718" s="35"/>
      <c r="U718" s="35"/>
      <c r="V718" s="35"/>
      <c r="W718" s="35"/>
      <c r="X718" s="35"/>
      <c r="Y718" s="35"/>
      <c r="Z718" s="35"/>
      <c r="AA718" s="35"/>
    </row>
    <row r="719" spans="1:27" ht="15">
      <c r="A719" s="65" t="s">
        <v>221</v>
      </c>
      <c r="B719" s="65" t="s">
        <v>229</v>
      </c>
      <c r="C719" s="66" t="s">
        <v>1612</v>
      </c>
      <c r="D719" s="67">
        <v>5</v>
      </c>
      <c r="E719" s="68"/>
      <c r="F719" s="69">
        <v>25</v>
      </c>
      <c r="G719" s="66"/>
      <c r="H719" s="70"/>
      <c r="I719" s="71"/>
      <c r="J719" s="71"/>
      <c r="K719" s="35" t="s">
        <v>66</v>
      </c>
      <c r="L719" s="79">
        <v>719</v>
      </c>
      <c r="M719" s="79"/>
      <c r="N719" s="73"/>
      <c r="O719" s="81" t="s">
        <v>377</v>
      </c>
      <c r="P719">
        <v>1</v>
      </c>
      <c r="Q719" s="80" t="str">
        <f>REPLACE(INDEX(GroupVertices[Group],MATCH(Edges[[#This Row],[Vertex 1]],GroupVertices[Vertex],0)),1,1,"")</f>
        <v>1</v>
      </c>
      <c r="R719" s="80" t="str">
        <f>REPLACE(INDEX(GroupVertices[Group],MATCH(Edges[[#This Row],[Vertex 2]],GroupVertices[Vertex],0)),1,1,"")</f>
        <v>1</v>
      </c>
      <c r="S719" s="35"/>
      <c r="T719" s="35"/>
      <c r="U719" s="35"/>
      <c r="V719" s="35"/>
      <c r="W719" s="35"/>
      <c r="X719" s="35"/>
      <c r="Y719" s="35"/>
      <c r="Z719" s="35"/>
      <c r="AA719" s="35"/>
    </row>
    <row r="720" spans="1:27" ht="15">
      <c r="A720" s="65" t="s">
        <v>222</v>
      </c>
      <c r="B720" s="65" t="s">
        <v>221</v>
      </c>
      <c r="C720" s="66" t="s">
        <v>1612</v>
      </c>
      <c r="D720" s="67">
        <v>5</v>
      </c>
      <c r="E720" s="68"/>
      <c r="F720" s="69">
        <v>25</v>
      </c>
      <c r="G720" s="66"/>
      <c r="H720" s="70"/>
      <c r="I720" s="71"/>
      <c r="J720" s="71"/>
      <c r="K720" s="35" t="s">
        <v>66</v>
      </c>
      <c r="L720" s="79">
        <v>720</v>
      </c>
      <c r="M720" s="79"/>
      <c r="N720" s="73"/>
      <c r="O720" s="81" t="s">
        <v>377</v>
      </c>
      <c r="P720">
        <v>1</v>
      </c>
      <c r="Q720" s="80" t="str">
        <f>REPLACE(INDEX(GroupVertices[Group],MATCH(Edges[[#This Row],[Vertex 1]],GroupVertices[Vertex],0)),1,1,"")</f>
        <v>1</v>
      </c>
      <c r="R720" s="80" t="str">
        <f>REPLACE(INDEX(GroupVertices[Group],MATCH(Edges[[#This Row],[Vertex 2]],GroupVertices[Vertex],0)),1,1,"")</f>
        <v>1</v>
      </c>
      <c r="S720" s="35"/>
      <c r="T720" s="35"/>
      <c r="U720" s="35"/>
      <c r="V720" s="35"/>
      <c r="W720" s="35"/>
      <c r="X720" s="35"/>
      <c r="Y720" s="35"/>
      <c r="Z720" s="35"/>
      <c r="AA720" s="35"/>
    </row>
    <row r="721" spans="1:27" ht="15">
      <c r="A721" s="65" t="s">
        <v>223</v>
      </c>
      <c r="B721" s="65" t="s">
        <v>221</v>
      </c>
      <c r="C721" s="66" t="s">
        <v>1612</v>
      </c>
      <c r="D721" s="67">
        <v>5</v>
      </c>
      <c r="E721" s="68"/>
      <c r="F721" s="69">
        <v>25</v>
      </c>
      <c r="G721" s="66"/>
      <c r="H721" s="70"/>
      <c r="I721" s="71"/>
      <c r="J721" s="71"/>
      <c r="K721" s="35" t="s">
        <v>66</v>
      </c>
      <c r="L721" s="79">
        <v>721</v>
      </c>
      <c r="M721" s="79"/>
      <c r="N721" s="73"/>
      <c r="O721" s="81" t="s">
        <v>377</v>
      </c>
      <c r="P721">
        <v>1</v>
      </c>
      <c r="Q721" s="80" t="str">
        <f>REPLACE(INDEX(GroupVertices[Group],MATCH(Edges[[#This Row],[Vertex 1]],GroupVertices[Vertex],0)),1,1,"")</f>
        <v>1</v>
      </c>
      <c r="R721" s="80" t="str">
        <f>REPLACE(INDEX(GroupVertices[Group],MATCH(Edges[[#This Row],[Vertex 2]],GroupVertices[Vertex],0)),1,1,"")</f>
        <v>1</v>
      </c>
      <c r="S721" s="35"/>
      <c r="T721" s="35"/>
      <c r="U721" s="35"/>
      <c r="V721" s="35"/>
      <c r="W721" s="35"/>
      <c r="X721" s="35"/>
      <c r="Y721" s="35"/>
      <c r="Z721" s="35"/>
      <c r="AA721" s="35"/>
    </row>
    <row r="722" spans="1:27" ht="15">
      <c r="A722" s="65" t="s">
        <v>229</v>
      </c>
      <c r="B722" s="65" t="s">
        <v>221</v>
      </c>
      <c r="C722" s="66" t="s">
        <v>1612</v>
      </c>
      <c r="D722" s="67">
        <v>5</v>
      </c>
      <c r="E722" s="68"/>
      <c r="F722" s="69">
        <v>25</v>
      </c>
      <c r="G722" s="66"/>
      <c r="H722" s="70"/>
      <c r="I722" s="71"/>
      <c r="J722" s="71"/>
      <c r="K722" s="35" t="s">
        <v>66</v>
      </c>
      <c r="L722" s="79">
        <v>722</v>
      </c>
      <c r="M722" s="79"/>
      <c r="N722" s="73"/>
      <c r="O722" s="81" t="s">
        <v>377</v>
      </c>
      <c r="P722">
        <v>1</v>
      </c>
      <c r="Q722" s="80" t="str">
        <f>REPLACE(INDEX(GroupVertices[Group],MATCH(Edges[[#This Row],[Vertex 1]],GroupVertices[Vertex],0)),1,1,"")</f>
        <v>1</v>
      </c>
      <c r="R722" s="80" t="str">
        <f>REPLACE(INDEX(GroupVertices[Group],MATCH(Edges[[#This Row],[Vertex 2]],GroupVertices[Vertex],0)),1,1,"")</f>
        <v>1</v>
      </c>
      <c r="S722" s="35"/>
      <c r="T722" s="35"/>
      <c r="U722" s="35"/>
      <c r="V722" s="35"/>
      <c r="W722" s="35"/>
      <c r="X722" s="35"/>
      <c r="Y722" s="35"/>
      <c r="Z722" s="35"/>
      <c r="AA722" s="35"/>
    </row>
    <row r="723" spans="1:27" ht="15">
      <c r="A723" s="65" t="s">
        <v>230</v>
      </c>
      <c r="B723" s="65" t="s">
        <v>221</v>
      </c>
      <c r="C723" s="66" t="s">
        <v>1612</v>
      </c>
      <c r="D723" s="67">
        <v>5</v>
      </c>
      <c r="E723" s="68"/>
      <c r="F723" s="69">
        <v>25</v>
      </c>
      <c r="G723" s="66"/>
      <c r="H723" s="70"/>
      <c r="I723" s="71"/>
      <c r="J723" s="71"/>
      <c r="K723" s="35" t="s">
        <v>65</v>
      </c>
      <c r="L723" s="79">
        <v>723</v>
      </c>
      <c r="M723" s="79"/>
      <c r="N723" s="73"/>
      <c r="O723" s="81" t="s">
        <v>377</v>
      </c>
      <c r="P723">
        <v>1</v>
      </c>
      <c r="Q723" s="80" t="str">
        <f>REPLACE(INDEX(GroupVertices[Group],MATCH(Edges[[#This Row],[Vertex 1]],GroupVertices[Vertex],0)),1,1,"")</f>
        <v>2</v>
      </c>
      <c r="R723" s="80" t="str">
        <f>REPLACE(INDEX(GroupVertices[Group],MATCH(Edges[[#This Row],[Vertex 2]],GroupVertices[Vertex],0)),1,1,"")</f>
        <v>1</v>
      </c>
      <c r="S723" s="35"/>
      <c r="T723" s="35"/>
      <c r="U723" s="35"/>
      <c r="V723" s="35"/>
      <c r="W723" s="35"/>
      <c r="X723" s="35"/>
      <c r="Y723" s="35"/>
      <c r="Z723" s="35"/>
      <c r="AA723" s="35"/>
    </row>
    <row r="724" spans="1:27" ht="15">
      <c r="A724" s="65" t="s">
        <v>221</v>
      </c>
      <c r="B724" s="65" t="s">
        <v>231</v>
      </c>
      <c r="C724" s="66" t="s">
        <v>1612</v>
      </c>
      <c r="D724" s="67">
        <v>5</v>
      </c>
      <c r="E724" s="68"/>
      <c r="F724" s="69">
        <v>25</v>
      </c>
      <c r="G724" s="66"/>
      <c r="H724" s="70"/>
      <c r="I724" s="71"/>
      <c r="J724" s="71"/>
      <c r="K724" s="35" t="s">
        <v>66</v>
      </c>
      <c r="L724" s="79">
        <v>724</v>
      </c>
      <c r="M724" s="79"/>
      <c r="N724" s="73"/>
      <c r="O724" s="81" t="s">
        <v>379</v>
      </c>
      <c r="P724">
        <v>1</v>
      </c>
      <c r="Q724" s="80" t="str">
        <f>REPLACE(INDEX(GroupVertices[Group],MATCH(Edges[[#This Row],[Vertex 1]],GroupVertices[Vertex],0)),1,1,"")</f>
        <v>1</v>
      </c>
      <c r="R724" s="80" t="str">
        <f>REPLACE(INDEX(GroupVertices[Group],MATCH(Edges[[#This Row],[Vertex 2]],GroupVertices[Vertex],0)),1,1,"")</f>
        <v>1</v>
      </c>
      <c r="S724" s="35"/>
      <c r="T724" s="35"/>
      <c r="U724" s="35"/>
      <c r="V724" s="35"/>
      <c r="W724" s="35"/>
      <c r="X724" s="35"/>
      <c r="Y724" s="35"/>
      <c r="Z724" s="35"/>
      <c r="AA724" s="35"/>
    </row>
    <row r="725" spans="1:27" ht="15">
      <c r="A725" s="65" t="s">
        <v>222</v>
      </c>
      <c r="B725" s="65" t="s">
        <v>221</v>
      </c>
      <c r="C725" s="66" t="s">
        <v>1612</v>
      </c>
      <c r="D725" s="67">
        <v>5</v>
      </c>
      <c r="E725" s="68"/>
      <c r="F725" s="69">
        <v>25</v>
      </c>
      <c r="G725" s="66"/>
      <c r="H725" s="70"/>
      <c r="I725" s="71"/>
      <c r="J725" s="71"/>
      <c r="K725" s="35" t="s">
        <v>66</v>
      </c>
      <c r="L725" s="79">
        <v>725</v>
      </c>
      <c r="M725" s="79"/>
      <c r="N725" s="73"/>
      <c r="O725" s="81" t="s">
        <v>379</v>
      </c>
      <c r="P725">
        <v>1</v>
      </c>
      <c r="Q725" s="80" t="str">
        <f>REPLACE(INDEX(GroupVertices[Group],MATCH(Edges[[#This Row],[Vertex 1]],GroupVertices[Vertex],0)),1,1,"")</f>
        <v>1</v>
      </c>
      <c r="R725" s="80" t="str">
        <f>REPLACE(INDEX(GroupVertices[Group],MATCH(Edges[[#This Row],[Vertex 2]],GroupVertices[Vertex],0)),1,1,"")</f>
        <v>1</v>
      </c>
      <c r="S725" s="35"/>
      <c r="T725" s="35"/>
      <c r="U725" s="35"/>
      <c r="V725" s="35"/>
      <c r="W725" s="35"/>
      <c r="X725" s="35"/>
      <c r="Y725" s="35"/>
      <c r="Z725" s="35"/>
      <c r="AA725" s="35"/>
    </row>
    <row r="726" spans="1:27" ht="15">
      <c r="A726" s="65" t="s">
        <v>223</v>
      </c>
      <c r="B726" s="65" t="s">
        <v>221</v>
      </c>
      <c r="C726" s="66" t="s">
        <v>1612</v>
      </c>
      <c r="D726" s="67">
        <v>5</v>
      </c>
      <c r="E726" s="68"/>
      <c r="F726" s="69">
        <v>25</v>
      </c>
      <c r="G726" s="66"/>
      <c r="H726" s="70"/>
      <c r="I726" s="71"/>
      <c r="J726" s="71"/>
      <c r="K726" s="35" t="s">
        <v>66</v>
      </c>
      <c r="L726" s="79">
        <v>726</v>
      </c>
      <c r="M726" s="79"/>
      <c r="N726" s="73"/>
      <c r="O726" s="81" t="s">
        <v>379</v>
      </c>
      <c r="P726">
        <v>1</v>
      </c>
      <c r="Q726" s="80" t="str">
        <f>REPLACE(INDEX(GroupVertices[Group],MATCH(Edges[[#This Row],[Vertex 1]],GroupVertices[Vertex],0)),1,1,"")</f>
        <v>1</v>
      </c>
      <c r="R726" s="80" t="str">
        <f>REPLACE(INDEX(GroupVertices[Group],MATCH(Edges[[#This Row],[Vertex 2]],GroupVertices[Vertex],0)),1,1,"")</f>
        <v>1</v>
      </c>
      <c r="S726" s="35"/>
      <c r="T726" s="35"/>
      <c r="U726" s="35"/>
      <c r="V726" s="35"/>
      <c r="W726" s="35"/>
      <c r="X726" s="35"/>
      <c r="Y726" s="35"/>
      <c r="Z726" s="35"/>
      <c r="AA726" s="35"/>
    </row>
    <row r="727" spans="1:27" ht="15">
      <c r="A727" s="65" t="s">
        <v>229</v>
      </c>
      <c r="B727" s="65" t="s">
        <v>221</v>
      </c>
      <c r="C727" s="66" t="s">
        <v>1612</v>
      </c>
      <c r="D727" s="67">
        <v>5</v>
      </c>
      <c r="E727" s="68"/>
      <c r="F727" s="69">
        <v>25</v>
      </c>
      <c r="G727" s="66"/>
      <c r="H727" s="70"/>
      <c r="I727" s="71"/>
      <c r="J727" s="71"/>
      <c r="K727" s="35" t="s">
        <v>66</v>
      </c>
      <c r="L727" s="79">
        <v>727</v>
      </c>
      <c r="M727" s="79"/>
      <c r="N727" s="73"/>
      <c r="O727" s="81" t="s">
        <v>379</v>
      </c>
      <c r="P727">
        <v>1</v>
      </c>
      <c r="Q727" s="80" t="str">
        <f>REPLACE(INDEX(GroupVertices[Group],MATCH(Edges[[#This Row],[Vertex 1]],GroupVertices[Vertex],0)),1,1,"")</f>
        <v>1</v>
      </c>
      <c r="R727" s="80" t="str">
        <f>REPLACE(INDEX(GroupVertices[Group],MATCH(Edges[[#This Row],[Vertex 2]],GroupVertices[Vertex],0)),1,1,"")</f>
        <v>1</v>
      </c>
      <c r="S727" s="35"/>
      <c r="T727" s="35"/>
      <c r="U727" s="35"/>
      <c r="V727" s="35"/>
      <c r="W727" s="35"/>
      <c r="X727" s="35"/>
      <c r="Y727" s="35"/>
      <c r="Z727" s="35"/>
      <c r="AA727" s="35"/>
    </row>
    <row r="728" spans="1:27" ht="15">
      <c r="A728" s="65" t="s">
        <v>230</v>
      </c>
      <c r="B728" s="65" t="s">
        <v>221</v>
      </c>
      <c r="C728" s="66" t="s">
        <v>1612</v>
      </c>
      <c r="D728" s="67">
        <v>5</v>
      </c>
      <c r="E728" s="68"/>
      <c r="F728" s="69">
        <v>25</v>
      </c>
      <c r="G728" s="66"/>
      <c r="H728" s="70"/>
      <c r="I728" s="71"/>
      <c r="J728" s="71"/>
      <c r="K728" s="35" t="s">
        <v>65</v>
      </c>
      <c r="L728" s="79">
        <v>728</v>
      </c>
      <c r="M728" s="79"/>
      <c r="N728" s="73"/>
      <c r="O728" s="81" t="s">
        <v>379</v>
      </c>
      <c r="P728">
        <v>1</v>
      </c>
      <c r="Q728" s="80" t="str">
        <f>REPLACE(INDEX(GroupVertices[Group],MATCH(Edges[[#This Row],[Vertex 1]],GroupVertices[Vertex],0)),1,1,"")</f>
        <v>2</v>
      </c>
      <c r="R728" s="80" t="str">
        <f>REPLACE(INDEX(GroupVertices[Group],MATCH(Edges[[#This Row],[Vertex 2]],GroupVertices[Vertex],0)),1,1,"")</f>
        <v>1</v>
      </c>
      <c r="S728" s="35"/>
      <c r="T728" s="35"/>
      <c r="U728" s="35"/>
      <c r="V728" s="35"/>
      <c r="W728" s="35"/>
      <c r="X728" s="35"/>
      <c r="Y728" s="35"/>
      <c r="Z728" s="35"/>
      <c r="AA728" s="35"/>
    </row>
    <row r="729" spans="1:27" ht="15">
      <c r="A729" s="65" t="s">
        <v>224</v>
      </c>
      <c r="B729" s="65" t="s">
        <v>221</v>
      </c>
      <c r="C729" s="66" t="s">
        <v>1612</v>
      </c>
      <c r="D729" s="67">
        <v>5</v>
      </c>
      <c r="E729" s="68"/>
      <c r="F729" s="69">
        <v>25</v>
      </c>
      <c r="G729" s="66"/>
      <c r="H729" s="70"/>
      <c r="I729" s="71"/>
      <c r="J729" s="71"/>
      <c r="K729" s="35" t="s">
        <v>65</v>
      </c>
      <c r="L729" s="79">
        <v>729</v>
      </c>
      <c r="M729" s="79"/>
      <c r="N729" s="73"/>
      <c r="O729" s="81" t="s">
        <v>379</v>
      </c>
      <c r="P729">
        <v>1</v>
      </c>
      <c r="Q729" s="80" t="str">
        <f>REPLACE(INDEX(GroupVertices[Group],MATCH(Edges[[#This Row],[Vertex 1]],GroupVertices[Vertex],0)),1,1,"")</f>
        <v>1</v>
      </c>
      <c r="R729" s="80" t="str">
        <f>REPLACE(INDEX(GroupVertices[Group],MATCH(Edges[[#This Row],[Vertex 2]],GroupVertices[Vertex],0)),1,1,"")</f>
        <v>1</v>
      </c>
      <c r="S729" s="35"/>
      <c r="T729" s="35"/>
      <c r="U729" s="35"/>
      <c r="V729" s="35"/>
      <c r="W729" s="35"/>
      <c r="X729" s="35"/>
      <c r="Y729" s="35"/>
      <c r="Z729" s="35"/>
      <c r="AA729" s="35"/>
    </row>
    <row r="730" spans="1:27" ht="15">
      <c r="A730" s="65" t="s">
        <v>225</v>
      </c>
      <c r="B730" s="65" t="s">
        <v>221</v>
      </c>
      <c r="C730" s="66" t="s">
        <v>1612</v>
      </c>
      <c r="D730" s="67">
        <v>5</v>
      </c>
      <c r="E730" s="68"/>
      <c r="F730" s="69">
        <v>25</v>
      </c>
      <c r="G730" s="66"/>
      <c r="H730" s="70"/>
      <c r="I730" s="71"/>
      <c r="J730" s="71"/>
      <c r="K730" s="35" t="s">
        <v>65</v>
      </c>
      <c r="L730" s="79">
        <v>730</v>
      </c>
      <c r="M730" s="79"/>
      <c r="N730" s="73"/>
      <c r="O730" s="81" t="s">
        <v>379</v>
      </c>
      <c r="P730">
        <v>1</v>
      </c>
      <c r="Q730" s="80" t="str">
        <f>REPLACE(INDEX(GroupVertices[Group],MATCH(Edges[[#This Row],[Vertex 1]],GroupVertices[Vertex],0)),1,1,"")</f>
        <v>1</v>
      </c>
      <c r="R730" s="80" t="str">
        <f>REPLACE(INDEX(GroupVertices[Group],MATCH(Edges[[#This Row],[Vertex 2]],GroupVertices[Vertex],0)),1,1,"")</f>
        <v>1</v>
      </c>
      <c r="S730" s="35"/>
      <c r="T730" s="35"/>
      <c r="U730" s="35"/>
      <c r="V730" s="35"/>
      <c r="W730" s="35"/>
      <c r="X730" s="35"/>
      <c r="Y730" s="35"/>
      <c r="Z730" s="35"/>
      <c r="AA730" s="35"/>
    </row>
    <row r="731" spans="1:27" ht="15">
      <c r="A731" s="65" t="s">
        <v>229</v>
      </c>
      <c r="B731" s="65" t="s">
        <v>221</v>
      </c>
      <c r="C731" s="66" t="s">
        <v>1612</v>
      </c>
      <c r="D731" s="67">
        <v>5</v>
      </c>
      <c r="E731" s="68"/>
      <c r="F731" s="69">
        <v>25</v>
      </c>
      <c r="G731" s="66"/>
      <c r="H731" s="70"/>
      <c r="I731" s="71"/>
      <c r="J731" s="71"/>
      <c r="K731" s="35" t="s">
        <v>66</v>
      </c>
      <c r="L731" s="79">
        <v>731</v>
      </c>
      <c r="M731" s="79"/>
      <c r="N731" s="73"/>
      <c r="O731" s="81" t="s">
        <v>378</v>
      </c>
      <c r="P731">
        <v>1</v>
      </c>
      <c r="Q731" s="80" t="str">
        <f>REPLACE(INDEX(GroupVertices[Group],MATCH(Edges[[#This Row],[Vertex 1]],GroupVertices[Vertex],0)),1,1,"")</f>
        <v>1</v>
      </c>
      <c r="R731" s="80" t="str">
        <f>REPLACE(INDEX(GroupVertices[Group],MATCH(Edges[[#This Row],[Vertex 2]],GroupVertices[Vertex],0)),1,1,"")</f>
        <v>1</v>
      </c>
      <c r="S731" s="35"/>
      <c r="T731" s="35"/>
      <c r="U731" s="35"/>
      <c r="V731" s="35"/>
      <c r="W731" s="35"/>
      <c r="X731" s="35"/>
      <c r="Y731" s="35"/>
      <c r="Z731" s="35"/>
      <c r="AA731" s="35"/>
    </row>
    <row r="732" spans="1:27" ht="15">
      <c r="A732" s="65" t="s">
        <v>230</v>
      </c>
      <c r="B732" s="65" t="s">
        <v>221</v>
      </c>
      <c r="C732" s="66" t="s">
        <v>1612</v>
      </c>
      <c r="D732" s="67">
        <v>5</v>
      </c>
      <c r="E732" s="68"/>
      <c r="F732" s="69">
        <v>25</v>
      </c>
      <c r="G732" s="66"/>
      <c r="H732" s="70"/>
      <c r="I732" s="71"/>
      <c r="J732" s="71"/>
      <c r="K732" s="35" t="s">
        <v>65</v>
      </c>
      <c r="L732" s="79">
        <v>732</v>
      </c>
      <c r="M732" s="79"/>
      <c r="N732" s="73"/>
      <c r="O732" s="81" t="s">
        <v>378</v>
      </c>
      <c r="P732">
        <v>1</v>
      </c>
      <c r="Q732" s="80" t="str">
        <f>REPLACE(INDEX(GroupVertices[Group],MATCH(Edges[[#This Row],[Vertex 1]],GroupVertices[Vertex],0)),1,1,"")</f>
        <v>2</v>
      </c>
      <c r="R732" s="80" t="str">
        <f>REPLACE(INDEX(GroupVertices[Group],MATCH(Edges[[#This Row],[Vertex 2]],GroupVertices[Vertex],0)),1,1,"")</f>
        <v>1</v>
      </c>
      <c r="S732" s="35"/>
      <c r="T732" s="35"/>
      <c r="U732" s="35"/>
      <c r="V732" s="35"/>
      <c r="W732" s="35"/>
      <c r="X732" s="35"/>
      <c r="Y732" s="35"/>
      <c r="Z732" s="35"/>
      <c r="AA732" s="35"/>
    </row>
    <row r="733" spans="1:27" ht="15">
      <c r="A733" s="65" t="s">
        <v>231</v>
      </c>
      <c r="B733" s="65" t="s">
        <v>221</v>
      </c>
      <c r="C733" s="66" t="s">
        <v>1612</v>
      </c>
      <c r="D733" s="67">
        <v>5</v>
      </c>
      <c r="E733" s="68"/>
      <c r="F733" s="69">
        <v>25</v>
      </c>
      <c r="G733" s="66"/>
      <c r="H733" s="70"/>
      <c r="I733" s="71"/>
      <c r="J733" s="71"/>
      <c r="K733" s="35" t="s">
        <v>66</v>
      </c>
      <c r="L733" s="79">
        <v>733</v>
      </c>
      <c r="M733" s="79"/>
      <c r="N733" s="73"/>
      <c r="O733" s="81" t="s">
        <v>378</v>
      </c>
      <c r="P733">
        <v>1</v>
      </c>
      <c r="Q733" s="80" t="str">
        <f>REPLACE(INDEX(GroupVertices[Group],MATCH(Edges[[#This Row],[Vertex 1]],GroupVertices[Vertex],0)),1,1,"")</f>
        <v>1</v>
      </c>
      <c r="R733" s="80" t="str">
        <f>REPLACE(INDEX(GroupVertices[Group],MATCH(Edges[[#This Row],[Vertex 2]],GroupVertices[Vertex],0)),1,1,"")</f>
        <v>1</v>
      </c>
      <c r="S733" s="35"/>
      <c r="T733" s="35"/>
      <c r="U733" s="35"/>
      <c r="V733" s="35"/>
      <c r="W733" s="35"/>
      <c r="X733" s="35"/>
      <c r="Y733" s="35"/>
      <c r="Z733" s="35"/>
      <c r="AA733" s="35"/>
    </row>
    <row r="734" spans="1:27" ht="15">
      <c r="A734" s="65" t="s">
        <v>231</v>
      </c>
      <c r="B734" s="65" t="s">
        <v>222</v>
      </c>
      <c r="C734" s="66" t="s">
        <v>1612</v>
      </c>
      <c r="D734" s="67">
        <v>5</v>
      </c>
      <c r="E734" s="68"/>
      <c r="F734" s="69">
        <v>25</v>
      </c>
      <c r="G734" s="66"/>
      <c r="H734" s="70"/>
      <c r="I734" s="71"/>
      <c r="J734" s="71"/>
      <c r="K734" s="35" t="s">
        <v>66</v>
      </c>
      <c r="L734" s="79">
        <v>734</v>
      </c>
      <c r="M734" s="79"/>
      <c r="N734" s="73"/>
      <c r="O734" s="81" t="s">
        <v>377</v>
      </c>
      <c r="P734">
        <v>1</v>
      </c>
      <c r="Q734" s="80" t="str">
        <f>REPLACE(INDEX(GroupVertices[Group],MATCH(Edges[[#This Row],[Vertex 1]],GroupVertices[Vertex],0)),1,1,"")</f>
        <v>1</v>
      </c>
      <c r="R734" s="80" t="str">
        <f>REPLACE(INDEX(GroupVertices[Group],MATCH(Edges[[#This Row],[Vertex 2]],GroupVertices[Vertex],0)),1,1,"")</f>
        <v>1</v>
      </c>
      <c r="S734" s="35"/>
      <c r="T734" s="35"/>
      <c r="U734" s="35"/>
      <c r="V734" s="35"/>
      <c r="W734" s="35"/>
      <c r="X734" s="35"/>
      <c r="Y734" s="35"/>
      <c r="Z734" s="35"/>
      <c r="AA734" s="35"/>
    </row>
    <row r="735" spans="1:27" ht="15">
      <c r="A735" s="65" t="s">
        <v>222</v>
      </c>
      <c r="B735" s="65" t="s">
        <v>230</v>
      </c>
      <c r="C735" s="66" t="s">
        <v>1612</v>
      </c>
      <c r="D735" s="67">
        <v>5</v>
      </c>
      <c r="E735" s="68"/>
      <c r="F735" s="69">
        <v>25</v>
      </c>
      <c r="G735" s="66"/>
      <c r="H735" s="70"/>
      <c r="I735" s="71"/>
      <c r="J735" s="71"/>
      <c r="K735" s="35" t="s">
        <v>66</v>
      </c>
      <c r="L735" s="79">
        <v>735</v>
      </c>
      <c r="M735" s="79"/>
      <c r="N735" s="73"/>
      <c r="O735" s="81" t="s">
        <v>377</v>
      </c>
      <c r="P735">
        <v>1</v>
      </c>
      <c r="Q735" s="80" t="str">
        <f>REPLACE(INDEX(GroupVertices[Group],MATCH(Edges[[#This Row],[Vertex 1]],GroupVertices[Vertex],0)),1,1,"")</f>
        <v>1</v>
      </c>
      <c r="R735" s="80" t="str">
        <f>REPLACE(INDEX(GroupVertices[Group],MATCH(Edges[[#This Row],[Vertex 2]],GroupVertices[Vertex],0)),1,1,"")</f>
        <v>2</v>
      </c>
      <c r="S735" s="35"/>
      <c r="T735" s="35"/>
      <c r="U735" s="35"/>
      <c r="V735" s="35"/>
      <c r="W735" s="35"/>
      <c r="X735" s="35"/>
      <c r="Y735" s="35"/>
      <c r="Z735" s="35"/>
      <c r="AA735" s="35"/>
    </row>
    <row r="736" spans="1:27" ht="15">
      <c r="A736" s="65" t="s">
        <v>222</v>
      </c>
      <c r="B736" s="65" t="s">
        <v>231</v>
      </c>
      <c r="C736" s="66" t="s">
        <v>1612</v>
      </c>
      <c r="D736" s="67">
        <v>5</v>
      </c>
      <c r="E736" s="68"/>
      <c r="F736" s="69">
        <v>25</v>
      </c>
      <c r="G736" s="66"/>
      <c r="H736" s="70"/>
      <c r="I736" s="71"/>
      <c r="J736" s="71"/>
      <c r="K736" s="35" t="s">
        <v>66</v>
      </c>
      <c r="L736" s="79">
        <v>736</v>
      </c>
      <c r="M736" s="79"/>
      <c r="N736" s="73"/>
      <c r="O736" s="81" t="s">
        <v>377</v>
      </c>
      <c r="P736">
        <v>1</v>
      </c>
      <c r="Q736" s="80" t="str">
        <f>REPLACE(INDEX(GroupVertices[Group],MATCH(Edges[[#This Row],[Vertex 1]],GroupVertices[Vertex],0)),1,1,"")</f>
        <v>1</v>
      </c>
      <c r="R736" s="80" t="str">
        <f>REPLACE(INDEX(GroupVertices[Group],MATCH(Edges[[#This Row],[Vertex 2]],GroupVertices[Vertex],0)),1,1,"")</f>
        <v>1</v>
      </c>
      <c r="S736" s="35"/>
      <c r="T736" s="35"/>
      <c r="U736" s="35"/>
      <c r="V736" s="35"/>
      <c r="W736" s="35"/>
      <c r="X736" s="35"/>
      <c r="Y736" s="35"/>
      <c r="Z736" s="35"/>
      <c r="AA736" s="35"/>
    </row>
    <row r="737" spans="1:27" ht="15">
      <c r="A737" s="65" t="s">
        <v>222</v>
      </c>
      <c r="B737" s="65" t="s">
        <v>229</v>
      </c>
      <c r="C737" s="66" t="s">
        <v>1612</v>
      </c>
      <c r="D737" s="67">
        <v>5</v>
      </c>
      <c r="E737" s="68"/>
      <c r="F737" s="69">
        <v>25</v>
      </c>
      <c r="G737" s="66"/>
      <c r="H737" s="70"/>
      <c r="I737" s="71"/>
      <c r="J737" s="71"/>
      <c r="K737" s="35" t="s">
        <v>66</v>
      </c>
      <c r="L737" s="79">
        <v>737</v>
      </c>
      <c r="M737" s="79"/>
      <c r="N737" s="73"/>
      <c r="O737" s="81" t="s">
        <v>377</v>
      </c>
      <c r="P737">
        <v>1</v>
      </c>
      <c r="Q737" s="80" t="str">
        <f>REPLACE(INDEX(GroupVertices[Group],MATCH(Edges[[#This Row],[Vertex 1]],GroupVertices[Vertex],0)),1,1,"")</f>
        <v>1</v>
      </c>
      <c r="R737" s="80" t="str">
        <f>REPLACE(INDEX(GroupVertices[Group],MATCH(Edges[[#This Row],[Vertex 2]],GroupVertices[Vertex],0)),1,1,"")</f>
        <v>1</v>
      </c>
      <c r="S737" s="35"/>
      <c r="T737" s="35"/>
      <c r="U737" s="35"/>
      <c r="V737" s="35"/>
      <c r="W737" s="35"/>
      <c r="X737" s="35"/>
      <c r="Y737" s="35"/>
      <c r="Z737" s="35"/>
      <c r="AA737" s="35"/>
    </row>
    <row r="738" spans="1:27" ht="15">
      <c r="A738" s="65" t="s">
        <v>222</v>
      </c>
      <c r="B738" s="65" t="s">
        <v>231</v>
      </c>
      <c r="C738" s="66" t="s">
        <v>1612</v>
      </c>
      <c r="D738" s="67">
        <v>5</v>
      </c>
      <c r="E738" s="68"/>
      <c r="F738" s="69">
        <v>25</v>
      </c>
      <c r="G738" s="66"/>
      <c r="H738" s="70"/>
      <c r="I738" s="71"/>
      <c r="J738" s="71"/>
      <c r="K738" s="35" t="s">
        <v>66</v>
      </c>
      <c r="L738" s="79">
        <v>738</v>
      </c>
      <c r="M738" s="79"/>
      <c r="N738" s="73"/>
      <c r="O738" s="81" t="s">
        <v>379</v>
      </c>
      <c r="P738">
        <v>1</v>
      </c>
      <c r="Q738" s="80" t="str">
        <f>REPLACE(INDEX(GroupVertices[Group],MATCH(Edges[[#This Row],[Vertex 1]],GroupVertices[Vertex],0)),1,1,"")</f>
        <v>1</v>
      </c>
      <c r="R738" s="80" t="str">
        <f>REPLACE(INDEX(GroupVertices[Group],MATCH(Edges[[#This Row],[Vertex 2]],GroupVertices[Vertex],0)),1,1,"")</f>
        <v>1</v>
      </c>
      <c r="S738" s="35"/>
      <c r="T738" s="35"/>
      <c r="U738" s="35"/>
      <c r="V738" s="35"/>
      <c r="W738" s="35"/>
      <c r="X738" s="35"/>
      <c r="Y738" s="35"/>
      <c r="Z738" s="35"/>
      <c r="AA738" s="35"/>
    </row>
    <row r="739" spans="1:27" ht="15">
      <c r="A739" s="65" t="s">
        <v>223</v>
      </c>
      <c r="B739" s="65" t="s">
        <v>222</v>
      </c>
      <c r="C739" s="66" t="s">
        <v>1612</v>
      </c>
      <c r="D739" s="67">
        <v>5</v>
      </c>
      <c r="E739" s="68"/>
      <c r="F739" s="69">
        <v>25</v>
      </c>
      <c r="G739" s="66"/>
      <c r="H739" s="70"/>
      <c r="I739" s="71"/>
      <c r="J739" s="71"/>
      <c r="K739" s="35" t="s">
        <v>65</v>
      </c>
      <c r="L739" s="79">
        <v>739</v>
      </c>
      <c r="M739" s="79"/>
      <c r="N739" s="73"/>
      <c r="O739" s="81" t="s">
        <v>379</v>
      </c>
      <c r="P739">
        <v>1</v>
      </c>
      <c r="Q739" s="80" t="str">
        <f>REPLACE(INDEX(GroupVertices[Group],MATCH(Edges[[#This Row],[Vertex 1]],GroupVertices[Vertex],0)),1,1,"")</f>
        <v>1</v>
      </c>
      <c r="R739" s="80" t="str">
        <f>REPLACE(INDEX(GroupVertices[Group],MATCH(Edges[[#This Row],[Vertex 2]],GroupVertices[Vertex],0)),1,1,"")</f>
        <v>1</v>
      </c>
      <c r="S739" s="35"/>
      <c r="T739" s="35"/>
      <c r="U739" s="35"/>
      <c r="V739" s="35"/>
      <c r="W739" s="35"/>
      <c r="X739" s="35"/>
      <c r="Y739" s="35"/>
      <c r="Z739" s="35"/>
      <c r="AA739" s="35"/>
    </row>
    <row r="740" spans="1:27" ht="15">
      <c r="A740" s="65" t="s">
        <v>229</v>
      </c>
      <c r="B740" s="65" t="s">
        <v>222</v>
      </c>
      <c r="C740" s="66" t="s">
        <v>1612</v>
      </c>
      <c r="D740" s="67">
        <v>5</v>
      </c>
      <c r="E740" s="68"/>
      <c r="F740" s="69">
        <v>25</v>
      </c>
      <c r="G740" s="66"/>
      <c r="H740" s="70"/>
      <c r="I740" s="71"/>
      <c r="J740" s="71"/>
      <c r="K740" s="35" t="s">
        <v>66</v>
      </c>
      <c r="L740" s="79">
        <v>740</v>
      </c>
      <c r="M740" s="79"/>
      <c r="N740" s="73"/>
      <c r="O740" s="81" t="s">
        <v>379</v>
      </c>
      <c r="P740">
        <v>1</v>
      </c>
      <c r="Q740" s="80" t="str">
        <f>REPLACE(INDEX(GroupVertices[Group],MATCH(Edges[[#This Row],[Vertex 1]],GroupVertices[Vertex],0)),1,1,"")</f>
        <v>1</v>
      </c>
      <c r="R740" s="80" t="str">
        <f>REPLACE(INDEX(GroupVertices[Group],MATCH(Edges[[#This Row],[Vertex 2]],GroupVertices[Vertex],0)),1,1,"")</f>
        <v>1</v>
      </c>
      <c r="S740" s="35"/>
      <c r="T740" s="35"/>
      <c r="U740" s="35"/>
      <c r="V740" s="35"/>
      <c r="W740" s="35"/>
      <c r="X740" s="35"/>
      <c r="Y740" s="35"/>
      <c r="Z740" s="35"/>
      <c r="AA740" s="35"/>
    </row>
    <row r="741" spans="1:27" ht="15">
      <c r="A741" s="65" t="s">
        <v>230</v>
      </c>
      <c r="B741" s="65" t="s">
        <v>222</v>
      </c>
      <c r="C741" s="66" t="s">
        <v>1612</v>
      </c>
      <c r="D741" s="67">
        <v>5</v>
      </c>
      <c r="E741" s="68"/>
      <c r="F741" s="69">
        <v>25</v>
      </c>
      <c r="G741" s="66"/>
      <c r="H741" s="70"/>
      <c r="I741" s="71"/>
      <c r="J741" s="71"/>
      <c r="K741" s="35" t="s">
        <v>66</v>
      </c>
      <c r="L741" s="79">
        <v>741</v>
      </c>
      <c r="M741" s="79"/>
      <c r="N741" s="73"/>
      <c r="O741" s="81" t="s">
        <v>379</v>
      </c>
      <c r="P741">
        <v>1</v>
      </c>
      <c r="Q741" s="80" t="str">
        <f>REPLACE(INDEX(GroupVertices[Group],MATCH(Edges[[#This Row],[Vertex 1]],GroupVertices[Vertex],0)),1,1,"")</f>
        <v>2</v>
      </c>
      <c r="R741" s="80" t="str">
        <f>REPLACE(INDEX(GroupVertices[Group],MATCH(Edges[[#This Row],[Vertex 2]],GroupVertices[Vertex],0)),1,1,"")</f>
        <v>1</v>
      </c>
      <c r="S741" s="35"/>
      <c r="T741" s="35"/>
      <c r="U741" s="35"/>
      <c r="V741" s="35"/>
      <c r="W741" s="35"/>
      <c r="X741" s="35"/>
      <c r="Y741" s="35"/>
      <c r="Z741" s="35"/>
      <c r="AA741" s="35"/>
    </row>
    <row r="742" spans="1:27" ht="15">
      <c r="A742" s="65" t="s">
        <v>224</v>
      </c>
      <c r="B742" s="65" t="s">
        <v>222</v>
      </c>
      <c r="C742" s="66" t="s">
        <v>1612</v>
      </c>
      <c r="D742" s="67">
        <v>5</v>
      </c>
      <c r="E742" s="68"/>
      <c r="F742" s="69">
        <v>25</v>
      </c>
      <c r="G742" s="66"/>
      <c r="H742" s="70"/>
      <c r="I742" s="71"/>
      <c r="J742" s="71"/>
      <c r="K742" s="35" t="s">
        <v>65</v>
      </c>
      <c r="L742" s="79">
        <v>742</v>
      </c>
      <c r="M742" s="79"/>
      <c r="N742" s="73"/>
      <c r="O742" s="81" t="s">
        <v>379</v>
      </c>
      <c r="P742">
        <v>1</v>
      </c>
      <c r="Q742" s="80" t="str">
        <f>REPLACE(INDEX(GroupVertices[Group],MATCH(Edges[[#This Row],[Vertex 1]],GroupVertices[Vertex],0)),1,1,"")</f>
        <v>1</v>
      </c>
      <c r="R742" s="80" t="str">
        <f>REPLACE(INDEX(GroupVertices[Group],MATCH(Edges[[#This Row],[Vertex 2]],GroupVertices[Vertex],0)),1,1,"")</f>
        <v>1</v>
      </c>
      <c r="S742" s="35"/>
      <c r="T742" s="35"/>
      <c r="U742" s="35"/>
      <c r="V742" s="35"/>
      <c r="W742" s="35"/>
      <c r="X742" s="35"/>
      <c r="Y742" s="35"/>
      <c r="Z742" s="35"/>
      <c r="AA742" s="35"/>
    </row>
    <row r="743" spans="1:27" ht="15">
      <c r="A743" s="65" t="s">
        <v>225</v>
      </c>
      <c r="B743" s="65" t="s">
        <v>222</v>
      </c>
      <c r="C743" s="66" t="s">
        <v>1612</v>
      </c>
      <c r="D743" s="67">
        <v>5</v>
      </c>
      <c r="E743" s="68"/>
      <c r="F743" s="69">
        <v>25</v>
      </c>
      <c r="G743" s="66"/>
      <c r="H743" s="70"/>
      <c r="I743" s="71"/>
      <c r="J743" s="71"/>
      <c r="K743" s="35" t="s">
        <v>65</v>
      </c>
      <c r="L743" s="79">
        <v>743</v>
      </c>
      <c r="M743" s="79"/>
      <c r="N743" s="73"/>
      <c r="O743" s="81" t="s">
        <v>379</v>
      </c>
      <c r="P743">
        <v>1</v>
      </c>
      <c r="Q743" s="80" t="str">
        <f>REPLACE(INDEX(GroupVertices[Group],MATCH(Edges[[#This Row],[Vertex 1]],GroupVertices[Vertex],0)),1,1,"")</f>
        <v>1</v>
      </c>
      <c r="R743" s="80" t="str">
        <f>REPLACE(INDEX(GroupVertices[Group],MATCH(Edges[[#This Row],[Vertex 2]],GroupVertices[Vertex],0)),1,1,"")</f>
        <v>1</v>
      </c>
      <c r="S743" s="35"/>
      <c r="T743" s="35"/>
      <c r="U743" s="35"/>
      <c r="V743" s="35"/>
      <c r="W743" s="35"/>
      <c r="X743" s="35"/>
      <c r="Y743" s="35"/>
      <c r="Z743" s="35"/>
      <c r="AA743" s="35"/>
    </row>
    <row r="744" spans="1:27" ht="15">
      <c r="A744" s="65" t="s">
        <v>231</v>
      </c>
      <c r="B744" s="65" t="s">
        <v>222</v>
      </c>
      <c r="C744" s="66" t="s">
        <v>1612</v>
      </c>
      <c r="D744" s="67">
        <v>5</v>
      </c>
      <c r="E744" s="68"/>
      <c r="F744" s="69">
        <v>25</v>
      </c>
      <c r="G744" s="66"/>
      <c r="H744" s="70"/>
      <c r="I744" s="71"/>
      <c r="J744" s="71"/>
      <c r="K744" s="35" t="s">
        <v>66</v>
      </c>
      <c r="L744" s="79">
        <v>744</v>
      </c>
      <c r="M744" s="79"/>
      <c r="N744" s="73"/>
      <c r="O744" s="81" t="s">
        <v>378</v>
      </c>
      <c r="P744">
        <v>1</v>
      </c>
      <c r="Q744" s="80" t="str">
        <f>REPLACE(INDEX(GroupVertices[Group],MATCH(Edges[[#This Row],[Vertex 1]],GroupVertices[Vertex],0)),1,1,"")</f>
        <v>1</v>
      </c>
      <c r="R744" s="80" t="str">
        <f>REPLACE(INDEX(GroupVertices[Group],MATCH(Edges[[#This Row],[Vertex 2]],GroupVertices[Vertex],0)),1,1,"")</f>
        <v>1</v>
      </c>
      <c r="S744" s="35"/>
      <c r="T744" s="35"/>
      <c r="U744" s="35"/>
      <c r="V744" s="35"/>
      <c r="W744" s="35"/>
      <c r="X744" s="35"/>
      <c r="Y744" s="35"/>
      <c r="Z744" s="35"/>
      <c r="AA744" s="35"/>
    </row>
    <row r="745" spans="1:27" ht="15">
      <c r="A745" s="65" t="s">
        <v>231</v>
      </c>
      <c r="B745" s="65" t="s">
        <v>223</v>
      </c>
      <c r="C745" s="66" t="s">
        <v>1612</v>
      </c>
      <c r="D745" s="67">
        <v>5</v>
      </c>
      <c r="E745" s="68"/>
      <c r="F745" s="69">
        <v>25</v>
      </c>
      <c r="G745" s="66"/>
      <c r="H745" s="70"/>
      <c r="I745" s="71"/>
      <c r="J745" s="71"/>
      <c r="K745" s="35" t="s">
        <v>66</v>
      </c>
      <c r="L745" s="79">
        <v>745</v>
      </c>
      <c r="M745" s="79"/>
      <c r="N745" s="73"/>
      <c r="O745" s="81" t="s">
        <v>377</v>
      </c>
      <c r="P745">
        <v>1</v>
      </c>
      <c r="Q745" s="80" t="str">
        <f>REPLACE(INDEX(GroupVertices[Group],MATCH(Edges[[#This Row],[Vertex 1]],GroupVertices[Vertex],0)),1,1,"")</f>
        <v>1</v>
      </c>
      <c r="R745" s="80" t="str">
        <f>REPLACE(INDEX(GroupVertices[Group],MATCH(Edges[[#This Row],[Vertex 2]],GroupVertices[Vertex],0)),1,1,"")</f>
        <v>1</v>
      </c>
      <c r="S745" s="35"/>
      <c r="T745" s="35"/>
      <c r="U745" s="35"/>
      <c r="V745" s="35"/>
      <c r="W745" s="35"/>
      <c r="X745" s="35"/>
      <c r="Y745" s="35"/>
      <c r="Z745" s="35"/>
      <c r="AA745" s="35"/>
    </row>
    <row r="746" spans="1:27" ht="15">
      <c r="A746" s="65" t="s">
        <v>223</v>
      </c>
      <c r="B746" s="65" t="s">
        <v>231</v>
      </c>
      <c r="C746" s="66" t="s">
        <v>1612</v>
      </c>
      <c r="D746" s="67">
        <v>5</v>
      </c>
      <c r="E746" s="68"/>
      <c r="F746" s="69">
        <v>25</v>
      </c>
      <c r="G746" s="66"/>
      <c r="H746" s="70"/>
      <c r="I746" s="71"/>
      <c r="J746" s="71"/>
      <c r="K746" s="35" t="s">
        <v>66</v>
      </c>
      <c r="L746" s="79">
        <v>746</v>
      </c>
      <c r="M746" s="79"/>
      <c r="N746" s="73"/>
      <c r="O746" s="81" t="s">
        <v>377</v>
      </c>
      <c r="P746">
        <v>1</v>
      </c>
      <c r="Q746" s="80" t="str">
        <f>REPLACE(INDEX(GroupVertices[Group],MATCH(Edges[[#This Row],[Vertex 1]],GroupVertices[Vertex],0)),1,1,"")</f>
        <v>1</v>
      </c>
      <c r="R746" s="80" t="str">
        <f>REPLACE(INDEX(GroupVertices[Group],MATCH(Edges[[#This Row],[Vertex 2]],GroupVertices[Vertex],0)),1,1,"")</f>
        <v>1</v>
      </c>
      <c r="S746" s="35"/>
      <c r="T746" s="35"/>
      <c r="U746" s="35"/>
      <c r="V746" s="35"/>
      <c r="W746" s="35"/>
      <c r="X746" s="35"/>
      <c r="Y746" s="35"/>
      <c r="Z746" s="35"/>
      <c r="AA746" s="35"/>
    </row>
    <row r="747" spans="1:27" ht="15">
      <c r="A747" s="65" t="s">
        <v>223</v>
      </c>
      <c r="B747" s="65" t="s">
        <v>230</v>
      </c>
      <c r="C747" s="66" t="s">
        <v>1612</v>
      </c>
      <c r="D747" s="67">
        <v>5</v>
      </c>
      <c r="E747" s="68"/>
      <c r="F747" s="69">
        <v>25</v>
      </c>
      <c r="G747" s="66"/>
      <c r="H747" s="70"/>
      <c r="I747" s="71"/>
      <c r="J747" s="71"/>
      <c r="K747" s="35" t="s">
        <v>66</v>
      </c>
      <c r="L747" s="79">
        <v>747</v>
      </c>
      <c r="M747" s="79"/>
      <c r="N747" s="73"/>
      <c r="O747" s="81" t="s">
        <v>377</v>
      </c>
      <c r="P747">
        <v>1</v>
      </c>
      <c r="Q747" s="80" t="str">
        <f>REPLACE(INDEX(GroupVertices[Group],MATCH(Edges[[#This Row],[Vertex 1]],GroupVertices[Vertex],0)),1,1,"")</f>
        <v>1</v>
      </c>
      <c r="R747" s="80" t="str">
        <f>REPLACE(INDEX(GroupVertices[Group],MATCH(Edges[[#This Row],[Vertex 2]],GroupVertices[Vertex],0)),1,1,"")</f>
        <v>2</v>
      </c>
      <c r="S747" s="35"/>
      <c r="T747" s="35"/>
      <c r="U747" s="35"/>
      <c r="V747" s="35"/>
      <c r="W747" s="35"/>
      <c r="X747" s="35"/>
      <c r="Y747" s="35"/>
      <c r="Z747" s="35"/>
      <c r="AA747" s="35"/>
    </row>
    <row r="748" spans="1:27" ht="15">
      <c r="A748" s="65" t="s">
        <v>229</v>
      </c>
      <c r="B748" s="65" t="s">
        <v>223</v>
      </c>
      <c r="C748" s="66" t="s">
        <v>1612</v>
      </c>
      <c r="D748" s="67">
        <v>5</v>
      </c>
      <c r="E748" s="68"/>
      <c r="F748" s="69">
        <v>25</v>
      </c>
      <c r="G748" s="66"/>
      <c r="H748" s="70"/>
      <c r="I748" s="71"/>
      <c r="J748" s="71"/>
      <c r="K748" s="35" t="s">
        <v>65</v>
      </c>
      <c r="L748" s="79">
        <v>748</v>
      </c>
      <c r="M748" s="79"/>
      <c r="N748" s="73"/>
      <c r="O748" s="81" t="s">
        <v>377</v>
      </c>
      <c r="P748">
        <v>1</v>
      </c>
      <c r="Q748" s="80" t="str">
        <f>REPLACE(INDEX(GroupVertices[Group],MATCH(Edges[[#This Row],[Vertex 1]],GroupVertices[Vertex],0)),1,1,"")</f>
        <v>1</v>
      </c>
      <c r="R748" s="80" t="str">
        <f>REPLACE(INDEX(GroupVertices[Group],MATCH(Edges[[#This Row],[Vertex 2]],GroupVertices[Vertex],0)),1,1,"")</f>
        <v>1</v>
      </c>
      <c r="S748" s="35"/>
      <c r="T748" s="35"/>
      <c r="U748" s="35"/>
      <c r="V748" s="35"/>
      <c r="W748" s="35"/>
      <c r="X748" s="35"/>
      <c r="Y748" s="35"/>
      <c r="Z748" s="35"/>
      <c r="AA748" s="35"/>
    </row>
    <row r="749" spans="1:27" ht="15">
      <c r="A749" s="65" t="s">
        <v>230</v>
      </c>
      <c r="B749" s="65" t="s">
        <v>223</v>
      </c>
      <c r="C749" s="66" t="s">
        <v>1612</v>
      </c>
      <c r="D749" s="67">
        <v>5</v>
      </c>
      <c r="E749" s="68"/>
      <c r="F749" s="69">
        <v>25</v>
      </c>
      <c r="G749" s="66"/>
      <c r="H749" s="70"/>
      <c r="I749" s="71"/>
      <c r="J749" s="71"/>
      <c r="K749" s="35" t="s">
        <v>66</v>
      </c>
      <c r="L749" s="79">
        <v>749</v>
      </c>
      <c r="M749" s="79"/>
      <c r="N749" s="73"/>
      <c r="O749" s="81" t="s">
        <v>377</v>
      </c>
      <c r="P749">
        <v>1</v>
      </c>
      <c r="Q749" s="80" t="str">
        <f>REPLACE(INDEX(GroupVertices[Group],MATCH(Edges[[#This Row],[Vertex 1]],GroupVertices[Vertex],0)),1,1,"")</f>
        <v>2</v>
      </c>
      <c r="R749" s="80" t="str">
        <f>REPLACE(INDEX(GroupVertices[Group],MATCH(Edges[[#This Row],[Vertex 2]],GroupVertices[Vertex],0)),1,1,"")</f>
        <v>1</v>
      </c>
      <c r="S749" s="35"/>
      <c r="T749" s="35"/>
      <c r="U749" s="35"/>
      <c r="V749" s="35"/>
      <c r="W749" s="35"/>
      <c r="X749" s="35"/>
      <c r="Y749" s="35"/>
      <c r="Z749" s="35"/>
      <c r="AA749" s="35"/>
    </row>
    <row r="750" spans="1:27" ht="15">
      <c r="A750" s="65" t="s">
        <v>223</v>
      </c>
      <c r="B750" s="65" t="s">
        <v>231</v>
      </c>
      <c r="C750" s="66" t="s">
        <v>1612</v>
      </c>
      <c r="D750" s="67">
        <v>5</v>
      </c>
      <c r="E750" s="68"/>
      <c r="F750" s="69">
        <v>25</v>
      </c>
      <c r="G750" s="66"/>
      <c r="H750" s="70"/>
      <c r="I750" s="71"/>
      <c r="J750" s="71"/>
      <c r="K750" s="35" t="s">
        <v>66</v>
      </c>
      <c r="L750" s="79">
        <v>750</v>
      </c>
      <c r="M750" s="79"/>
      <c r="N750" s="73"/>
      <c r="O750" s="81" t="s">
        <v>379</v>
      </c>
      <c r="P750">
        <v>1</v>
      </c>
      <c r="Q750" s="80" t="str">
        <f>REPLACE(INDEX(GroupVertices[Group],MATCH(Edges[[#This Row],[Vertex 1]],GroupVertices[Vertex],0)),1,1,"")</f>
        <v>1</v>
      </c>
      <c r="R750" s="80" t="str">
        <f>REPLACE(INDEX(GroupVertices[Group],MATCH(Edges[[#This Row],[Vertex 2]],GroupVertices[Vertex],0)),1,1,"")</f>
        <v>1</v>
      </c>
      <c r="S750" s="35"/>
      <c r="T750" s="35"/>
      <c r="U750" s="35"/>
      <c r="V750" s="35"/>
      <c r="W750" s="35"/>
      <c r="X750" s="35"/>
      <c r="Y750" s="35"/>
      <c r="Z750" s="35"/>
      <c r="AA750" s="35"/>
    </row>
    <row r="751" spans="1:27" ht="15">
      <c r="A751" s="65" t="s">
        <v>229</v>
      </c>
      <c r="B751" s="65" t="s">
        <v>223</v>
      </c>
      <c r="C751" s="66" t="s">
        <v>1612</v>
      </c>
      <c r="D751" s="67">
        <v>5</v>
      </c>
      <c r="E751" s="68"/>
      <c r="F751" s="69">
        <v>25</v>
      </c>
      <c r="G751" s="66"/>
      <c r="H751" s="70"/>
      <c r="I751" s="71"/>
      <c r="J751" s="71"/>
      <c r="K751" s="35" t="s">
        <v>65</v>
      </c>
      <c r="L751" s="79">
        <v>751</v>
      </c>
      <c r="M751" s="79"/>
      <c r="N751" s="73"/>
      <c r="O751" s="81" t="s">
        <v>379</v>
      </c>
      <c r="P751">
        <v>1</v>
      </c>
      <c r="Q751" s="80" t="str">
        <f>REPLACE(INDEX(GroupVertices[Group],MATCH(Edges[[#This Row],[Vertex 1]],GroupVertices[Vertex],0)),1,1,"")</f>
        <v>1</v>
      </c>
      <c r="R751" s="80" t="str">
        <f>REPLACE(INDEX(GroupVertices[Group],MATCH(Edges[[#This Row],[Vertex 2]],GroupVertices[Vertex],0)),1,1,"")</f>
        <v>1</v>
      </c>
      <c r="S751" s="35"/>
      <c r="T751" s="35"/>
      <c r="U751" s="35"/>
      <c r="V751" s="35"/>
      <c r="W751" s="35"/>
      <c r="X751" s="35"/>
      <c r="Y751" s="35"/>
      <c r="Z751" s="35"/>
      <c r="AA751" s="35"/>
    </row>
    <row r="752" spans="1:27" ht="15">
      <c r="A752" s="65" t="s">
        <v>230</v>
      </c>
      <c r="B752" s="65" t="s">
        <v>223</v>
      </c>
      <c r="C752" s="66" t="s">
        <v>1612</v>
      </c>
      <c r="D752" s="67">
        <v>5</v>
      </c>
      <c r="E752" s="68"/>
      <c r="F752" s="69">
        <v>25</v>
      </c>
      <c r="G752" s="66"/>
      <c r="H752" s="70"/>
      <c r="I752" s="71"/>
      <c r="J752" s="71"/>
      <c r="K752" s="35" t="s">
        <v>66</v>
      </c>
      <c r="L752" s="79">
        <v>752</v>
      </c>
      <c r="M752" s="79"/>
      <c r="N752" s="73"/>
      <c r="O752" s="81" t="s">
        <v>379</v>
      </c>
      <c r="P752">
        <v>1</v>
      </c>
      <c r="Q752" s="80" t="str">
        <f>REPLACE(INDEX(GroupVertices[Group],MATCH(Edges[[#This Row],[Vertex 1]],GroupVertices[Vertex],0)),1,1,"")</f>
        <v>2</v>
      </c>
      <c r="R752" s="80" t="str">
        <f>REPLACE(INDEX(GroupVertices[Group],MATCH(Edges[[#This Row],[Vertex 2]],GroupVertices[Vertex],0)),1,1,"")</f>
        <v>1</v>
      </c>
      <c r="S752" s="35"/>
      <c r="T752" s="35"/>
      <c r="U752" s="35"/>
      <c r="V752" s="35"/>
      <c r="W752" s="35"/>
      <c r="X752" s="35"/>
      <c r="Y752" s="35"/>
      <c r="Z752" s="35"/>
      <c r="AA752" s="35"/>
    </row>
    <row r="753" spans="1:27" ht="15">
      <c r="A753" s="65" t="s">
        <v>224</v>
      </c>
      <c r="B753" s="65" t="s">
        <v>223</v>
      </c>
      <c r="C753" s="66" t="s">
        <v>1612</v>
      </c>
      <c r="D753" s="67">
        <v>5</v>
      </c>
      <c r="E753" s="68"/>
      <c r="F753" s="69">
        <v>25</v>
      </c>
      <c r="G753" s="66"/>
      <c r="H753" s="70"/>
      <c r="I753" s="71"/>
      <c r="J753" s="71"/>
      <c r="K753" s="35" t="s">
        <v>65</v>
      </c>
      <c r="L753" s="79">
        <v>753</v>
      </c>
      <c r="M753" s="79"/>
      <c r="N753" s="73"/>
      <c r="O753" s="81" t="s">
        <v>379</v>
      </c>
      <c r="P753">
        <v>1</v>
      </c>
      <c r="Q753" s="80" t="str">
        <f>REPLACE(INDEX(GroupVertices[Group],MATCH(Edges[[#This Row],[Vertex 1]],GroupVertices[Vertex],0)),1,1,"")</f>
        <v>1</v>
      </c>
      <c r="R753" s="80" t="str">
        <f>REPLACE(INDEX(GroupVertices[Group],MATCH(Edges[[#This Row],[Vertex 2]],GroupVertices[Vertex],0)),1,1,"")</f>
        <v>1</v>
      </c>
      <c r="S753" s="35"/>
      <c r="T753" s="35"/>
      <c r="U753" s="35"/>
      <c r="V753" s="35"/>
      <c r="W753" s="35"/>
      <c r="X753" s="35"/>
      <c r="Y753" s="35"/>
      <c r="Z753" s="35"/>
      <c r="AA753" s="35"/>
    </row>
    <row r="754" spans="1:27" ht="15">
      <c r="A754" s="65" t="s">
        <v>225</v>
      </c>
      <c r="B754" s="65" t="s">
        <v>223</v>
      </c>
      <c r="C754" s="66" t="s">
        <v>1612</v>
      </c>
      <c r="D754" s="67">
        <v>5</v>
      </c>
      <c r="E754" s="68"/>
      <c r="F754" s="69">
        <v>25</v>
      </c>
      <c r="G754" s="66"/>
      <c r="H754" s="70"/>
      <c r="I754" s="71"/>
      <c r="J754" s="71"/>
      <c r="K754" s="35" t="s">
        <v>65</v>
      </c>
      <c r="L754" s="79">
        <v>754</v>
      </c>
      <c r="M754" s="79"/>
      <c r="N754" s="73"/>
      <c r="O754" s="81" t="s">
        <v>379</v>
      </c>
      <c r="P754">
        <v>1</v>
      </c>
      <c r="Q754" s="80" t="str">
        <f>REPLACE(INDEX(GroupVertices[Group],MATCH(Edges[[#This Row],[Vertex 1]],GroupVertices[Vertex],0)),1,1,"")</f>
        <v>1</v>
      </c>
      <c r="R754" s="80" t="str">
        <f>REPLACE(INDEX(GroupVertices[Group],MATCH(Edges[[#This Row],[Vertex 2]],GroupVertices[Vertex],0)),1,1,"")</f>
        <v>1</v>
      </c>
      <c r="S754" s="35"/>
      <c r="T754" s="35"/>
      <c r="U754" s="35"/>
      <c r="V754" s="35"/>
      <c r="W754" s="35"/>
      <c r="X754" s="35"/>
      <c r="Y754" s="35"/>
      <c r="Z754" s="35"/>
      <c r="AA754" s="35"/>
    </row>
    <row r="755" spans="1:27" ht="15">
      <c r="A755" s="65" t="s">
        <v>229</v>
      </c>
      <c r="B755" s="65" t="s">
        <v>223</v>
      </c>
      <c r="C755" s="66" t="s">
        <v>1612</v>
      </c>
      <c r="D755" s="67">
        <v>5</v>
      </c>
      <c r="E755" s="68"/>
      <c r="F755" s="69">
        <v>25</v>
      </c>
      <c r="G755" s="66"/>
      <c r="H755" s="70"/>
      <c r="I755" s="71"/>
      <c r="J755" s="71"/>
      <c r="K755" s="35" t="s">
        <v>65</v>
      </c>
      <c r="L755" s="79">
        <v>755</v>
      </c>
      <c r="M755" s="79"/>
      <c r="N755" s="73"/>
      <c r="O755" s="81" t="s">
        <v>378</v>
      </c>
      <c r="P755">
        <v>1</v>
      </c>
      <c r="Q755" s="80" t="str">
        <f>REPLACE(INDEX(GroupVertices[Group],MATCH(Edges[[#This Row],[Vertex 1]],GroupVertices[Vertex],0)),1,1,"")</f>
        <v>1</v>
      </c>
      <c r="R755" s="80" t="str">
        <f>REPLACE(INDEX(GroupVertices[Group],MATCH(Edges[[#This Row],[Vertex 2]],GroupVertices[Vertex],0)),1,1,"")</f>
        <v>1</v>
      </c>
      <c r="S755" s="35"/>
      <c r="T755" s="35"/>
      <c r="U755" s="35"/>
      <c r="V755" s="35"/>
      <c r="W755" s="35"/>
      <c r="X755" s="35"/>
      <c r="Y755" s="35"/>
      <c r="Z755" s="35"/>
      <c r="AA755" s="35"/>
    </row>
    <row r="756" spans="1:27" ht="15">
      <c r="A756" s="65" t="s">
        <v>230</v>
      </c>
      <c r="B756" s="65" t="s">
        <v>223</v>
      </c>
      <c r="C756" s="66" t="s">
        <v>1612</v>
      </c>
      <c r="D756" s="67">
        <v>5</v>
      </c>
      <c r="E756" s="68"/>
      <c r="F756" s="69">
        <v>25</v>
      </c>
      <c r="G756" s="66"/>
      <c r="H756" s="70"/>
      <c r="I756" s="71"/>
      <c r="J756" s="71"/>
      <c r="K756" s="35" t="s">
        <v>66</v>
      </c>
      <c r="L756" s="79">
        <v>756</v>
      </c>
      <c r="M756" s="79"/>
      <c r="N756" s="73"/>
      <c r="O756" s="81" t="s">
        <v>378</v>
      </c>
      <c r="P756">
        <v>1</v>
      </c>
      <c r="Q756" s="80" t="str">
        <f>REPLACE(INDEX(GroupVertices[Group],MATCH(Edges[[#This Row],[Vertex 1]],GroupVertices[Vertex],0)),1,1,"")</f>
        <v>2</v>
      </c>
      <c r="R756" s="80" t="str">
        <f>REPLACE(INDEX(GroupVertices[Group],MATCH(Edges[[#This Row],[Vertex 2]],GroupVertices[Vertex],0)),1,1,"")</f>
        <v>1</v>
      </c>
      <c r="S756" s="35"/>
      <c r="T756" s="35"/>
      <c r="U756" s="35"/>
      <c r="V756" s="35"/>
      <c r="W756" s="35"/>
      <c r="X756" s="35"/>
      <c r="Y756" s="35"/>
      <c r="Z756" s="35"/>
      <c r="AA756" s="35"/>
    </row>
    <row r="757" spans="1:27" ht="15">
      <c r="A757" s="65" t="s">
        <v>231</v>
      </c>
      <c r="B757" s="65" t="s">
        <v>223</v>
      </c>
      <c r="C757" s="66" t="s">
        <v>1612</v>
      </c>
      <c r="D757" s="67">
        <v>5</v>
      </c>
      <c r="E757" s="68"/>
      <c r="F757" s="69">
        <v>25</v>
      </c>
      <c r="G757" s="66"/>
      <c r="H757" s="70"/>
      <c r="I757" s="71"/>
      <c r="J757" s="71"/>
      <c r="K757" s="35" t="s">
        <v>66</v>
      </c>
      <c r="L757" s="79">
        <v>757</v>
      </c>
      <c r="M757" s="79"/>
      <c r="N757" s="73"/>
      <c r="O757" s="81" t="s">
        <v>378</v>
      </c>
      <c r="P757">
        <v>1</v>
      </c>
      <c r="Q757" s="80" t="str">
        <f>REPLACE(INDEX(GroupVertices[Group],MATCH(Edges[[#This Row],[Vertex 1]],GroupVertices[Vertex],0)),1,1,"")</f>
        <v>1</v>
      </c>
      <c r="R757" s="80" t="str">
        <f>REPLACE(INDEX(GroupVertices[Group],MATCH(Edges[[#This Row],[Vertex 2]],GroupVertices[Vertex],0)),1,1,"")</f>
        <v>1</v>
      </c>
      <c r="S757" s="35"/>
      <c r="T757" s="35"/>
      <c r="U757" s="35"/>
      <c r="V757" s="35"/>
      <c r="W757" s="35"/>
      <c r="X757" s="35"/>
      <c r="Y757" s="35"/>
      <c r="Z757" s="35"/>
      <c r="AA757" s="35"/>
    </row>
    <row r="758" spans="1:27" ht="15">
      <c r="A758" s="65" t="s">
        <v>231</v>
      </c>
      <c r="B758" s="65" t="s">
        <v>229</v>
      </c>
      <c r="C758" s="66" t="s">
        <v>1612</v>
      </c>
      <c r="D758" s="67">
        <v>5</v>
      </c>
      <c r="E758" s="68"/>
      <c r="F758" s="69">
        <v>25</v>
      </c>
      <c r="G758" s="66"/>
      <c r="H758" s="70"/>
      <c r="I758" s="71"/>
      <c r="J758" s="71"/>
      <c r="K758" s="35" t="s">
        <v>66</v>
      </c>
      <c r="L758" s="79">
        <v>758</v>
      </c>
      <c r="M758" s="79"/>
      <c r="N758" s="73"/>
      <c r="O758" s="81" t="s">
        <v>377</v>
      </c>
      <c r="P758">
        <v>1</v>
      </c>
      <c r="Q758" s="80" t="str">
        <f>REPLACE(INDEX(GroupVertices[Group],MATCH(Edges[[#This Row],[Vertex 1]],GroupVertices[Vertex],0)),1,1,"")</f>
        <v>1</v>
      </c>
      <c r="R758" s="80" t="str">
        <f>REPLACE(INDEX(GroupVertices[Group],MATCH(Edges[[#This Row],[Vertex 2]],GroupVertices[Vertex],0)),1,1,"")</f>
        <v>1</v>
      </c>
      <c r="S758" s="35"/>
      <c r="T758" s="35"/>
      <c r="U758" s="35"/>
      <c r="V758" s="35"/>
      <c r="W758" s="35"/>
      <c r="X758" s="35"/>
      <c r="Y758" s="35"/>
      <c r="Z758" s="35"/>
      <c r="AA758" s="35"/>
    </row>
    <row r="759" spans="1:27" ht="15">
      <c r="A759" s="65" t="s">
        <v>229</v>
      </c>
      <c r="B759" s="65" t="s">
        <v>230</v>
      </c>
      <c r="C759" s="66" t="s">
        <v>1612</v>
      </c>
      <c r="D759" s="67">
        <v>5</v>
      </c>
      <c r="E759" s="68"/>
      <c r="F759" s="69">
        <v>25</v>
      </c>
      <c r="G759" s="66"/>
      <c r="H759" s="70"/>
      <c r="I759" s="71"/>
      <c r="J759" s="71"/>
      <c r="K759" s="35" t="s">
        <v>66</v>
      </c>
      <c r="L759" s="79">
        <v>759</v>
      </c>
      <c r="M759" s="79"/>
      <c r="N759" s="73"/>
      <c r="O759" s="81" t="s">
        <v>377</v>
      </c>
      <c r="P759">
        <v>1</v>
      </c>
      <c r="Q759" s="80" t="str">
        <f>REPLACE(INDEX(GroupVertices[Group],MATCH(Edges[[#This Row],[Vertex 1]],GroupVertices[Vertex],0)),1,1,"")</f>
        <v>1</v>
      </c>
      <c r="R759" s="80" t="str">
        <f>REPLACE(INDEX(GroupVertices[Group],MATCH(Edges[[#This Row],[Vertex 2]],GroupVertices[Vertex],0)),1,1,"")</f>
        <v>2</v>
      </c>
      <c r="S759" s="35"/>
      <c r="T759" s="35"/>
      <c r="U759" s="35"/>
      <c r="V759" s="35"/>
      <c r="W759" s="35"/>
      <c r="X759" s="35"/>
      <c r="Y759" s="35"/>
      <c r="Z759" s="35"/>
      <c r="AA759" s="35"/>
    </row>
    <row r="760" spans="1:27" ht="15">
      <c r="A760" s="65" t="s">
        <v>229</v>
      </c>
      <c r="B760" s="65" t="s">
        <v>231</v>
      </c>
      <c r="C760" s="66" t="s">
        <v>1612</v>
      </c>
      <c r="D760" s="67">
        <v>5</v>
      </c>
      <c r="E760" s="68"/>
      <c r="F760" s="69">
        <v>25</v>
      </c>
      <c r="G760" s="66"/>
      <c r="H760" s="70"/>
      <c r="I760" s="71"/>
      <c r="J760" s="71"/>
      <c r="K760" s="35" t="s">
        <v>66</v>
      </c>
      <c r="L760" s="79">
        <v>760</v>
      </c>
      <c r="M760" s="79"/>
      <c r="N760" s="73"/>
      <c r="O760" s="81" t="s">
        <v>377</v>
      </c>
      <c r="P760">
        <v>1</v>
      </c>
      <c r="Q760" s="80" t="str">
        <f>REPLACE(INDEX(GroupVertices[Group],MATCH(Edges[[#This Row],[Vertex 1]],GroupVertices[Vertex],0)),1,1,"")</f>
        <v>1</v>
      </c>
      <c r="R760" s="80" t="str">
        <f>REPLACE(INDEX(GroupVertices[Group],MATCH(Edges[[#This Row],[Vertex 2]],GroupVertices[Vertex],0)),1,1,"")</f>
        <v>1</v>
      </c>
      <c r="S760" s="35"/>
      <c r="T760" s="35"/>
      <c r="U760" s="35"/>
      <c r="V760" s="35"/>
      <c r="W760" s="35"/>
      <c r="X760" s="35"/>
      <c r="Y760" s="35"/>
      <c r="Z760" s="35"/>
      <c r="AA760" s="35"/>
    </row>
    <row r="761" spans="1:27" ht="15">
      <c r="A761" s="65" t="s">
        <v>230</v>
      </c>
      <c r="B761" s="65" t="s">
        <v>229</v>
      </c>
      <c r="C761" s="66" t="s">
        <v>1612</v>
      </c>
      <c r="D761" s="67">
        <v>5</v>
      </c>
      <c r="E761" s="68"/>
      <c r="F761" s="69">
        <v>25</v>
      </c>
      <c r="G761" s="66"/>
      <c r="H761" s="70"/>
      <c r="I761" s="71"/>
      <c r="J761" s="71"/>
      <c r="K761" s="35" t="s">
        <v>66</v>
      </c>
      <c r="L761" s="79">
        <v>761</v>
      </c>
      <c r="M761" s="79"/>
      <c r="N761" s="73"/>
      <c r="O761" s="81" t="s">
        <v>377</v>
      </c>
      <c r="P761">
        <v>1</v>
      </c>
      <c r="Q761" s="80" t="str">
        <f>REPLACE(INDEX(GroupVertices[Group],MATCH(Edges[[#This Row],[Vertex 1]],GroupVertices[Vertex],0)),1,1,"")</f>
        <v>2</v>
      </c>
      <c r="R761" s="80" t="str">
        <f>REPLACE(INDEX(GroupVertices[Group],MATCH(Edges[[#This Row],[Vertex 2]],GroupVertices[Vertex],0)),1,1,"")</f>
        <v>1</v>
      </c>
      <c r="S761" s="35"/>
      <c r="T761" s="35"/>
      <c r="U761" s="35"/>
      <c r="V761" s="35"/>
      <c r="W761" s="35"/>
      <c r="X761" s="35"/>
      <c r="Y761" s="35"/>
      <c r="Z761" s="35"/>
      <c r="AA761" s="35"/>
    </row>
    <row r="762" spans="1:27" ht="15">
      <c r="A762" s="65" t="s">
        <v>225</v>
      </c>
      <c r="B762" s="65" t="s">
        <v>229</v>
      </c>
      <c r="C762" s="66" t="s">
        <v>1612</v>
      </c>
      <c r="D762" s="67">
        <v>5</v>
      </c>
      <c r="E762" s="68"/>
      <c r="F762" s="69">
        <v>25</v>
      </c>
      <c r="G762" s="66"/>
      <c r="H762" s="70"/>
      <c r="I762" s="71"/>
      <c r="J762" s="71"/>
      <c r="K762" s="35" t="s">
        <v>65</v>
      </c>
      <c r="L762" s="79">
        <v>762</v>
      </c>
      <c r="M762" s="79"/>
      <c r="N762" s="73"/>
      <c r="O762" s="81" t="s">
        <v>377</v>
      </c>
      <c r="P762">
        <v>1</v>
      </c>
      <c r="Q762" s="80" t="str">
        <f>REPLACE(INDEX(GroupVertices[Group],MATCH(Edges[[#This Row],[Vertex 1]],GroupVertices[Vertex],0)),1,1,"")</f>
        <v>1</v>
      </c>
      <c r="R762" s="80" t="str">
        <f>REPLACE(INDEX(GroupVertices[Group],MATCH(Edges[[#This Row],[Vertex 2]],GroupVertices[Vertex],0)),1,1,"")</f>
        <v>1</v>
      </c>
      <c r="S762" s="35"/>
      <c r="T762" s="35"/>
      <c r="U762" s="35"/>
      <c r="V762" s="35"/>
      <c r="W762" s="35"/>
      <c r="X762" s="35"/>
      <c r="Y762" s="35"/>
      <c r="Z762" s="35"/>
      <c r="AA762" s="35"/>
    </row>
    <row r="763" spans="1:27" ht="15">
      <c r="A763" s="65" t="s">
        <v>229</v>
      </c>
      <c r="B763" s="65" t="s">
        <v>231</v>
      </c>
      <c r="C763" s="66" t="s">
        <v>1612</v>
      </c>
      <c r="D763" s="67">
        <v>5</v>
      </c>
      <c r="E763" s="68"/>
      <c r="F763" s="69">
        <v>25</v>
      </c>
      <c r="G763" s="66"/>
      <c r="H763" s="70"/>
      <c r="I763" s="71"/>
      <c r="J763" s="71"/>
      <c r="K763" s="35" t="s">
        <v>66</v>
      </c>
      <c r="L763" s="79">
        <v>763</v>
      </c>
      <c r="M763" s="79"/>
      <c r="N763" s="73"/>
      <c r="O763" s="81" t="s">
        <v>379</v>
      </c>
      <c r="P763">
        <v>1</v>
      </c>
      <c r="Q763" s="80" t="str">
        <f>REPLACE(INDEX(GroupVertices[Group],MATCH(Edges[[#This Row],[Vertex 1]],GroupVertices[Vertex],0)),1,1,"")</f>
        <v>1</v>
      </c>
      <c r="R763" s="80" t="str">
        <f>REPLACE(INDEX(GroupVertices[Group],MATCH(Edges[[#This Row],[Vertex 2]],GroupVertices[Vertex],0)),1,1,"")</f>
        <v>1</v>
      </c>
      <c r="S763" s="35"/>
      <c r="T763" s="35"/>
      <c r="U763" s="35"/>
      <c r="V763" s="35"/>
      <c r="W763" s="35"/>
      <c r="X763" s="35"/>
      <c r="Y763" s="35"/>
      <c r="Z763" s="35"/>
      <c r="AA763" s="35"/>
    </row>
    <row r="764" spans="1:27" ht="15">
      <c r="A764" s="65" t="s">
        <v>230</v>
      </c>
      <c r="B764" s="65" t="s">
        <v>229</v>
      </c>
      <c r="C764" s="66" t="s">
        <v>1612</v>
      </c>
      <c r="D764" s="67">
        <v>5</v>
      </c>
      <c r="E764" s="68"/>
      <c r="F764" s="69">
        <v>25</v>
      </c>
      <c r="G764" s="66"/>
      <c r="H764" s="70"/>
      <c r="I764" s="71"/>
      <c r="J764" s="71"/>
      <c r="K764" s="35" t="s">
        <v>66</v>
      </c>
      <c r="L764" s="79">
        <v>764</v>
      </c>
      <c r="M764" s="79"/>
      <c r="N764" s="73"/>
      <c r="O764" s="81" t="s">
        <v>379</v>
      </c>
      <c r="P764">
        <v>1</v>
      </c>
      <c r="Q764" s="80" t="str">
        <f>REPLACE(INDEX(GroupVertices[Group],MATCH(Edges[[#This Row],[Vertex 1]],GroupVertices[Vertex],0)),1,1,"")</f>
        <v>2</v>
      </c>
      <c r="R764" s="80" t="str">
        <f>REPLACE(INDEX(GroupVertices[Group],MATCH(Edges[[#This Row],[Vertex 2]],GroupVertices[Vertex],0)),1,1,"")</f>
        <v>1</v>
      </c>
      <c r="S764" s="35"/>
      <c r="T764" s="35"/>
      <c r="U764" s="35"/>
      <c r="V764" s="35"/>
      <c r="W764" s="35"/>
      <c r="X764" s="35"/>
      <c r="Y764" s="35"/>
      <c r="Z764" s="35"/>
      <c r="AA764" s="35"/>
    </row>
    <row r="765" spans="1:27" ht="15">
      <c r="A765" s="65" t="s">
        <v>224</v>
      </c>
      <c r="B765" s="65" t="s">
        <v>229</v>
      </c>
      <c r="C765" s="66" t="s">
        <v>1612</v>
      </c>
      <c r="D765" s="67">
        <v>5</v>
      </c>
      <c r="E765" s="68"/>
      <c r="F765" s="69">
        <v>25</v>
      </c>
      <c r="G765" s="66"/>
      <c r="H765" s="70"/>
      <c r="I765" s="71"/>
      <c r="J765" s="71"/>
      <c r="K765" s="35" t="s">
        <v>65</v>
      </c>
      <c r="L765" s="79">
        <v>765</v>
      </c>
      <c r="M765" s="79"/>
      <c r="N765" s="73"/>
      <c r="O765" s="81" t="s">
        <v>379</v>
      </c>
      <c r="P765">
        <v>1</v>
      </c>
      <c r="Q765" s="80" t="str">
        <f>REPLACE(INDEX(GroupVertices[Group],MATCH(Edges[[#This Row],[Vertex 1]],GroupVertices[Vertex],0)),1,1,"")</f>
        <v>1</v>
      </c>
      <c r="R765" s="80" t="str">
        <f>REPLACE(INDEX(GroupVertices[Group],MATCH(Edges[[#This Row],[Vertex 2]],GroupVertices[Vertex],0)),1,1,"")</f>
        <v>1</v>
      </c>
      <c r="S765" s="35"/>
      <c r="T765" s="35"/>
      <c r="U765" s="35"/>
      <c r="V765" s="35"/>
      <c r="W765" s="35"/>
      <c r="X765" s="35"/>
      <c r="Y765" s="35"/>
      <c r="Z765" s="35"/>
      <c r="AA765" s="35"/>
    </row>
    <row r="766" spans="1:27" ht="15">
      <c r="A766" s="65" t="s">
        <v>225</v>
      </c>
      <c r="B766" s="65" t="s">
        <v>229</v>
      </c>
      <c r="C766" s="66" t="s">
        <v>1612</v>
      </c>
      <c r="D766" s="67">
        <v>5</v>
      </c>
      <c r="E766" s="68"/>
      <c r="F766" s="69">
        <v>25</v>
      </c>
      <c r="G766" s="66"/>
      <c r="H766" s="70"/>
      <c r="I766" s="71"/>
      <c r="J766" s="71"/>
      <c r="K766" s="35" t="s">
        <v>65</v>
      </c>
      <c r="L766" s="79">
        <v>766</v>
      </c>
      <c r="M766" s="79"/>
      <c r="N766" s="73"/>
      <c r="O766" s="81" t="s">
        <v>379</v>
      </c>
      <c r="P766">
        <v>1</v>
      </c>
      <c r="Q766" s="80" t="str">
        <f>REPLACE(INDEX(GroupVertices[Group],MATCH(Edges[[#This Row],[Vertex 1]],GroupVertices[Vertex],0)),1,1,"")</f>
        <v>1</v>
      </c>
      <c r="R766" s="80" t="str">
        <f>REPLACE(INDEX(GroupVertices[Group],MATCH(Edges[[#This Row],[Vertex 2]],GroupVertices[Vertex],0)),1,1,"")</f>
        <v>1</v>
      </c>
      <c r="S766" s="35"/>
      <c r="T766" s="35"/>
      <c r="U766" s="35"/>
      <c r="V766" s="35"/>
      <c r="W766" s="35"/>
      <c r="X766" s="35"/>
      <c r="Y766" s="35"/>
      <c r="Z766" s="35"/>
      <c r="AA766" s="35"/>
    </row>
    <row r="767" spans="1:27" ht="15">
      <c r="A767" s="65" t="s">
        <v>229</v>
      </c>
      <c r="B767" s="65" t="s">
        <v>230</v>
      </c>
      <c r="C767" s="66" t="s">
        <v>1612</v>
      </c>
      <c r="D767" s="67">
        <v>5</v>
      </c>
      <c r="E767" s="68"/>
      <c r="F767" s="69">
        <v>25</v>
      </c>
      <c r="G767" s="66"/>
      <c r="H767" s="70"/>
      <c r="I767" s="71"/>
      <c r="J767" s="71"/>
      <c r="K767" s="35" t="s">
        <v>66</v>
      </c>
      <c r="L767" s="79">
        <v>767</v>
      </c>
      <c r="M767" s="79"/>
      <c r="N767" s="73"/>
      <c r="O767" s="81" t="s">
        <v>378</v>
      </c>
      <c r="P767">
        <v>1</v>
      </c>
      <c r="Q767" s="80" t="str">
        <f>REPLACE(INDEX(GroupVertices[Group],MATCH(Edges[[#This Row],[Vertex 1]],GroupVertices[Vertex],0)),1,1,"")</f>
        <v>1</v>
      </c>
      <c r="R767" s="80" t="str">
        <f>REPLACE(INDEX(GroupVertices[Group],MATCH(Edges[[#This Row],[Vertex 2]],GroupVertices[Vertex],0)),1,1,"")</f>
        <v>2</v>
      </c>
      <c r="S767" s="35"/>
      <c r="T767" s="35"/>
      <c r="U767" s="35"/>
      <c r="V767" s="35"/>
      <c r="W767" s="35"/>
      <c r="X767" s="35"/>
      <c r="Y767" s="35"/>
      <c r="Z767" s="35"/>
      <c r="AA767" s="35"/>
    </row>
    <row r="768" spans="1:27" ht="15">
      <c r="A768" s="65" t="s">
        <v>229</v>
      </c>
      <c r="B768" s="65" t="s">
        <v>231</v>
      </c>
      <c r="C768" s="66" t="s">
        <v>1612</v>
      </c>
      <c r="D768" s="67">
        <v>5</v>
      </c>
      <c r="E768" s="68"/>
      <c r="F768" s="69">
        <v>25</v>
      </c>
      <c r="G768" s="66"/>
      <c r="H768" s="70"/>
      <c r="I768" s="71"/>
      <c r="J768" s="71"/>
      <c r="K768" s="35" t="s">
        <v>66</v>
      </c>
      <c r="L768" s="79">
        <v>768</v>
      </c>
      <c r="M768" s="79"/>
      <c r="N768" s="73"/>
      <c r="O768" s="81" t="s">
        <v>378</v>
      </c>
      <c r="P768">
        <v>1</v>
      </c>
      <c r="Q768" s="80" t="str">
        <f>REPLACE(INDEX(GroupVertices[Group],MATCH(Edges[[#This Row],[Vertex 1]],GroupVertices[Vertex],0)),1,1,"")</f>
        <v>1</v>
      </c>
      <c r="R768" s="80" t="str">
        <f>REPLACE(INDEX(GroupVertices[Group],MATCH(Edges[[#This Row],[Vertex 2]],GroupVertices[Vertex],0)),1,1,"")</f>
        <v>1</v>
      </c>
      <c r="S768" s="35"/>
      <c r="T768" s="35"/>
      <c r="U768" s="35"/>
      <c r="V768" s="35"/>
      <c r="W768" s="35"/>
      <c r="X768" s="35"/>
      <c r="Y768" s="35"/>
      <c r="Z768" s="35"/>
      <c r="AA768" s="35"/>
    </row>
    <row r="769" spans="1:27" ht="15">
      <c r="A769" s="65" t="s">
        <v>230</v>
      </c>
      <c r="B769" s="65" t="s">
        <v>229</v>
      </c>
      <c r="C769" s="66" t="s">
        <v>1612</v>
      </c>
      <c r="D769" s="67">
        <v>5</v>
      </c>
      <c r="E769" s="68"/>
      <c r="F769" s="69">
        <v>25</v>
      </c>
      <c r="G769" s="66"/>
      <c r="H769" s="70"/>
      <c r="I769" s="71"/>
      <c r="J769" s="71"/>
      <c r="K769" s="35" t="s">
        <v>66</v>
      </c>
      <c r="L769" s="79">
        <v>769</v>
      </c>
      <c r="M769" s="79"/>
      <c r="N769" s="73"/>
      <c r="O769" s="81" t="s">
        <v>378</v>
      </c>
      <c r="P769">
        <v>1</v>
      </c>
      <c r="Q769" s="80" t="str">
        <f>REPLACE(INDEX(GroupVertices[Group],MATCH(Edges[[#This Row],[Vertex 1]],GroupVertices[Vertex],0)),1,1,"")</f>
        <v>2</v>
      </c>
      <c r="R769" s="80" t="str">
        <f>REPLACE(INDEX(GroupVertices[Group],MATCH(Edges[[#This Row],[Vertex 2]],GroupVertices[Vertex],0)),1,1,"")</f>
        <v>1</v>
      </c>
      <c r="S769" s="35"/>
      <c r="T769" s="35"/>
      <c r="U769" s="35"/>
      <c r="V769" s="35"/>
      <c r="W769" s="35"/>
      <c r="X769" s="35"/>
      <c r="Y769" s="35"/>
      <c r="Z769" s="35"/>
      <c r="AA769" s="35"/>
    </row>
    <row r="770" spans="1:27" ht="15">
      <c r="A770" s="65" t="s">
        <v>231</v>
      </c>
      <c r="B770" s="65" t="s">
        <v>229</v>
      </c>
      <c r="C770" s="66" t="s">
        <v>1612</v>
      </c>
      <c r="D770" s="67">
        <v>5</v>
      </c>
      <c r="E770" s="68"/>
      <c r="F770" s="69">
        <v>25</v>
      </c>
      <c r="G770" s="66"/>
      <c r="H770" s="70"/>
      <c r="I770" s="71"/>
      <c r="J770" s="71"/>
      <c r="K770" s="35" t="s">
        <v>66</v>
      </c>
      <c r="L770" s="79">
        <v>770</v>
      </c>
      <c r="M770" s="79"/>
      <c r="N770" s="73"/>
      <c r="O770" s="81" t="s">
        <v>378</v>
      </c>
      <c r="P770">
        <v>1</v>
      </c>
      <c r="Q770" s="80" t="str">
        <f>REPLACE(INDEX(GroupVertices[Group],MATCH(Edges[[#This Row],[Vertex 1]],GroupVertices[Vertex],0)),1,1,"")</f>
        <v>1</v>
      </c>
      <c r="R770" s="80" t="str">
        <f>REPLACE(INDEX(GroupVertices[Group],MATCH(Edges[[#This Row],[Vertex 2]],GroupVertices[Vertex],0)),1,1,"")</f>
        <v>1</v>
      </c>
      <c r="S770" s="35"/>
      <c r="T770" s="35"/>
      <c r="U770" s="35"/>
      <c r="V770" s="35"/>
      <c r="W770" s="35"/>
      <c r="X770" s="35"/>
      <c r="Y770" s="35"/>
      <c r="Z770" s="35"/>
      <c r="AA770" s="35"/>
    </row>
    <row r="771" spans="1:27" ht="15">
      <c r="A771" s="65" t="s">
        <v>231</v>
      </c>
      <c r="B771" s="65" t="s">
        <v>230</v>
      </c>
      <c r="C771" s="66" t="s">
        <v>1612</v>
      </c>
      <c r="D771" s="67">
        <v>5</v>
      </c>
      <c r="E771" s="68"/>
      <c r="F771" s="69">
        <v>25</v>
      </c>
      <c r="G771" s="66"/>
      <c r="H771" s="70"/>
      <c r="I771" s="71"/>
      <c r="J771" s="71"/>
      <c r="K771" s="35" t="s">
        <v>66</v>
      </c>
      <c r="L771" s="79">
        <v>771</v>
      </c>
      <c r="M771" s="79"/>
      <c r="N771" s="73"/>
      <c r="O771" s="81" t="s">
        <v>377</v>
      </c>
      <c r="P771">
        <v>1</v>
      </c>
      <c r="Q771" s="80" t="str">
        <f>REPLACE(INDEX(GroupVertices[Group],MATCH(Edges[[#This Row],[Vertex 1]],GroupVertices[Vertex],0)),1,1,"")</f>
        <v>1</v>
      </c>
      <c r="R771" s="80" t="str">
        <f>REPLACE(INDEX(GroupVertices[Group],MATCH(Edges[[#This Row],[Vertex 2]],GroupVertices[Vertex],0)),1,1,"")</f>
        <v>2</v>
      </c>
      <c r="S771" s="35"/>
      <c r="T771" s="35"/>
      <c r="U771" s="35"/>
      <c r="V771" s="35"/>
      <c r="W771" s="35"/>
      <c r="X771" s="35"/>
      <c r="Y771" s="35"/>
      <c r="Z771" s="35"/>
      <c r="AA771" s="35"/>
    </row>
    <row r="772" spans="1:27" ht="15">
      <c r="A772" s="65" t="s">
        <v>230</v>
      </c>
      <c r="B772" s="65" t="s">
        <v>231</v>
      </c>
      <c r="C772" s="66" t="s">
        <v>1612</v>
      </c>
      <c r="D772" s="67">
        <v>5</v>
      </c>
      <c r="E772" s="68"/>
      <c r="F772" s="69">
        <v>25</v>
      </c>
      <c r="G772" s="66"/>
      <c r="H772" s="70"/>
      <c r="I772" s="71"/>
      <c r="J772" s="71"/>
      <c r="K772" s="35" t="s">
        <v>66</v>
      </c>
      <c r="L772" s="79">
        <v>772</v>
      </c>
      <c r="M772" s="79"/>
      <c r="N772" s="73"/>
      <c r="O772" s="81" t="s">
        <v>377</v>
      </c>
      <c r="P772">
        <v>1</v>
      </c>
      <c r="Q772" s="80" t="str">
        <f>REPLACE(INDEX(GroupVertices[Group],MATCH(Edges[[#This Row],[Vertex 1]],GroupVertices[Vertex],0)),1,1,"")</f>
        <v>2</v>
      </c>
      <c r="R772" s="80" t="str">
        <f>REPLACE(INDEX(GroupVertices[Group],MATCH(Edges[[#This Row],[Vertex 2]],GroupVertices[Vertex],0)),1,1,"")</f>
        <v>1</v>
      </c>
      <c r="S772" s="35"/>
      <c r="T772" s="35"/>
      <c r="U772" s="35"/>
      <c r="V772" s="35"/>
      <c r="W772" s="35"/>
      <c r="X772" s="35"/>
      <c r="Y772" s="35"/>
      <c r="Z772" s="35"/>
      <c r="AA772" s="35"/>
    </row>
    <row r="773" spans="1:27" ht="15">
      <c r="A773" s="65" t="s">
        <v>224</v>
      </c>
      <c r="B773" s="65" t="s">
        <v>230</v>
      </c>
      <c r="C773" s="66" t="s">
        <v>1612</v>
      </c>
      <c r="D773" s="67">
        <v>5</v>
      </c>
      <c r="E773" s="68"/>
      <c r="F773" s="69">
        <v>25</v>
      </c>
      <c r="G773" s="66"/>
      <c r="H773" s="70"/>
      <c r="I773" s="71"/>
      <c r="J773" s="71"/>
      <c r="K773" s="35" t="s">
        <v>65</v>
      </c>
      <c r="L773" s="79">
        <v>773</v>
      </c>
      <c r="M773" s="79"/>
      <c r="N773" s="73"/>
      <c r="O773" s="81" t="s">
        <v>377</v>
      </c>
      <c r="P773">
        <v>1</v>
      </c>
      <c r="Q773" s="80" t="str">
        <f>REPLACE(INDEX(GroupVertices[Group],MATCH(Edges[[#This Row],[Vertex 1]],GroupVertices[Vertex],0)),1,1,"")</f>
        <v>1</v>
      </c>
      <c r="R773" s="80" t="str">
        <f>REPLACE(INDEX(GroupVertices[Group],MATCH(Edges[[#This Row],[Vertex 2]],GroupVertices[Vertex],0)),1,1,"")</f>
        <v>2</v>
      </c>
      <c r="S773" s="35"/>
      <c r="T773" s="35"/>
      <c r="U773" s="35"/>
      <c r="V773" s="35"/>
      <c r="W773" s="35"/>
      <c r="X773" s="35"/>
      <c r="Y773" s="35"/>
      <c r="Z773" s="35"/>
      <c r="AA773" s="35"/>
    </row>
    <row r="774" spans="1:27" ht="15">
      <c r="A774" s="65" t="s">
        <v>225</v>
      </c>
      <c r="B774" s="65" t="s">
        <v>230</v>
      </c>
      <c r="C774" s="66" t="s">
        <v>1612</v>
      </c>
      <c r="D774" s="67">
        <v>5</v>
      </c>
      <c r="E774" s="68"/>
      <c r="F774" s="69">
        <v>25</v>
      </c>
      <c r="G774" s="66"/>
      <c r="H774" s="70"/>
      <c r="I774" s="71"/>
      <c r="J774" s="71"/>
      <c r="K774" s="35" t="s">
        <v>65</v>
      </c>
      <c r="L774" s="79">
        <v>774</v>
      </c>
      <c r="M774" s="79"/>
      <c r="N774" s="73"/>
      <c r="O774" s="81" t="s">
        <v>377</v>
      </c>
      <c r="P774">
        <v>1</v>
      </c>
      <c r="Q774" s="80" t="str">
        <f>REPLACE(INDEX(GroupVertices[Group],MATCH(Edges[[#This Row],[Vertex 1]],GroupVertices[Vertex],0)),1,1,"")</f>
        <v>1</v>
      </c>
      <c r="R774" s="80" t="str">
        <f>REPLACE(INDEX(GroupVertices[Group],MATCH(Edges[[#This Row],[Vertex 2]],GroupVertices[Vertex],0)),1,1,"")</f>
        <v>2</v>
      </c>
      <c r="S774" s="35"/>
      <c r="T774" s="35"/>
      <c r="U774" s="35"/>
      <c r="V774" s="35"/>
      <c r="W774" s="35"/>
      <c r="X774" s="35"/>
      <c r="Y774" s="35"/>
      <c r="Z774" s="35"/>
      <c r="AA774" s="35"/>
    </row>
    <row r="775" spans="1:27" ht="15">
      <c r="A775" s="65" t="s">
        <v>230</v>
      </c>
      <c r="B775" s="65" t="s">
        <v>231</v>
      </c>
      <c r="C775" s="66" t="s">
        <v>1612</v>
      </c>
      <c r="D775" s="67">
        <v>5</v>
      </c>
      <c r="E775" s="68"/>
      <c r="F775" s="69">
        <v>25</v>
      </c>
      <c r="G775" s="66"/>
      <c r="H775" s="70"/>
      <c r="I775" s="71"/>
      <c r="J775" s="71"/>
      <c r="K775" s="35" t="s">
        <v>66</v>
      </c>
      <c r="L775" s="79">
        <v>775</v>
      </c>
      <c r="M775" s="79"/>
      <c r="N775" s="73"/>
      <c r="O775" s="81" t="s">
        <v>379</v>
      </c>
      <c r="P775">
        <v>1</v>
      </c>
      <c r="Q775" s="80" t="str">
        <f>REPLACE(INDEX(GroupVertices[Group],MATCH(Edges[[#This Row],[Vertex 1]],GroupVertices[Vertex],0)),1,1,"")</f>
        <v>2</v>
      </c>
      <c r="R775" s="80" t="str">
        <f>REPLACE(INDEX(GroupVertices[Group],MATCH(Edges[[#This Row],[Vertex 2]],GroupVertices[Vertex],0)),1,1,"")</f>
        <v>1</v>
      </c>
      <c r="S775" s="35"/>
      <c r="T775" s="35"/>
      <c r="U775" s="35"/>
      <c r="V775" s="35"/>
      <c r="W775" s="35"/>
      <c r="X775" s="35"/>
      <c r="Y775" s="35"/>
      <c r="Z775" s="35"/>
      <c r="AA775" s="35"/>
    </row>
    <row r="776" spans="1:27" ht="15">
      <c r="A776" s="65" t="s">
        <v>224</v>
      </c>
      <c r="B776" s="65" t="s">
        <v>230</v>
      </c>
      <c r="C776" s="66" t="s">
        <v>1612</v>
      </c>
      <c r="D776" s="67">
        <v>5</v>
      </c>
      <c r="E776" s="68"/>
      <c r="F776" s="69">
        <v>25</v>
      </c>
      <c r="G776" s="66"/>
      <c r="H776" s="70"/>
      <c r="I776" s="71"/>
      <c r="J776" s="71"/>
      <c r="K776" s="35" t="s">
        <v>65</v>
      </c>
      <c r="L776" s="79">
        <v>776</v>
      </c>
      <c r="M776" s="79"/>
      <c r="N776" s="73"/>
      <c r="O776" s="81" t="s">
        <v>379</v>
      </c>
      <c r="P776">
        <v>1</v>
      </c>
      <c r="Q776" s="80" t="str">
        <f>REPLACE(INDEX(GroupVertices[Group],MATCH(Edges[[#This Row],[Vertex 1]],GroupVertices[Vertex],0)),1,1,"")</f>
        <v>1</v>
      </c>
      <c r="R776" s="80" t="str">
        <f>REPLACE(INDEX(GroupVertices[Group],MATCH(Edges[[#This Row],[Vertex 2]],GroupVertices[Vertex],0)),1,1,"")</f>
        <v>2</v>
      </c>
      <c r="S776" s="35"/>
      <c r="T776" s="35"/>
      <c r="U776" s="35"/>
      <c r="V776" s="35"/>
      <c r="W776" s="35"/>
      <c r="X776" s="35"/>
      <c r="Y776" s="35"/>
      <c r="Z776" s="35"/>
      <c r="AA776" s="35"/>
    </row>
    <row r="777" spans="1:27" ht="15">
      <c r="A777" s="65" t="s">
        <v>225</v>
      </c>
      <c r="B777" s="65" t="s">
        <v>230</v>
      </c>
      <c r="C777" s="66" t="s">
        <v>1612</v>
      </c>
      <c r="D777" s="67">
        <v>5</v>
      </c>
      <c r="E777" s="68"/>
      <c r="F777" s="69">
        <v>25</v>
      </c>
      <c r="G777" s="66"/>
      <c r="H777" s="70"/>
      <c r="I777" s="71"/>
      <c r="J777" s="71"/>
      <c r="K777" s="35" t="s">
        <v>65</v>
      </c>
      <c r="L777" s="79">
        <v>777</v>
      </c>
      <c r="M777" s="79"/>
      <c r="N777" s="73"/>
      <c r="O777" s="81" t="s">
        <v>379</v>
      </c>
      <c r="P777">
        <v>1</v>
      </c>
      <c r="Q777" s="80" t="str">
        <f>REPLACE(INDEX(GroupVertices[Group],MATCH(Edges[[#This Row],[Vertex 1]],GroupVertices[Vertex],0)),1,1,"")</f>
        <v>1</v>
      </c>
      <c r="R777" s="80" t="str">
        <f>REPLACE(INDEX(GroupVertices[Group],MATCH(Edges[[#This Row],[Vertex 2]],GroupVertices[Vertex],0)),1,1,"")</f>
        <v>2</v>
      </c>
      <c r="S777" s="35"/>
      <c r="T777" s="35"/>
      <c r="U777" s="35"/>
      <c r="V777" s="35"/>
      <c r="W777" s="35"/>
      <c r="X777" s="35"/>
      <c r="Y777" s="35"/>
      <c r="Z777" s="35"/>
      <c r="AA777" s="35"/>
    </row>
    <row r="778" spans="1:27" ht="15">
      <c r="A778" s="65" t="s">
        <v>230</v>
      </c>
      <c r="B778" s="65" t="s">
        <v>231</v>
      </c>
      <c r="C778" s="66" t="s">
        <v>1612</v>
      </c>
      <c r="D778" s="67">
        <v>5</v>
      </c>
      <c r="E778" s="68"/>
      <c r="F778" s="69">
        <v>25</v>
      </c>
      <c r="G778" s="66"/>
      <c r="H778" s="70"/>
      <c r="I778" s="71"/>
      <c r="J778" s="71"/>
      <c r="K778" s="35" t="s">
        <v>66</v>
      </c>
      <c r="L778" s="79">
        <v>778</v>
      </c>
      <c r="M778" s="79"/>
      <c r="N778" s="73"/>
      <c r="O778" s="81" t="s">
        <v>378</v>
      </c>
      <c r="P778">
        <v>1</v>
      </c>
      <c r="Q778" s="80" t="str">
        <f>REPLACE(INDEX(GroupVertices[Group],MATCH(Edges[[#This Row],[Vertex 1]],GroupVertices[Vertex],0)),1,1,"")</f>
        <v>2</v>
      </c>
      <c r="R778" s="80" t="str">
        <f>REPLACE(INDEX(GroupVertices[Group],MATCH(Edges[[#This Row],[Vertex 2]],GroupVertices[Vertex],0)),1,1,"")</f>
        <v>1</v>
      </c>
      <c r="S778" s="35"/>
      <c r="T778" s="35"/>
      <c r="U778" s="35"/>
      <c r="V778" s="35"/>
      <c r="W778" s="35"/>
      <c r="X778" s="35"/>
      <c r="Y778" s="35"/>
      <c r="Z778" s="35"/>
      <c r="AA778" s="35"/>
    </row>
    <row r="779" spans="1:27" ht="15">
      <c r="A779" s="65" t="s">
        <v>231</v>
      </c>
      <c r="B779" s="65" t="s">
        <v>230</v>
      </c>
      <c r="C779" s="66" t="s">
        <v>1612</v>
      </c>
      <c r="D779" s="67">
        <v>5</v>
      </c>
      <c r="E779" s="68"/>
      <c r="F779" s="69">
        <v>25</v>
      </c>
      <c r="G779" s="66"/>
      <c r="H779" s="70"/>
      <c r="I779" s="71"/>
      <c r="J779" s="71"/>
      <c r="K779" s="35" t="s">
        <v>66</v>
      </c>
      <c r="L779" s="79">
        <v>779</v>
      </c>
      <c r="M779" s="79"/>
      <c r="N779" s="73"/>
      <c r="O779" s="81" t="s">
        <v>378</v>
      </c>
      <c r="P779">
        <v>1</v>
      </c>
      <c r="Q779" s="80" t="str">
        <f>REPLACE(INDEX(GroupVertices[Group],MATCH(Edges[[#This Row],[Vertex 1]],GroupVertices[Vertex],0)),1,1,"")</f>
        <v>1</v>
      </c>
      <c r="R779" s="80" t="str">
        <f>REPLACE(INDEX(GroupVertices[Group],MATCH(Edges[[#This Row],[Vertex 2]],GroupVertices[Vertex],0)),1,1,"")</f>
        <v>2</v>
      </c>
      <c r="S779" s="35"/>
      <c r="T779" s="35"/>
      <c r="U779" s="35"/>
      <c r="V779" s="35"/>
      <c r="W779" s="35"/>
      <c r="X779" s="35"/>
      <c r="Y779" s="35"/>
      <c r="Z779" s="35"/>
      <c r="AA779" s="35"/>
    </row>
    <row r="780" spans="1:27" ht="15">
      <c r="A780" s="65" t="s">
        <v>231</v>
      </c>
      <c r="B780" s="65" t="s">
        <v>224</v>
      </c>
      <c r="C780" s="66" t="s">
        <v>1612</v>
      </c>
      <c r="D780" s="67">
        <v>5</v>
      </c>
      <c r="E780" s="68"/>
      <c r="F780" s="69">
        <v>25</v>
      </c>
      <c r="G780" s="66"/>
      <c r="H780" s="70"/>
      <c r="I780" s="71"/>
      <c r="J780" s="71"/>
      <c r="K780" s="35" t="s">
        <v>66</v>
      </c>
      <c r="L780" s="79">
        <v>780</v>
      </c>
      <c r="M780" s="79"/>
      <c r="N780" s="73"/>
      <c r="O780" s="81" t="s">
        <v>377</v>
      </c>
      <c r="P780">
        <v>1</v>
      </c>
      <c r="Q780" s="80" t="str">
        <f>REPLACE(INDEX(GroupVertices[Group],MATCH(Edges[[#This Row],[Vertex 1]],GroupVertices[Vertex],0)),1,1,"")</f>
        <v>1</v>
      </c>
      <c r="R780" s="80" t="str">
        <f>REPLACE(INDEX(GroupVertices[Group],MATCH(Edges[[#This Row],[Vertex 2]],GroupVertices[Vertex],0)),1,1,"")</f>
        <v>1</v>
      </c>
      <c r="S780" s="35"/>
      <c r="T780" s="35"/>
      <c r="U780" s="35"/>
      <c r="V780" s="35"/>
      <c r="W780" s="35"/>
      <c r="X780" s="35"/>
      <c r="Y780" s="35"/>
      <c r="Z780" s="35"/>
      <c r="AA780" s="35"/>
    </row>
    <row r="781" spans="1:27" ht="15">
      <c r="A781" s="65" t="s">
        <v>224</v>
      </c>
      <c r="B781" s="65" t="s">
        <v>225</v>
      </c>
      <c r="C781" s="66" t="s">
        <v>1612</v>
      </c>
      <c r="D781" s="67">
        <v>5</v>
      </c>
      <c r="E781" s="68"/>
      <c r="F781" s="69">
        <v>25</v>
      </c>
      <c r="G781" s="66"/>
      <c r="H781" s="70"/>
      <c r="I781" s="71"/>
      <c r="J781" s="71"/>
      <c r="K781" s="35" t="s">
        <v>66</v>
      </c>
      <c r="L781" s="79">
        <v>781</v>
      </c>
      <c r="M781" s="79"/>
      <c r="N781" s="73"/>
      <c r="O781" s="81" t="s">
        <v>377</v>
      </c>
      <c r="P781">
        <v>1</v>
      </c>
      <c r="Q781" s="80" t="str">
        <f>REPLACE(INDEX(GroupVertices[Group],MATCH(Edges[[#This Row],[Vertex 1]],GroupVertices[Vertex],0)),1,1,"")</f>
        <v>1</v>
      </c>
      <c r="R781" s="80" t="str">
        <f>REPLACE(INDEX(GroupVertices[Group],MATCH(Edges[[#This Row],[Vertex 2]],GroupVertices[Vertex],0)),1,1,"")</f>
        <v>1</v>
      </c>
      <c r="S781" s="35"/>
      <c r="T781" s="35"/>
      <c r="U781" s="35"/>
      <c r="V781" s="35"/>
      <c r="W781" s="35"/>
      <c r="X781" s="35"/>
      <c r="Y781" s="35"/>
      <c r="Z781" s="35"/>
      <c r="AA781" s="35"/>
    </row>
    <row r="782" spans="1:27" ht="15">
      <c r="A782" s="65" t="s">
        <v>224</v>
      </c>
      <c r="B782" s="65" t="s">
        <v>231</v>
      </c>
      <c r="C782" s="66" t="s">
        <v>1612</v>
      </c>
      <c r="D782" s="67">
        <v>5</v>
      </c>
      <c r="E782" s="68"/>
      <c r="F782" s="69">
        <v>25</v>
      </c>
      <c r="G782" s="66"/>
      <c r="H782" s="70"/>
      <c r="I782" s="71"/>
      <c r="J782" s="71"/>
      <c r="K782" s="35" t="s">
        <v>66</v>
      </c>
      <c r="L782" s="79">
        <v>782</v>
      </c>
      <c r="M782" s="79"/>
      <c r="N782" s="73"/>
      <c r="O782" s="81" t="s">
        <v>377</v>
      </c>
      <c r="P782">
        <v>1</v>
      </c>
      <c r="Q782" s="80" t="str">
        <f>REPLACE(INDEX(GroupVertices[Group],MATCH(Edges[[#This Row],[Vertex 1]],GroupVertices[Vertex],0)),1,1,"")</f>
        <v>1</v>
      </c>
      <c r="R782" s="80" t="str">
        <f>REPLACE(INDEX(GroupVertices[Group],MATCH(Edges[[#This Row],[Vertex 2]],GroupVertices[Vertex],0)),1,1,"")</f>
        <v>1</v>
      </c>
      <c r="S782" s="35"/>
      <c r="T782" s="35"/>
      <c r="U782" s="35"/>
      <c r="V782" s="35"/>
      <c r="W782" s="35"/>
      <c r="X782" s="35"/>
      <c r="Y782" s="35"/>
      <c r="Z782" s="35"/>
      <c r="AA782" s="35"/>
    </row>
    <row r="783" spans="1:27" ht="15">
      <c r="A783" s="65" t="s">
        <v>225</v>
      </c>
      <c r="B783" s="65" t="s">
        <v>224</v>
      </c>
      <c r="C783" s="66" t="s">
        <v>1612</v>
      </c>
      <c r="D783" s="67">
        <v>5</v>
      </c>
      <c r="E783" s="68"/>
      <c r="F783" s="69">
        <v>25</v>
      </c>
      <c r="G783" s="66"/>
      <c r="H783" s="70"/>
      <c r="I783" s="71"/>
      <c r="J783" s="71"/>
      <c r="K783" s="35" t="s">
        <v>66</v>
      </c>
      <c r="L783" s="79">
        <v>783</v>
      </c>
      <c r="M783" s="79"/>
      <c r="N783" s="73"/>
      <c r="O783" s="81" t="s">
        <v>377</v>
      </c>
      <c r="P783">
        <v>1</v>
      </c>
      <c r="Q783" s="80" t="str">
        <f>REPLACE(INDEX(GroupVertices[Group],MATCH(Edges[[#This Row],[Vertex 1]],GroupVertices[Vertex],0)),1,1,"")</f>
        <v>1</v>
      </c>
      <c r="R783" s="80" t="str">
        <f>REPLACE(INDEX(GroupVertices[Group],MATCH(Edges[[#This Row],[Vertex 2]],GroupVertices[Vertex],0)),1,1,"")</f>
        <v>1</v>
      </c>
      <c r="S783" s="35"/>
      <c r="T783" s="35"/>
      <c r="U783" s="35"/>
      <c r="V783" s="35"/>
      <c r="W783" s="35"/>
      <c r="X783" s="35"/>
      <c r="Y783" s="35"/>
      <c r="Z783" s="35"/>
      <c r="AA783" s="35"/>
    </row>
    <row r="784" spans="1:27" ht="15">
      <c r="A784" s="65" t="s">
        <v>224</v>
      </c>
      <c r="B784" s="65" t="s">
        <v>231</v>
      </c>
      <c r="C784" s="66" t="s">
        <v>1612</v>
      </c>
      <c r="D784" s="67">
        <v>5</v>
      </c>
      <c r="E784" s="68"/>
      <c r="F784" s="69">
        <v>25</v>
      </c>
      <c r="G784" s="66"/>
      <c r="H784" s="70"/>
      <c r="I784" s="71"/>
      <c r="J784" s="71"/>
      <c r="K784" s="35" t="s">
        <v>66</v>
      </c>
      <c r="L784" s="79">
        <v>784</v>
      </c>
      <c r="M784" s="79"/>
      <c r="N784" s="73"/>
      <c r="O784" s="81" t="s">
        <v>379</v>
      </c>
      <c r="P784">
        <v>1</v>
      </c>
      <c r="Q784" s="80" t="str">
        <f>REPLACE(INDEX(GroupVertices[Group],MATCH(Edges[[#This Row],[Vertex 1]],GroupVertices[Vertex],0)),1,1,"")</f>
        <v>1</v>
      </c>
      <c r="R784" s="80" t="str">
        <f>REPLACE(INDEX(GroupVertices[Group],MATCH(Edges[[#This Row],[Vertex 2]],GroupVertices[Vertex],0)),1,1,"")</f>
        <v>1</v>
      </c>
      <c r="S784" s="35"/>
      <c r="T784" s="35"/>
      <c r="U784" s="35"/>
      <c r="V784" s="35"/>
      <c r="W784" s="35"/>
      <c r="X784" s="35"/>
      <c r="Y784" s="35"/>
      <c r="Z784" s="35"/>
      <c r="AA784" s="35"/>
    </row>
    <row r="785" spans="1:27" ht="15">
      <c r="A785" s="65" t="s">
        <v>225</v>
      </c>
      <c r="B785" s="65" t="s">
        <v>224</v>
      </c>
      <c r="C785" s="66" t="s">
        <v>1612</v>
      </c>
      <c r="D785" s="67">
        <v>5</v>
      </c>
      <c r="E785" s="68"/>
      <c r="F785" s="69">
        <v>25</v>
      </c>
      <c r="G785" s="66"/>
      <c r="H785" s="70"/>
      <c r="I785" s="71"/>
      <c r="J785" s="71"/>
      <c r="K785" s="35" t="s">
        <v>66</v>
      </c>
      <c r="L785" s="79">
        <v>785</v>
      </c>
      <c r="M785" s="79"/>
      <c r="N785" s="73"/>
      <c r="O785" s="81" t="s">
        <v>379</v>
      </c>
      <c r="P785">
        <v>1</v>
      </c>
      <c r="Q785" s="80" t="str">
        <f>REPLACE(INDEX(GroupVertices[Group],MATCH(Edges[[#This Row],[Vertex 1]],GroupVertices[Vertex],0)),1,1,"")</f>
        <v>1</v>
      </c>
      <c r="R785" s="80" t="str">
        <f>REPLACE(INDEX(GroupVertices[Group],MATCH(Edges[[#This Row],[Vertex 2]],GroupVertices[Vertex],0)),1,1,"")</f>
        <v>1</v>
      </c>
      <c r="S785" s="35"/>
      <c r="T785" s="35"/>
      <c r="U785" s="35"/>
      <c r="V785" s="35"/>
      <c r="W785" s="35"/>
      <c r="X785" s="35"/>
      <c r="Y785" s="35"/>
      <c r="Z785" s="35"/>
      <c r="AA785" s="35"/>
    </row>
    <row r="786" spans="1:27" ht="15">
      <c r="A786" s="65" t="s">
        <v>231</v>
      </c>
      <c r="B786" s="65" t="s">
        <v>224</v>
      </c>
      <c r="C786" s="66" t="s">
        <v>1612</v>
      </c>
      <c r="D786" s="67">
        <v>5</v>
      </c>
      <c r="E786" s="68"/>
      <c r="F786" s="69">
        <v>25</v>
      </c>
      <c r="G786" s="66"/>
      <c r="H786" s="70"/>
      <c r="I786" s="71"/>
      <c r="J786" s="71"/>
      <c r="K786" s="35" t="s">
        <v>66</v>
      </c>
      <c r="L786" s="79">
        <v>786</v>
      </c>
      <c r="M786" s="79"/>
      <c r="N786" s="73"/>
      <c r="O786" s="81" t="s">
        <v>378</v>
      </c>
      <c r="P786">
        <v>1</v>
      </c>
      <c r="Q786" s="80" t="str">
        <f>REPLACE(INDEX(GroupVertices[Group],MATCH(Edges[[#This Row],[Vertex 1]],GroupVertices[Vertex],0)),1,1,"")</f>
        <v>1</v>
      </c>
      <c r="R786" s="80" t="str">
        <f>REPLACE(INDEX(GroupVertices[Group],MATCH(Edges[[#This Row],[Vertex 2]],GroupVertices[Vertex],0)),1,1,"")</f>
        <v>1</v>
      </c>
      <c r="S786" s="35"/>
      <c r="T786" s="35"/>
      <c r="U786" s="35"/>
      <c r="V786" s="35"/>
      <c r="W786" s="35"/>
      <c r="X786" s="35"/>
      <c r="Y786" s="35"/>
      <c r="Z786" s="35"/>
      <c r="AA786" s="35"/>
    </row>
    <row r="787" spans="1:27" ht="15">
      <c r="A787" s="65" t="s">
        <v>231</v>
      </c>
      <c r="B787" s="65" t="s">
        <v>225</v>
      </c>
      <c r="C787" s="66" t="s">
        <v>1612</v>
      </c>
      <c r="D787" s="67">
        <v>5</v>
      </c>
      <c r="E787" s="68"/>
      <c r="F787" s="69">
        <v>25</v>
      </c>
      <c r="G787" s="66"/>
      <c r="H787" s="70"/>
      <c r="I787" s="71"/>
      <c r="J787" s="71"/>
      <c r="K787" s="35" t="s">
        <v>66</v>
      </c>
      <c r="L787" s="79">
        <v>787</v>
      </c>
      <c r="M787" s="79"/>
      <c r="N787" s="73"/>
      <c r="O787" s="81" t="s">
        <v>377</v>
      </c>
      <c r="P787">
        <v>1</v>
      </c>
      <c r="Q787" s="80" t="str">
        <f>REPLACE(INDEX(GroupVertices[Group],MATCH(Edges[[#This Row],[Vertex 1]],GroupVertices[Vertex],0)),1,1,"")</f>
        <v>1</v>
      </c>
      <c r="R787" s="80" t="str">
        <f>REPLACE(INDEX(GroupVertices[Group],MATCH(Edges[[#This Row],[Vertex 2]],GroupVertices[Vertex],0)),1,1,"")</f>
        <v>1</v>
      </c>
      <c r="S787" s="35"/>
      <c r="T787" s="35"/>
      <c r="U787" s="35"/>
      <c r="V787" s="35"/>
      <c r="W787" s="35"/>
      <c r="X787" s="35"/>
      <c r="Y787" s="35"/>
      <c r="Z787" s="35"/>
      <c r="AA787" s="35"/>
    </row>
    <row r="788" spans="1:27" ht="15">
      <c r="A788" s="65" t="s">
        <v>225</v>
      </c>
      <c r="B788" s="65" t="s">
        <v>231</v>
      </c>
      <c r="C788" s="66" t="s">
        <v>1612</v>
      </c>
      <c r="D788" s="67">
        <v>5</v>
      </c>
      <c r="E788" s="68"/>
      <c r="F788" s="69">
        <v>25</v>
      </c>
      <c r="G788" s="66"/>
      <c r="H788" s="70"/>
      <c r="I788" s="71"/>
      <c r="J788" s="71"/>
      <c r="K788" s="35" t="s">
        <v>66</v>
      </c>
      <c r="L788" s="79">
        <v>788</v>
      </c>
      <c r="M788" s="79"/>
      <c r="N788" s="73"/>
      <c r="O788" s="81" t="s">
        <v>377</v>
      </c>
      <c r="P788">
        <v>1</v>
      </c>
      <c r="Q788" s="80" t="str">
        <f>REPLACE(INDEX(GroupVertices[Group],MATCH(Edges[[#This Row],[Vertex 1]],GroupVertices[Vertex],0)),1,1,"")</f>
        <v>1</v>
      </c>
      <c r="R788" s="80" t="str">
        <f>REPLACE(INDEX(GroupVertices[Group],MATCH(Edges[[#This Row],[Vertex 2]],GroupVertices[Vertex],0)),1,1,"")</f>
        <v>1</v>
      </c>
      <c r="S788" s="35"/>
      <c r="T788" s="35"/>
      <c r="U788" s="35"/>
      <c r="V788" s="35"/>
      <c r="W788" s="35"/>
      <c r="X788" s="35"/>
      <c r="Y788" s="35"/>
      <c r="Z788" s="35"/>
      <c r="AA788" s="35"/>
    </row>
    <row r="789" spans="1:27" ht="15">
      <c r="A789" s="65" t="s">
        <v>225</v>
      </c>
      <c r="B789" s="65" t="s">
        <v>231</v>
      </c>
      <c r="C789" s="66" t="s">
        <v>1612</v>
      </c>
      <c r="D789" s="67">
        <v>5</v>
      </c>
      <c r="E789" s="68"/>
      <c r="F789" s="69">
        <v>25</v>
      </c>
      <c r="G789" s="66"/>
      <c r="H789" s="70"/>
      <c r="I789" s="71"/>
      <c r="J789" s="71"/>
      <c r="K789" s="35" t="s">
        <v>66</v>
      </c>
      <c r="L789" s="79">
        <v>789</v>
      </c>
      <c r="M789" s="79"/>
      <c r="N789" s="73"/>
      <c r="O789" s="81" t="s">
        <v>379</v>
      </c>
      <c r="P789">
        <v>1</v>
      </c>
      <c r="Q789" s="80" t="str">
        <f>REPLACE(INDEX(GroupVertices[Group],MATCH(Edges[[#This Row],[Vertex 1]],GroupVertices[Vertex],0)),1,1,"")</f>
        <v>1</v>
      </c>
      <c r="R789" s="80" t="str">
        <f>REPLACE(INDEX(GroupVertices[Group],MATCH(Edges[[#This Row],[Vertex 2]],GroupVertices[Vertex],0)),1,1,"")</f>
        <v>1</v>
      </c>
      <c r="S789" s="35"/>
      <c r="T789" s="35"/>
      <c r="U789" s="35"/>
      <c r="V789" s="35"/>
      <c r="W789" s="35"/>
      <c r="X789" s="35"/>
      <c r="Y789" s="35"/>
      <c r="Z789" s="35"/>
      <c r="AA789" s="35"/>
    </row>
    <row r="790" spans="1:27" ht="15">
      <c r="A790" s="65" t="s">
        <v>231</v>
      </c>
      <c r="B790" s="65" t="s">
        <v>225</v>
      </c>
      <c r="C790" s="66" t="s">
        <v>1612</v>
      </c>
      <c r="D790" s="67">
        <v>5</v>
      </c>
      <c r="E790" s="68"/>
      <c r="F790" s="69">
        <v>25</v>
      </c>
      <c r="G790" s="66"/>
      <c r="H790" s="70"/>
      <c r="I790" s="71"/>
      <c r="J790" s="71"/>
      <c r="K790" s="35" t="s">
        <v>66</v>
      </c>
      <c r="L790" s="79">
        <v>790</v>
      </c>
      <c r="M790" s="79"/>
      <c r="N790" s="73"/>
      <c r="O790" s="81" t="s">
        <v>378</v>
      </c>
      <c r="P790">
        <v>1</v>
      </c>
      <c r="Q790" s="80" t="str">
        <f>REPLACE(INDEX(GroupVertices[Group],MATCH(Edges[[#This Row],[Vertex 1]],GroupVertices[Vertex],0)),1,1,"")</f>
        <v>1</v>
      </c>
      <c r="R790" s="80" t="str">
        <f>REPLACE(INDEX(GroupVertices[Group],MATCH(Edges[[#This Row],[Vertex 2]],GroupVertices[Vertex],0)),1,1,"")</f>
        <v>1</v>
      </c>
      <c r="S790" s="35"/>
      <c r="T790" s="35"/>
      <c r="U790" s="35"/>
      <c r="V790" s="35"/>
      <c r="W790" s="35"/>
      <c r="X790" s="35"/>
      <c r="Y790" s="35"/>
      <c r="Z790" s="35"/>
      <c r="AA790" s="3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0"/>
    <dataValidation allowBlank="1" showErrorMessage="1" sqref="N2:N7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0"/>
    <dataValidation allowBlank="1" showInputMessage="1" promptTitle="Edge Color" prompt="To select an optional edge color, right-click and select Select Color on the right-click menu." sqref="C3:C790"/>
    <dataValidation allowBlank="1" showInputMessage="1" promptTitle="Edge Width" prompt="Enter an optional edge width between 1 and 10." errorTitle="Invalid Edge Width" error="The optional edge width must be a whole number between 1 and 10." sqref="D3:D790"/>
    <dataValidation allowBlank="1" showInputMessage="1" promptTitle="Edge Opacity" prompt="Enter an optional edge opacity between 0 (transparent) and 100 (opaque)." errorTitle="Invalid Edge Opacity" error="The optional edge opacity must be a whole number between 0 and 10." sqref="F3:F7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0">
      <formula1>ValidEdgeVisibilities</formula1>
    </dataValidation>
    <dataValidation allowBlank="1" showInputMessage="1" showErrorMessage="1" promptTitle="Vertex 1 Name" prompt="Enter the name of the edge's first vertex." sqref="A3:A790"/>
    <dataValidation allowBlank="1" showInputMessage="1" showErrorMessage="1" promptTitle="Vertex 2 Name" prompt="Enter the name of the edge's second vertex." sqref="B3:B790"/>
    <dataValidation allowBlank="1" showInputMessage="1" showErrorMessage="1" promptTitle="Edge Label" prompt="Enter an optional edge label." errorTitle="Invalid Edge Visibility" error="You have entered an unrecognized edge visibility.  Try selecting from the drop-down list instead." sqref="H3:H7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A648E-D7AB-4710-BA93-77B9B8C0FFA3}">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1474</v>
      </c>
      <c r="B2" s="109" t="s">
        <v>1475</v>
      </c>
      <c r="C2" s="54" t="s">
        <v>1476</v>
      </c>
    </row>
    <row r="3" spans="1:3" ht="15">
      <c r="A3" s="108" t="s">
        <v>1176</v>
      </c>
      <c r="B3" s="108" t="s">
        <v>1176</v>
      </c>
      <c r="C3" s="35">
        <v>378</v>
      </c>
    </row>
    <row r="4" spans="1:3" ht="15">
      <c r="A4" s="108" t="s">
        <v>1176</v>
      </c>
      <c r="B4" s="108" t="s">
        <v>1177</v>
      </c>
      <c r="C4" s="35">
        <v>66</v>
      </c>
    </row>
    <row r="5" spans="1:3" ht="15">
      <c r="A5" s="108" t="s">
        <v>1176</v>
      </c>
      <c r="B5" s="108" t="s">
        <v>1178</v>
      </c>
      <c r="C5" s="35">
        <v>7</v>
      </c>
    </row>
    <row r="6" spans="1:3" ht="15">
      <c r="A6" s="108" t="s">
        <v>1176</v>
      </c>
      <c r="B6" s="108" t="s">
        <v>1179</v>
      </c>
      <c r="C6" s="35">
        <v>18</v>
      </c>
    </row>
    <row r="7" spans="1:3" ht="15">
      <c r="A7" s="108" t="s">
        <v>1176</v>
      </c>
      <c r="B7" s="108" t="s">
        <v>1180</v>
      </c>
      <c r="C7" s="35">
        <v>16</v>
      </c>
    </row>
    <row r="8" spans="1:3" ht="15">
      <c r="A8" s="108" t="s">
        <v>1176</v>
      </c>
      <c r="B8" s="108" t="s">
        <v>1181</v>
      </c>
      <c r="C8" s="35">
        <v>1</v>
      </c>
    </row>
    <row r="9" spans="1:3" ht="15">
      <c r="A9" s="108" t="s">
        <v>1176</v>
      </c>
      <c r="B9" s="108" t="s">
        <v>1182</v>
      </c>
      <c r="C9" s="35">
        <v>2</v>
      </c>
    </row>
    <row r="10" spans="1:3" ht="15">
      <c r="A10" s="108" t="s">
        <v>1176</v>
      </c>
      <c r="B10" s="108" t="s">
        <v>1183</v>
      </c>
      <c r="C10" s="35">
        <v>25</v>
      </c>
    </row>
    <row r="11" spans="1:3" ht="15">
      <c r="A11" s="108" t="s">
        <v>1177</v>
      </c>
      <c r="B11" s="108" t="s">
        <v>1176</v>
      </c>
      <c r="C11" s="35">
        <v>29</v>
      </c>
    </row>
    <row r="12" spans="1:3" ht="15">
      <c r="A12" s="108" t="s">
        <v>1177</v>
      </c>
      <c r="B12" s="108" t="s">
        <v>1177</v>
      </c>
      <c r="C12" s="35">
        <v>117</v>
      </c>
    </row>
    <row r="13" spans="1:3" ht="15">
      <c r="A13" s="108" t="s">
        <v>1177</v>
      </c>
      <c r="B13" s="108" t="s">
        <v>1179</v>
      </c>
      <c r="C13" s="35">
        <v>2</v>
      </c>
    </row>
    <row r="14" spans="1:3" ht="15">
      <c r="A14" s="108" t="s">
        <v>1177</v>
      </c>
      <c r="B14" s="108" t="s">
        <v>1180</v>
      </c>
      <c r="C14" s="35">
        <v>4</v>
      </c>
    </row>
    <row r="15" spans="1:3" ht="15">
      <c r="A15" s="108" t="s">
        <v>1177</v>
      </c>
      <c r="B15" s="108" t="s">
        <v>1183</v>
      </c>
      <c r="C15" s="35">
        <v>5</v>
      </c>
    </row>
    <row r="16" spans="1:3" ht="15">
      <c r="A16" s="108" t="s">
        <v>1178</v>
      </c>
      <c r="B16" s="108" t="s">
        <v>1176</v>
      </c>
      <c r="C16" s="35">
        <v>1</v>
      </c>
    </row>
    <row r="17" spans="1:3" ht="15">
      <c r="A17" s="108" t="s">
        <v>1178</v>
      </c>
      <c r="B17" s="108" t="s">
        <v>1178</v>
      </c>
      <c r="C17" s="35">
        <v>20</v>
      </c>
    </row>
    <row r="18" spans="1:3" ht="15">
      <c r="A18" s="108" t="s">
        <v>1179</v>
      </c>
      <c r="B18" s="108" t="s">
        <v>1176</v>
      </c>
      <c r="C18" s="35">
        <v>7</v>
      </c>
    </row>
    <row r="19" spans="1:3" ht="15">
      <c r="A19" s="108" t="s">
        <v>1179</v>
      </c>
      <c r="B19" s="108" t="s">
        <v>1179</v>
      </c>
      <c r="C19" s="35">
        <v>16</v>
      </c>
    </row>
    <row r="20" spans="1:3" ht="15">
      <c r="A20" s="108" t="s">
        <v>1179</v>
      </c>
      <c r="B20" s="108" t="s">
        <v>1180</v>
      </c>
      <c r="C20" s="35">
        <v>1</v>
      </c>
    </row>
    <row r="21" spans="1:3" ht="15">
      <c r="A21" s="108" t="s">
        <v>1180</v>
      </c>
      <c r="B21" s="108" t="s">
        <v>1176</v>
      </c>
      <c r="C21" s="35">
        <v>5</v>
      </c>
    </row>
    <row r="22" spans="1:3" ht="15">
      <c r="A22" s="108" t="s">
        <v>1180</v>
      </c>
      <c r="B22" s="108" t="s">
        <v>1177</v>
      </c>
      <c r="C22" s="35">
        <v>3</v>
      </c>
    </row>
    <row r="23" spans="1:3" ht="15">
      <c r="A23" s="108" t="s">
        <v>1180</v>
      </c>
      <c r="B23" s="108" t="s">
        <v>1178</v>
      </c>
      <c r="C23" s="35">
        <v>1</v>
      </c>
    </row>
    <row r="24" spans="1:3" ht="15">
      <c r="A24" s="108" t="s">
        <v>1180</v>
      </c>
      <c r="B24" s="108" t="s">
        <v>1179</v>
      </c>
      <c r="C24" s="35">
        <v>1</v>
      </c>
    </row>
    <row r="25" spans="1:3" ht="15">
      <c r="A25" s="108" t="s">
        <v>1180</v>
      </c>
      <c r="B25" s="108" t="s">
        <v>1180</v>
      </c>
      <c r="C25" s="35">
        <v>14</v>
      </c>
    </row>
    <row r="26" spans="1:3" ht="15">
      <c r="A26" s="108" t="s">
        <v>1181</v>
      </c>
      <c r="B26" s="108" t="s">
        <v>1181</v>
      </c>
      <c r="C26" s="35">
        <v>10</v>
      </c>
    </row>
    <row r="27" spans="1:3" ht="15">
      <c r="A27" s="108" t="s">
        <v>1182</v>
      </c>
      <c r="B27" s="108" t="s">
        <v>1182</v>
      </c>
      <c r="C27" s="35">
        <v>10</v>
      </c>
    </row>
    <row r="28" spans="1:3" ht="15">
      <c r="A28" s="108" t="s">
        <v>1183</v>
      </c>
      <c r="B28" s="108" t="s">
        <v>1176</v>
      </c>
      <c r="C28" s="35">
        <v>9</v>
      </c>
    </row>
    <row r="29" spans="1:3" ht="15">
      <c r="A29" s="108" t="s">
        <v>1183</v>
      </c>
      <c r="B29" s="108" t="s">
        <v>1177</v>
      </c>
      <c r="C29" s="35">
        <v>7</v>
      </c>
    </row>
    <row r="30" spans="1:3" ht="15">
      <c r="A30" s="108" t="s">
        <v>1183</v>
      </c>
      <c r="B30" s="108" t="s">
        <v>1180</v>
      </c>
      <c r="C30" s="35">
        <v>1</v>
      </c>
    </row>
    <row r="31" spans="1:3" ht="15">
      <c r="A31" s="108" t="s">
        <v>1183</v>
      </c>
      <c r="B31" s="108" t="s">
        <v>1183</v>
      </c>
      <c r="C31" s="35">
        <v>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75F0C-195A-48CA-8325-9A8F67E14E5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1494</v>
      </c>
      <c r="B1" s="13" t="s">
        <v>17</v>
      </c>
    </row>
    <row r="2" spans="1:2" ht="15">
      <c r="A2" s="80" t="s">
        <v>1495</v>
      </c>
      <c r="B2" s="80" t="s">
        <v>1501</v>
      </c>
    </row>
    <row r="3" spans="1:2" ht="15">
      <c r="A3" s="81" t="s">
        <v>1496</v>
      </c>
      <c r="B3" s="80" t="s">
        <v>1502</v>
      </c>
    </row>
    <row r="4" spans="1:2" ht="15">
      <c r="A4" s="81" t="s">
        <v>1497</v>
      </c>
      <c r="B4" s="80" t="s">
        <v>1503</v>
      </c>
    </row>
    <row r="5" spans="1:2" ht="15">
      <c r="A5" s="81" t="s">
        <v>1498</v>
      </c>
      <c r="B5" s="80" t="s">
        <v>1504</v>
      </c>
    </row>
    <row r="6" spans="1:2" ht="15">
      <c r="A6" s="81" t="s">
        <v>1499</v>
      </c>
      <c r="B6" s="80" t="s">
        <v>1505</v>
      </c>
    </row>
    <row r="7" spans="1:2" ht="15">
      <c r="A7" s="81" t="s">
        <v>1500</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C14D7-DF41-42A6-976B-7097E7EC1C2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1506</v>
      </c>
      <c r="B1" s="13" t="s">
        <v>34</v>
      </c>
    </row>
    <row r="2" spans="1:2" ht="15">
      <c r="A2" s="99" t="s">
        <v>233</v>
      </c>
      <c r="B2" s="80">
        <v>5650.596923</v>
      </c>
    </row>
    <row r="3" spans="1:2" ht="15">
      <c r="A3" s="103" t="s">
        <v>232</v>
      </c>
      <c r="B3" s="80">
        <v>4993.614692</v>
      </c>
    </row>
    <row r="4" spans="1:2" ht="15">
      <c r="A4" s="103" t="s">
        <v>208</v>
      </c>
      <c r="B4" s="80">
        <v>3834.2131</v>
      </c>
    </row>
    <row r="5" spans="1:2" ht="15">
      <c r="A5" s="103" t="s">
        <v>201</v>
      </c>
      <c r="B5" s="80">
        <v>3579.101971</v>
      </c>
    </row>
    <row r="6" spans="1:2" ht="15">
      <c r="A6" s="103" t="s">
        <v>197</v>
      </c>
      <c r="B6" s="80">
        <v>3510</v>
      </c>
    </row>
    <row r="7" spans="1:2" ht="15">
      <c r="A7" s="103" t="s">
        <v>211</v>
      </c>
      <c r="B7" s="80">
        <v>3510</v>
      </c>
    </row>
    <row r="8" spans="1:2" ht="15">
      <c r="A8" s="103" t="s">
        <v>230</v>
      </c>
      <c r="B8" s="80">
        <v>3350.473512</v>
      </c>
    </row>
    <row r="9" spans="1:2" ht="15">
      <c r="A9" s="103" t="s">
        <v>200</v>
      </c>
      <c r="B9" s="80">
        <v>3347.222626</v>
      </c>
    </row>
    <row r="10" spans="1:2" ht="15">
      <c r="A10" s="103" t="s">
        <v>217</v>
      </c>
      <c r="B10" s="80">
        <v>3188.981818</v>
      </c>
    </row>
    <row r="11" spans="1:2" ht="15">
      <c r="A11" s="103" t="s">
        <v>209</v>
      </c>
      <c r="B11" s="80">
        <v>3080.155735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3CEEF-A20A-4334-9B44-6AFD548C600C}">
  <dimension ref="A1:R2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s>
  <sheetData>
    <row r="1" spans="1:18" ht="15" customHeight="1">
      <c r="A1" s="13" t="s">
        <v>1507</v>
      </c>
      <c r="B1" s="13" t="s">
        <v>1508</v>
      </c>
      <c r="C1" s="13" t="s">
        <v>1509</v>
      </c>
      <c r="D1" s="13" t="s">
        <v>1511</v>
      </c>
      <c r="E1" s="13" t="s">
        <v>1510</v>
      </c>
      <c r="F1" s="13" t="s">
        <v>1513</v>
      </c>
      <c r="G1" s="13" t="s">
        <v>1512</v>
      </c>
      <c r="H1" s="13" t="s">
        <v>1515</v>
      </c>
      <c r="I1" s="13" t="s">
        <v>1514</v>
      </c>
      <c r="J1" s="13" t="s">
        <v>1517</v>
      </c>
      <c r="K1" s="13" t="s">
        <v>1516</v>
      </c>
      <c r="L1" s="13" t="s">
        <v>1519</v>
      </c>
      <c r="M1" s="13" t="s">
        <v>1518</v>
      </c>
      <c r="N1" s="13" t="s">
        <v>1521</v>
      </c>
      <c r="O1" s="13" t="s">
        <v>1520</v>
      </c>
      <c r="P1" s="13" t="s">
        <v>1523</v>
      </c>
      <c r="Q1" s="13" t="s">
        <v>1522</v>
      </c>
      <c r="R1" s="13" t="s">
        <v>1524</v>
      </c>
    </row>
    <row r="2" spans="1:18" ht="15">
      <c r="A2" s="102" t="s">
        <v>1204</v>
      </c>
      <c r="B2" s="102">
        <v>114</v>
      </c>
      <c r="C2" s="102" t="s">
        <v>1206</v>
      </c>
      <c r="D2" s="102">
        <v>29</v>
      </c>
      <c r="E2" s="102" t="s">
        <v>1204</v>
      </c>
      <c r="F2" s="102">
        <v>56</v>
      </c>
      <c r="G2" s="102" t="s">
        <v>1206</v>
      </c>
      <c r="H2" s="102">
        <v>18</v>
      </c>
      <c r="I2" s="102" t="s">
        <v>1204</v>
      </c>
      <c r="J2" s="102">
        <v>14</v>
      </c>
      <c r="K2" s="102" t="s">
        <v>1206</v>
      </c>
      <c r="L2" s="102">
        <v>10</v>
      </c>
      <c r="M2" s="102" t="s">
        <v>1205</v>
      </c>
      <c r="N2" s="102">
        <v>17</v>
      </c>
      <c r="O2" s="102" t="s">
        <v>1228</v>
      </c>
      <c r="P2" s="102">
        <v>10</v>
      </c>
      <c r="Q2" s="102" t="s">
        <v>1209</v>
      </c>
      <c r="R2" s="102">
        <v>7</v>
      </c>
    </row>
    <row r="3" spans="1:18" ht="15">
      <c r="A3" s="104" t="s">
        <v>1205</v>
      </c>
      <c r="B3" s="102">
        <v>105</v>
      </c>
      <c r="C3" s="102" t="s">
        <v>1213</v>
      </c>
      <c r="D3" s="102">
        <v>23</v>
      </c>
      <c r="E3" s="102" t="s">
        <v>1205</v>
      </c>
      <c r="F3" s="102">
        <v>43</v>
      </c>
      <c r="G3" s="102" t="s">
        <v>1211</v>
      </c>
      <c r="H3" s="102">
        <v>11</v>
      </c>
      <c r="I3" s="102" t="s">
        <v>1222</v>
      </c>
      <c r="J3" s="102">
        <v>10</v>
      </c>
      <c r="K3" s="102" t="s">
        <v>1225</v>
      </c>
      <c r="L3" s="102">
        <v>9</v>
      </c>
      <c r="M3" s="102" t="s">
        <v>1223</v>
      </c>
      <c r="N3" s="102">
        <v>11</v>
      </c>
      <c r="O3" s="102" t="s">
        <v>1227</v>
      </c>
      <c r="P3" s="102">
        <v>10</v>
      </c>
      <c r="Q3" s="102" t="s">
        <v>1204</v>
      </c>
      <c r="R3" s="102">
        <v>5</v>
      </c>
    </row>
    <row r="4" spans="1:18" ht="15">
      <c r="A4" s="104" t="s">
        <v>1206</v>
      </c>
      <c r="B4" s="102">
        <v>83</v>
      </c>
      <c r="C4" s="102" t="s">
        <v>1205</v>
      </c>
      <c r="D4" s="102">
        <v>16</v>
      </c>
      <c r="E4" s="102" t="s">
        <v>1208</v>
      </c>
      <c r="F4" s="102">
        <v>38</v>
      </c>
      <c r="G4" s="102" t="s">
        <v>1205</v>
      </c>
      <c r="H4" s="102">
        <v>9</v>
      </c>
      <c r="I4" s="102" t="s">
        <v>1238</v>
      </c>
      <c r="J4" s="102">
        <v>6</v>
      </c>
      <c r="K4" s="102" t="s">
        <v>1240</v>
      </c>
      <c r="L4" s="102">
        <v>8</v>
      </c>
      <c r="M4" s="102" t="s">
        <v>1229</v>
      </c>
      <c r="N4" s="102">
        <v>9</v>
      </c>
      <c r="O4" s="102" t="s">
        <v>1205</v>
      </c>
      <c r="P4" s="102">
        <v>6</v>
      </c>
      <c r="Q4" s="102" t="s">
        <v>1266</v>
      </c>
      <c r="R4" s="102">
        <v>3</v>
      </c>
    </row>
    <row r="5" spans="1:18" ht="15">
      <c r="A5" s="104" t="s">
        <v>1207</v>
      </c>
      <c r="B5" s="102">
        <v>47</v>
      </c>
      <c r="C5" s="102" t="s">
        <v>1204</v>
      </c>
      <c r="D5" s="102">
        <v>14</v>
      </c>
      <c r="E5" s="102" t="s">
        <v>1209</v>
      </c>
      <c r="F5" s="102">
        <v>32</v>
      </c>
      <c r="G5" s="102" t="s">
        <v>1241</v>
      </c>
      <c r="H5" s="102">
        <v>8</v>
      </c>
      <c r="I5" s="102" t="s">
        <v>1205</v>
      </c>
      <c r="J5" s="102">
        <v>4</v>
      </c>
      <c r="K5" s="102" t="s">
        <v>1205</v>
      </c>
      <c r="L5" s="102">
        <v>7</v>
      </c>
      <c r="M5" s="102" t="s">
        <v>1235</v>
      </c>
      <c r="N5" s="102">
        <v>8</v>
      </c>
      <c r="O5" s="102" t="s">
        <v>1204</v>
      </c>
      <c r="P5" s="102">
        <v>6</v>
      </c>
      <c r="Q5" s="102" t="s">
        <v>1206</v>
      </c>
      <c r="R5" s="102">
        <v>3</v>
      </c>
    </row>
    <row r="6" spans="1:18" ht="15">
      <c r="A6" s="104" t="s">
        <v>1208</v>
      </c>
      <c r="B6" s="102">
        <v>44</v>
      </c>
      <c r="C6" s="102" t="s">
        <v>1211</v>
      </c>
      <c r="D6" s="102">
        <v>13</v>
      </c>
      <c r="E6" s="102" t="s">
        <v>1210</v>
      </c>
      <c r="F6" s="102">
        <v>32</v>
      </c>
      <c r="G6" s="102" t="s">
        <v>1242</v>
      </c>
      <c r="H6" s="102">
        <v>8</v>
      </c>
      <c r="I6" s="102" t="s">
        <v>1206</v>
      </c>
      <c r="J6" s="102">
        <v>3</v>
      </c>
      <c r="K6" s="102" t="s">
        <v>1204</v>
      </c>
      <c r="L6" s="102">
        <v>7</v>
      </c>
      <c r="M6" s="102" t="s">
        <v>1234</v>
      </c>
      <c r="N6" s="102">
        <v>8</v>
      </c>
      <c r="O6" s="102" t="s">
        <v>1254</v>
      </c>
      <c r="P6" s="102">
        <v>6</v>
      </c>
      <c r="Q6" s="102" t="s">
        <v>1205</v>
      </c>
      <c r="R6" s="102">
        <v>3</v>
      </c>
    </row>
    <row r="7" spans="1:18" ht="15">
      <c r="A7" s="104" t="s">
        <v>1209</v>
      </c>
      <c r="B7" s="102">
        <v>41</v>
      </c>
      <c r="C7" s="102" t="s">
        <v>1220</v>
      </c>
      <c r="D7" s="102">
        <v>13</v>
      </c>
      <c r="E7" s="102" t="s">
        <v>1207</v>
      </c>
      <c r="F7" s="102">
        <v>30</v>
      </c>
      <c r="G7" s="102" t="s">
        <v>1245</v>
      </c>
      <c r="H7" s="102">
        <v>7</v>
      </c>
      <c r="I7" s="102" t="s">
        <v>1218</v>
      </c>
      <c r="J7" s="102">
        <v>2</v>
      </c>
      <c r="K7" s="102" t="s">
        <v>1216</v>
      </c>
      <c r="L7" s="102">
        <v>7</v>
      </c>
      <c r="M7" s="102" t="s">
        <v>1204</v>
      </c>
      <c r="N7" s="102">
        <v>6</v>
      </c>
      <c r="O7" s="102" t="s">
        <v>1207</v>
      </c>
      <c r="P7" s="102">
        <v>5</v>
      </c>
      <c r="Q7" s="102" t="s">
        <v>1443</v>
      </c>
      <c r="R7" s="102">
        <v>2</v>
      </c>
    </row>
    <row r="8" spans="1:18" ht="15">
      <c r="A8" s="104" t="s">
        <v>1210</v>
      </c>
      <c r="B8" s="102">
        <v>36</v>
      </c>
      <c r="C8" s="102" t="s">
        <v>1212</v>
      </c>
      <c r="D8" s="102">
        <v>10</v>
      </c>
      <c r="E8" s="102" t="s">
        <v>1214</v>
      </c>
      <c r="F8" s="102">
        <v>23</v>
      </c>
      <c r="G8" s="102" t="s">
        <v>1216</v>
      </c>
      <c r="H8" s="102">
        <v>6</v>
      </c>
      <c r="I8" s="102" t="s">
        <v>1219</v>
      </c>
      <c r="J8" s="102">
        <v>2</v>
      </c>
      <c r="K8" s="102" t="s">
        <v>1249</v>
      </c>
      <c r="L8" s="102">
        <v>6</v>
      </c>
      <c r="M8" s="102" t="s">
        <v>1260</v>
      </c>
      <c r="N8" s="102">
        <v>5</v>
      </c>
      <c r="O8" s="102" t="s">
        <v>1270</v>
      </c>
      <c r="P8" s="102">
        <v>5</v>
      </c>
      <c r="Q8" s="102"/>
      <c r="R8" s="102"/>
    </row>
    <row r="9" spans="1:18" ht="15">
      <c r="A9" s="104" t="s">
        <v>1211</v>
      </c>
      <c r="B9" s="102">
        <v>33</v>
      </c>
      <c r="C9" s="102" t="s">
        <v>1231</v>
      </c>
      <c r="D9" s="102">
        <v>9</v>
      </c>
      <c r="E9" s="102" t="s">
        <v>1215</v>
      </c>
      <c r="F9" s="102">
        <v>21</v>
      </c>
      <c r="G9" s="102" t="s">
        <v>1250</v>
      </c>
      <c r="H9" s="102">
        <v>6</v>
      </c>
      <c r="I9" s="102" t="s">
        <v>1397</v>
      </c>
      <c r="J9" s="102">
        <v>2</v>
      </c>
      <c r="K9" s="102" t="s">
        <v>1218</v>
      </c>
      <c r="L9" s="102">
        <v>4</v>
      </c>
      <c r="M9" s="102" t="s">
        <v>1302</v>
      </c>
      <c r="N9" s="102">
        <v>3</v>
      </c>
      <c r="O9" s="102" t="s">
        <v>1271</v>
      </c>
      <c r="P9" s="102">
        <v>5</v>
      </c>
      <c r="Q9" s="102"/>
      <c r="R9" s="102"/>
    </row>
    <row r="10" spans="1:18" ht="15">
      <c r="A10" s="104" t="s">
        <v>1212</v>
      </c>
      <c r="B10" s="102">
        <v>29</v>
      </c>
      <c r="C10" s="102" t="s">
        <v>1233</v>
      </c>
      <c r="D10" s="102">
        <v>9</v>
      </c>
      <c r="E10" s="102" t="s">
        <v>1206</v>
      </c>
      <c r="F10" s="102">
        <v>19</v>
      </c>
      <c r="G10" s="102" t="s">
        <v>1251</v>
      </c>
      <c r="H10" s="102">
        <v>6</v>
      </c>
      <c r="I10" s="102" t="s">
        <v>1370</v>
      </c>
      <c r="J10" s="102">
        <v>2</v>
      </c>
      <c r="K10" s="102" t="s">
        <v>1211</v>
      </c>
      <c r="L10" s="102">
        <v>4</v>
      </c>
      <c r="M10" s="102" t="s">
        <v>1306</v>
      </c>
      <c r="N10" s="102">
        <v>3</v>
      </c>
      <c r="O10" s="102" t="s">
        <v>1296</v>
      </c>
      <c r="P10" s="102">
        <v>4</v>
      </c>
      <c r="Q10" s="102"/>
      <c r="R10" s="102"/>
    </row>
    <row r="11" spans="1:18" ht="15">
      <c r="A11" s="104" t="s">
        <v>1213</v>
      </c>
      <c r="B11" s="102">
        <v>28</v>
      </c>
      <c r="C11" s="102" t="s">
        <v>1226</v>
      </c>
      <c r="D11" s="102">
        <v>8</v>
      </c>
      <c r="E11" s="102" t="s">
        <v>1212</v>
      </c>
      <c r="F11" s="102">
        <v>14</v>
      </c>
      <c r="G11" s="102" t="s">
        <v>1204</v>
      </c>
      <c r="H11" s="102">
        <v>6</v>
      </c>
      <c r="I11" s="102" t="s">
        <v>1371</v>
      </c>
      <c r="J11" s="102">
        <v>2</v>
      </c>
      <c r="K11" s="102" t="s">
        <v>1248</v>
      </c>
      <c r="L11" s="102">
        <v>4</v>
      </c>
      <c r="M11" s="102" t="s">
        <v>1308</v>
      </c>
      <c r="N11" s="102">
        <v>2</v>
      </c>
      <c r="O11" s="102" t="s">
        <v>1297</v>
      </c>
      <c r="P11" s="102">
        <v>4</v>
      </c>
      <c r="Q11" s="102"/>
      <c r="R11" s="102"/>
    </row>
    <row r="14" spans="1:18" ht="15" customHeight="1">
      <c r="A14" s="13" t="s">
        <v>1534</v>
      </c>
      <c r="B14" s="13" t="s">
        <v>1508</v>
      </c>
      <c r="C14" s="13" t="s">
        <v>1545</v>
      </c>
      <c r="D14" s="13" t="s">
        <v>1511</v>
      </c>
      <c r="E14" s="13" t="s">
        <v>1552</v>
      </c>
      <c r="F14" s="13" t="s">
        <v>1513</v>
      </c>
      <c r="G14" s="13" t="s">
        <v>1556</v>
      </c>
      <c r="H14" s="13" t="s">
        <v>1515</v>
      </c>
      <c r="I14" s="13" t="s">
        <v>1565</v>
      </c>
      <c r="J14" s="13" t="s">
        <v>1517</v>
      </c>
      <c r="K14" s="13" t="s">
        <v>1569</v>
      </c>
      <c r="L14" s="13" t="s">
        <v>1519</v>
      </c>
      <c r="M14" s="13" t="s">
        <v>1575</v>
      </c>
      <c r="N14" s="13" t="s">
        <v>1521</v>
      </c>
      <c r="O14" s="13" t="s">
        <v>1585</v>
      </c>
      <c r="P14" s="13" t="s">
        <v>1523</v>
      </c>
      <c r="Q14" s="13" t="s">
        <v>1595</v>
      </c>
      <c r="R14" s="13" t="s">
        <v>1524</v>
      </c>
    </row>
    <row r="15" spans="1:18" ht="15">
      <c r="A15" s="102" t="s">
        <v>1535</v>
      </c>
      <c r="B15" s="102">
        <v>63</v>
      </c>
      <c r="C15" s="102" t="s">
        <v>1538</v>
      </c>
      <c r="D15" s="102">
        <v>11</v>
      </c>
      <c r="E15" s="102" t="s">
        <v>1535</v>
      </c>
      <c r="F15" s="102">
        <v>31</v>
      </c>
      <c r="G15" s="102" t="s">
        <v>1557</v>
      </c>
      <c r="H15" s="102">
        <v>6</v>
      </c>
      <c r="I15" s="102" t="s">
        <v>1541</v>
      </c>
      <c r="J15" s="102">
        <v>9</v>
      </c>
      <c r="K15" s="102" t="s">
        <v>1536</v>
      </c>
      <c r="L15" s="102">
        <v>7</v>
      </c>
      <c r="M15" s="102" t="s">
        <v>1576</v>
      </c>
      <c r="N15" s="102">
        <v>8</v>
      </c>
      <c r="O15" s="102" t="s">
        <v>1535</v>
      </c>
      <c r="P15" s="102">
        <v>6</v>
      </c>
      <c r="Q15" s="102" t="s">
        <v>1542</v>
      </c>
      <c r="R15" s="102">
        <v>3</v>
      </c>
    </row>
    <row r="16" spans="1:18" ht="15">
      <c r="A16" s="104" t="s">
        <v>1536</v>
      </c>
      <c r="B16" s="102">
        <v>35</v>
      </c>
      <c r="C16" s="102" t="s">
        <v>1535</v>
      </c>
      <c r="D16" s="102">
        <v>8</v>
      </c>
      <c r="E16" s="102" t="s">
        <v>1537</v>
      </c>
      <c r="F16" s="102">
        <v>21</v>
      </c>
      <c r="G16" s="102" t="s">
        <v>1538</v>
      </c>
      <c r="H16" s="102">
        <v>6</v>
      </c>
      <c r="I16" s="102" t="s">
        <v>1566</v>
      </c>
      <c r="J16" s="102">
        <v>2</v>
      </c>
      <c r="K16" s="102" t="s">
        <v>1535</v>
      </c>
      <c r="L16" s="102">
        <v>7</v>
      </c>
      <c r="M16" s="102" t="s">
        <v>1577</v>
      </c>
      <c r="N16" s="102">
        <v>5</v>
      </c>
      <c r="O16" s="102" t="s">
        <v>1586</v>
      </c>
      <c r="P16" s="102">
        <v>4</v>
      </c>
      <c r="Q16" s="102" t="s">
        <v>1536</v>
      </c>
      <c r="R16" s="102">
        <v>3</v>
      </c>
    </row>
    <row r="17" spans="1:18" ht="15">
      <c r="A17" s="104" t="s">
        <v>1537</v>
      </c>
      <c r="B17" s="102">
        <v>21</v>
      </c>
      <c r="C17" s="102" t="s">
        <v>1539</v>
      </c>
      <c r="D17" s="102">
        <v>7</v>
      </c>
      <c r="E17" s="102" t="s">
        <v>1536</v>
      </c>
      <c r="F17" s="102">
        <v>15</v>
      </c>
      <c r="G17" s="102" t="s">
        <v>1558</v>
      </c>
      <c r="H17" s="102">
        <v>6</v>
      </c>
      <c r="I17" s="102" t="s">
        <v>1539</v>
      </c>
      <c r="J17" s="102">
        <v>2</v>
      </c>
      <c r="K17" s="102" t="s">
        <v>1570</v>
      </c>
      <c r="L17" s="102">
        <v>6</v>
      </c>
      <c r="M17" s="102" t="s">
        <v>1578</v>
      </c>
      <c r="N17" s="102">
        <v>4</v>
      </c>
      <c r="O17" s="102" t="s">
        <v>1587</v>
      </c>
      <c r="P17" s="102">
        <v>4</v>
      </c>
      <c r="Q17" s="102" t="s">
        <v>1535</v>
      </c>
      <c r="R17" s="102">
        <v>3</v>
      </c>
    </row>
    <row r="18" spans="1:18" ht="15">
      <c r="A18" s="104" t="s">
        <v>1538</v>
      </c>
      <c r="B18" s="102">
        <v>21</v>
      </c>
      <c r="C18" s="102" t="s">
        <v>1546</v>
      </c>
      <c r="D18" s="102">
        <v>7</v>
      </c>
      <c r="E18" s="102" t="s">
        <v>1540</v>
      </c>
      <c r="F18" s="102">
        <v>11</v>
      </c>
      <c r="G18" s="102" t="s">
        <v>1559</v>
      </c>
      <c r="H18" s="102">
        <v>5</v>
      </c>
      <c r="I18" s="102" t="s">
        <v>1567</v>
      </c>
      <c r="J18" s="102">
        <v>2</v>
      </c>
      <c r="K18" s="102" t="s">
        <v>1538</v>
      </c>
      <c r="L18" s="102">
        <v>3</v>
      </c>
      <c r="M18" s="102" t="s">
        <v>1579</v>
      </c>
      <c r="N18" s="102">
        <v>3</v>
      </c>
      <c r="O18" s="102" t="s">
        <v>1588</v>
      </c>
      <c r="P18" s="102">
        <v>3</v>
      </c>
      <c r="Q18" s="102" t="s">
        <v>1596</v>
      </c>
      <c r="R18" s="102">
        <v>2</v>
      </c>
    </row>
    <row r="19" spans="1:18" ht="15">
      <c r="A19" s="104" t="s">
        <v>1539</v>
      </c>
      <c r="B19" s="102">
        <v>14</v>
      </c>
      <c r="C19" s="102" t="s">
        <v>1536</v>
      </c>
      <c r="D19" s="102">
        <v>6</v>
      </c>
      <c r="E19" s="102" t="s">
        <v>1543</v>
      </c>
      <c r="F19" s="102">
        <v>10</v>
      </c>
      <c r="G19" s="102" t="s">
        <v>1560</v>
      </c>
      <c r="H19" s="102">
        <v>4</v>
      </c>
      <c r="I19" s="102" t="s">
        <v>1568</v>
      </c>
      <c r="J19" s="102">
        <v>2</v>
      </c>
      <c r="K19" s="102" t="s">
        <v>1548</v>
      </c>
      <c r="L19" s="102">
        <v>3</v>
      </c>
      <c r="M19" s="102" t="s">
        <v>1535</v>
      </c>
      <c r="N19" s="102">
        <v>3</v>
      </c>
      <c r="O19" s="102" t="s">
        <v>1589</v>
      </c>
      <c r="P19" s="102">
        <v>3</v>
      </c>
      <c r="Q19" s="102" t="s">
        <v>1597</v>
      </c>
      <c r="R19" s="102">
        <v>2</v>
      </c>
    </row>
    <row r="20" spans="1:18" ht="15">
      <c r="A20" s="104" t="s">
        <v>1540</v>
      </c>
      <c r="B20" s="102">
        <v>11</v>
      </c>
      <c r="C20" s="102" t="s">
        <v>1547</v>
      </c>
      <c r="D20" s="102">
        <v>6</v>
      </c>
      <c r="E20" s="102" t="s">
        <v>1544</v>
      </c>
      <c r="F20" s="102">
        <v>10</v>
      </c>
      <c r="G20" s="102" t="s">
        <v>1561</v>
      </c>
      <c r="H20" s="102">
        <v>4</v>
      </c>
      <c r="I20" s="102"/>
      <c r="J20" s="102"/>
      <c r="K20" s="102" t="s">
        <v>1549</v>
      </c>
      <c r="L20" s="102">
        <v>3</v>
      </c>
      <c r="M20" s="102" t="s">
        <v>1580</v>
      </c>
      <c r="N20" s="102">
        <v>3</v>
      </c>
      <c r="O20" s="102" t="s">
        <v>1590</v>
      </c>
      <c r="P20" s="102">
        <v>3</v>
      </c>
      <c r="Q20" s="102"/>
      <c r="R20" s="102"/>
    </row>
    <row r="21" spans="1:18" ht="15">
      <c r="A21" s="104" t="s">
        <v>1541</v>
      </c>
      <c r="B21" s="102">
        <v>11</v>
      </c>
      <c r="C21" s="102" t="s">
        <v>1548</v>
      </c>
      <c r="D21" s="102">
        <v>5</v>
      </c>
      <c r="E21" s="102" t="s">
        <v>1553</v>
      </c>
      <c r="F21" s="102">
        <v>8</v>
      </c>
      <c r="G21" s="102" t="s">
        <v>1535</v>
      </c>
      <c r="H21" s="102">
        <v>4</v>
      </c>
      <c r="I21" s="102"/>
      <c r="J21" s="102"/>
      <c r="K21" s="102" t="s">
        <v>1571</v>
      </c>
      <c r="L21" s="102">
        <v>2</v>
      </c>
      <c r="M21" s="102" t="s">
        <v>1581</v>
      </c>
      <c r="N21" s="102">
        <v>2</v>
      </c>
      <c r="O21" s="102" t="s">
        <v>1591</v>
      </c>
      <c r="P21" s="102">
        <v>3</v>
      </c>
      <c r="Q21" s="102"/>
      <c r="R21" s="102"/>
    </row>
    <row r="22" spans="1:18" ht="15">
      <c r="A22" s="104" t="s">
        <v>1542</v>
      </c>
      <c r="B22" s="102">
        <v>10</v>
      </c>
      <c r="C22" s="102" t="s">
        <v>1549</v>
      </c>
      <c r="D22" s="102">
        <v>5</v>
      </c>
      <c r="E22" s="102" t="s">
        <v>1554</v>
      </c>
      <c r="F22" s="102">
        <v>7</v>
      </c>
      <c r="G22" s="102" t="s">
        <v>1562</v>
      </c>
      <c r="H22" s="102">
        <v>4</v>
      </c>
      <c r="I22" s="102"/>
      <c r="J22" s="102"/>
      <c r="K22" s="102" t="s">
        <v>1572</v>
      </c>
      <c r="L22" s="102">
        <v>2</v>
      </c>
      <c r="M22" s="102" t="s">
        <v>1582</v>
      </c>
      <c r="N22" s="102">
        <v>2</v>
      </c>
      <c r="O22" s="102" t="s">
        <v>1592</v>
      </c>
      <c r="P22" s="102">
        <v>2</v>
      </c>
      <c r="Q22" s="102"/>
      <c r="R22" s="102"/>
    </row>
    <row r="23" spans="1:18" ht="15">
      <c r="A23" s="104" t="s">
        <v>1543</v>
      </c>
      <c r="B23" s="102">
        <v>10</v>
      </c>
      <c r="C23" s="102" t="s">
        <v>1550</v>
      </c>
      <c r="D23" s="102">
        <v>4</v>
      </c>
      <c r="E23" s="102" t="s">
        <v>1555</v>
      </c>
      <c r="F23" s="102">
        <v>7</v>
      </c>
      <c r="G23" s="102" t="s">
        <v>1563</v>
      </c>
      <c r="H23" s="102">
        <v>3</v>
      </c>
      <c r="I23" s="102"/>
      <c r="J23" s="102"/>
      <c r="K23" s="102" t="s">
        <v>1573</v>
      </c>
      <c r="L23" s="102">
        <v>2</v>
      </c>
      <c r="M23" s="102" t="s">
        <v>1583</v>
      </c>
      <c r="N23" s="102">
        <v>2</v>
      </c>
      <c r="O23" s="102" t="s">
        <v>1593</v>
      </c>
      <c r="P23" s="102">
        <v>2</v>
      </c>
      <c r="Q23" s="102"/>
      <c r="R23" s="102"/>
    </row>
    <row r="24" spans="1:18" ht="15">
      <c r="A24" s="104" t="s">
        <v>1544</v>
      </c>
      <c r="B24" s="102">
        <v>10</v>
      </c>
      <c r="C24" s="102" t="s">
        <v>1551</v>
      </c>
      <c r="D24" s="102">
        <v>3</v>
      </c>
      <c r="E24" s="102" t="s">
        <v>1542</v>
      </c>
      <c r="F24" s="102">
        <v>7</v>
      </c>
      <c r="G24" s="102" t="s">
        <v>1564</v>
      </c>
      <c r="H24" s="102">
        <v>3</v>
      </c>
      <c r="I24" s="102"/>
      <c r="J24" s="102"/>
      <c r="K24" s="102" t="s">
        <v>1574</v>
      </c>
      <c r="L24" s="102">
        <v>2</v>
      </c>
      <c r="M24" s="102" t="s">
        <v>1584</v>
      </c>
      <c r="N24" s="102">
        <v>2</v>
      </c>
      <c r="O24" s="102" t="s">
        <v>1594</v>
      </c>
      <c r="P24" s="102">
        <v>2</v>
      </c>
      <c r="Q24" s="102"/>
      <c r="R24" s="102"/>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8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 min="48" max="48" width="18.57421875" style="0" bestFit="1" customWidth="1"/>
    <col min="49" max="49" width="22.28125" style="0" bestFit="1" customWidth="1"/>
    <col min="50" max="50" width="17.421875" style="0" bestFit="1" customWidth="1"/>
    <col min="51" max="51" width="15.57421875" style="0" bestFit="1" customWidth="1"/>
    <col min="52" max="53" width="17.7109375" style="0" bestFit="1" customWidth="1"/>
    <col min="54" max="54" width="1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1192</v>
      </c>
      <c r="AP2" s="107" t="s">
        <v>1463</v>
      </c>
      <c r="AQ2" s="107" t="s">
        <v>1464</v>
      </c>
      <c r="AR2" s="107" t="s">
        <v>1465</v>
      </c>
      <c r="AS2" s="107" t="s">
        <v>1466</v>
      </c>
      <c r="AT2" s="107" t="s">
        <v>1467</v>
      </c>
      <c r="AU2" s="107" t="s">
        <v>1468</v>
      </c>
      <c r="AV2" s="107" t="s">
        <v>1469</v>
      </c>
      <c r="AW2" s="107" t="s">
        <v>1470</v>
      </c>
      <c r="AX2" s="107" t="s">
        <v>1472</v>
      </c>
      <c r="AY2" s="107" t="s">
        <v>1607</v>
      </c>
      <c r="AZ2" s="107" t="s">
        <v>1609</v>
      </c>
      <c r="BA2" s="107" t="s">
        <v>1610</v>
      </c>
      <c r="BB2" s="107" t="s">
        <v>1611</v>
      </c>
      <c r="BC2" s="3"/>
      <c r="BD2" s="3"/>
    </row>
    <row r="3" spans="1:56" ht="15" customHeight="1">
      <c r="A3" s="65" t="s">
        <v>195</v>
      </c>
      <c r="B3" s="66" t="s">
        <v>1613</v>
      </c>
      <c r="C3" s="66"/>
      <c r="D3" s="67">
        <v>1000</v>
      </c>
      <c r="E3" s="69">
        <v>100</v>
      </c>
      <c r="F3" s="96" t="str">
        <f>HYPERLINK("https://i.ytimg.com/vi/EObJsBkBoHE/default.jpg")</f>
        <v>https://i.ytimg.com/vi/EObJsBkBoHE/default.jpg</v>
      </c>
      <c r="G3" s="66"/>
      <c r="H3" s="70" t="s">
        <v>571</v>
      </c>
      <c r="I3" s="71"/>
      <c r="J3" s="71" t="s">
        <v>75</v>
      </c>
      <c r="K3" s="70" t="s">
        <v>571</v>
      </c>
      <c r="L3" s="74">
        <v>6.07613741088303</v>
      </c>
      <c r="M3" s="75">
        <v>1020.7754516601562</v>
      </c>
      <c r="N3" s="75">
        <v>2926.008056640625</v>
      </c>
      <c r="O3" s="76"/>
      <c r="P3" s="77"/>
      <c r="Q3" s="77"/>
      <c r="R3" s="49"/>
      <c r="S3" s="49">
        <v>21</v>
      </c>
      <c r="T3" s="49">
        <v>10</v>
      </c>
      <c r="U3" s="50">
        <v>2292.637458</v>
      </c>
      <c r="V3" s="50">
        <v>0.002252</v>
      </c>
      <c r="W3" s="50">
        <v>0.02282</v>
      </c>
      <c r="X3" s="50">
        <v>3.779535</v>
      </c>
      <c r="Y3" s="50">
        <v>0.21798029556650247</v>
      </c>
      <c r="Z3" s="50">
        <v>0.06896551724137931</v>
      </c>
      <c r="AA3" s="72">
        <v>3</v>
      </c>
      <c r="AB3" s="72"/>
      <c r="AC3" s="73"/>
      <c r="AD3" s="80" t="s">
        <v>571</v>
      </c>
      <c r="AE3" s="80" t="s">
        <v>734</v>
      </c>
      <c r="AF3" s="80" t="s">
        <v>880</v>
      </c>
      <c r="AG3" s="80" t="s">
        <v>946</v>
      </c>
      <c r="AH3" s="80" t="s">
        <v>1154</v>
      </c>
      <c r="AI3" s="80">
        <v>3492</v>
      </c>
      <c r="AJ3" s="80">
        <v>2</v>
      </c>
      <c r="AK3" s="80">
        <v>44</v>
      </c>
      <c r="AL3" s="80">
        <v>1</v>
      </c>
      <c r="AM3" s="80" t="s">
        <v>1155</v>
      </c>
      <c r="AN3" s="98" t="str">
        <f>HYPERLINK("https://www.youtube.com/watch?v=EObJsBkBoHE")</f>
        <v>https://www.youtube.com/watch?v=EObJsBkBoHE</v>
      </c>
      <c r="AO3" s="80" t="str">
        <f>REPLACE(INDEX(GroupVertices[Group],MATCH(Vertices[[#This Row],[Vertex]],GroupVertices[Vertex],0)),1,1,"")</f>
        <v>2</v>
      </c>
      <c r="AP3" s="49">
        <v>0</v>
      </c>
      <c r="AQ3" s="50">
        <v>0</v>
      </c>
      <c r="AR3" s="49">
        <v>0</v>
      </c>
      <c r="AS3" s="50">
        <v>0</v>
      </c>
      <c r="AT3" s="49">
        <v>0</v>
      </c>
      <c r="AU3" s="50">
        <v>0</v>
      </c>
      <c r="AV3" s="49">
        <v>6</v>
      </c>
      <c r="AW3" s="50">
        <v>100</v>
      </c>
      <c r="AX3" s="49">
        <v>6</v>
      </c>
      <c r="AY3" s="111" t="s">
        <v>1608</v>
      </c>
      <c r="AZ3" s="111" t="s">
        <v>1608</v>
      </c>
      <c r="BA3" s="111" t="s">
        <v>1608</v>
      </c>
      <c r="BB3" s="111" t="s">
        <v>1608</v>
      </c>
      <c r="BC3" s="3"/>
      <c r="BD3" s="3"/>
    </row>
    <row r="4" spans="1:59" ht="15">
      <c r="A4" s="65" t="s">
        <v>376</v>
      </c>
      <c r="B4" s="66" t="s">
        <v>1614</v>
      </c>
      <c r="C4" s="66"/>
      <c r="D4" s="67">
        <v>142.85714285714286</v>
      </c>
      <c r="E4" s="69">
        <v>56.25</v>
      </c>
      <c r="F4" s="96" t="str">
        <f>HYPERLINK("https://i.ytimg.com/vi/kQFsy_StbK8/default.jpg")</f>
        <v>https://i.ytimg.com/vi/kQFsy_StbK8/default.jpg</v>
      </c>
      <c r="G4" s="66"/>
      <c r="H4" s="70" t="s">
        <v>391</v>
      </c>
      <c r="I4" s="71"/>
      <c r="J4" s="71" t="s">
        <v>159</v>
      </c>
      <c r="K4" s="70" t="s">
        <v>391</v>
      </c>
      <c r="L4" s="74">
        <v>2.2525913507419397</v>
      </c>
      <c r="M4" s="75">
        <v>2240.28076171875</v>
      </c>
      <c r="N4" s="75">
        <v>3720.72607421875</v>
      </c>
      <c r="O4" s="76"/>
      <c r="P4" s="77"/>
      <c r="Q4" s="77"/>
      <c r="R4" s="82"/>
      <c r="S4" s="49">
        <v>1</v>
      </c>
      <c r="T4" s="49">
        <v>0</v>
      </c>
      <c r="U4" s="50">
        <v>0</v>
      </c>
      <c r="V4" s="50">
        <v>0.001603</v>
      </c>
      <c r="W4" s="50">
        <v>0.000994</v>
      </c>
      <c r="X4" s="50">
        <v>0.260779</v>
      </c>
      <c r="Y4" s="50">
        <v>0</v>
      </c>
      <c r="Z4" s="50">
        <v>0</v>
      </c>
      <c r="AA4" s="72">
        <v>4</v>
      </c>
      <c r="AB4" s="72"/>
      <c r="AC4" s="73"/>
      <c r="AD4" s="80" t="s">
        <v>391</v>
      </c>
      <c r="AE4" s="80" t="s">
        <v>572</v>
      </c>
      <c r="AF4" s="80" t="s">
        <v>735</v>
      </c>
      <c r="AG4" s="80" t="s">
        <v>881</v>
      </c>
      <c r="AH4" s="80" t="s">
        <v>975</v>
      </c>
      <c r="AI4" s="80">
        <v>876</v>
      </c>
      <c r="AJ4" s="80">
        <v>0</v>
      </c>
      <c r="AK4" s="80">
        <v>4</v>
      </c>
      <c r="AL4" s="80">
        <v>0</v>
      </c>
      <c r="AM4" s="80" t="s">
        <v>1155</v>
      </c>
      <c r="AN4" s="98" t="str">
        <f>HYPERLINK("https://www.youtube.com/watch?v=kQFsy_StbK8")</f>
        <v>https://www.youtube.com/watch?v=kQFsy_StbK8</v>
      </c>
      <c r="AO4" s="80" t="str">
        <f>REPLACE(INDEX(GroupVertices[Group],MATCH(Vertices[[#This Row],[Vertex]],GroupVertices[Vertex],0)),1,1,"")</f>
        <v>2</v>
      </c>
      <c r="AP4" s="49">
        <v>0</v>
      </c>
      <c r="AQ4" s="50">
        <v>0</v>
      </c>
      <c r="AR4" s="49">
        <v>1</v>
      </c>
      <c r="AS4" s="50">
        <v>2.5</v>
      </c>
      <c r="AT4" s="49">
        <v>0</v>
      </c>
      <c r="AU4" s="50">
        <v>0</v>
      </c>
      <c r="AV4" s="49">
        <v>39</v>
      </c>
      <c r="AW4" s="50">
        <v>97.5</v>
      </c>
      <c r="AX4" s="49">
        <v>40</v>
      </c>
      <c r="AY4" s="49"/>
      <c r="AZ4" s="49"/>
      <c r="BA4" s="49"/>
      <c r="BB4" s="49"/>
      <c r="BC4" s="2"/>
      <c r="BD4" s="3"/>
      <c r="BE4" s="3"/>
      <c r="BF4" s="3"/>
      <c r="BG4" s="3"/>
    </row>
    <row r="5" spans="1:59" ht="15">
      <c r="A5" s="65" t="s">
        <v>235</v>
      </c>
      <c r="B5" s="66" t="s">
        <v>1614</v>
      </c>
      <c r="C5" s="66"/>
      <c r="D5" s="67">
        <v>142.85714285714286</v>
      </c>
      <c r="E5" s="69">
        <v>56.25</v>
      </c>
      <c r="F5" s="96" t="str">
        <f>HYPERLINK("https://i.ytimg.com/vi/L0C_D68E1Q0/default.jpg")</f>
        <v>https://i.ytimg.com/vi/L0C_D68E1Q0/default.jpg</v>
      </c>
      <c r="G5" s="66"/>
      <c r="H5" s="70" t="s">
        <v>392</v>
      </c>
      <c r="I5" s="71"/>
      <c r="J5" s="71" t="s">
        <v>159</v>
      </c>
      <c r="K5" s="70" t="s">
        <v>392</v>
      </c>
      <c r="L5" s="74">
        <v>53.851462360360024</v>
      </c>
      <c r="M5" s="75">
        <v>5289.0439453125</v>
      </c>
      <c r="N5" s="75">
        <v>1336.571533203125</v>
      </c>
      <c r="O5" s="76"/>
      <c r="P5" s="77"/>
      <c r="Q5" s="77"/>
      <c r="R5" s="82"/>
      <c r="S5" s="49">
        <v>1</v>
      </c>
      <c r="T5" s="49">
        <v>0</v>
      </c>
      <c r="U5" s="50">
        <v>0</v>
      </c>
      <c r="V5" s="50">
        <v>0.001603</v>
      </c>
      <c r="W5" s="50">
        <v>0.000994</v>
      </c>
      <c r="X5" s="50">
        <v>0.260779</v>
      </c>
      <c r="Y5" s="50">
        <v>0</v>
      </c>
      <c r="Z5" s="50">
        <v>0</v>
      </c>
      <c r="AA5" s="72">
        <v>5</v>
      </c>
      <c r="AB5" s="72"/>
      <c r="AC5" s="73"/>
      <c r="AD5" s="80" t="s">
        <v>392</v>
      </c>
      <c r="AE5" s="80" t="s">
        <v>573</v>
      </c>
      <c r="AF5" s="80" t="s">
        <v>736</v>
      </c>
      <c r="AG5" s="80" t="s">
        <v>882</v>
      </c>
      <c r="AH5" s="80" t="s">
        <v>976</v>
      </c>
      <c r="AI5" s="80">
        <v>36179</v>
      </c>
      <c r="AJ5" s="80">
        <v>5</v>
      </c>
      <c r="AK5" s="80">
        <v>94</v>
      </c>
      <c r="AL5" s="80">
        <v>4</v>
      </c>
      <c r="AM5" s="80" t="s">
        <v>1155</v>
      </c>
      <c r="AN5" s="98" t="str">
        <f>HYPERLINK("https://www.youtube.com/watch?v=L0C_D68E1Q0")</f>
        <v>https://www.youtube.com/watch?v=L0C_D68E1Q0</v>
      </c>
      <c r="AO5" s="80" t="str">
        <f>REPLACE(INDEX(GroupVertices[Group],MATCH(Vertices[[#This Row],[Vertex]],GroupVertices[Vertex],0)),1,1,"")</f>
        <v>2</v>
      </c>
      <c r="AP5" s="49">
        <v>0</v>
      </c>
      <c r="AQ5" s="50">
        <v>0</v>
      </c>
      <c r="AR5" s="49">
        <v>0</v>
      </c>
      <c r="AS5" s="50">
        <v>0</v>
      </c>
      <c r="AT5" s="49">
        <v>0</v>
      </c>
      <c r="AU5" s="50">
        <v>0</v>
      </c>
      <c r="AV5" s="49">
        <v>9</v>
      </c>
      <c r="AW5" s="50">
        <v>100</v>
      </c>
      <c r="AX5" s="49">
        <v>9</v>
      </c>
      <c r="AY5" s="49"/>
      <c r="AZ5" s="49"/>
      <c r="BA5" s="49"/>
      <c r="BB5" s="49"/>
      <c r="BC5" s="2"/>
      <c r="BD5" s="3"/>
      <c r="BE5" s="3"/>
      <c r="BF5" s="3"/>
      <c r="BG5" s="3"/>
    </row>
    <row r="6" spans="1:59" ht="15">
      <c r="A6" s="65" t="s">
        <v>196</v>
      </c>
      <c r="B6" s="66" t="s">
        <v>1615</v>
      </c>
      <c r="C6" s="66"/>
      <c r="D6" s="67">
        <v>1000</v>
      </c>
      <c r="E6" s="69">
        <v>100</v>
      </c>
      <c r="F6" s="96" t="str">
        <f>HYPERLINK("https://i.ytimg.com/vi/XmG5XD7YDhI/default.jpg")</f>
        <v>https://i.ytimg.com/vi/XmG5XD7YDhI/default.jpg</v>
      </c>
      <c r="G6" s="66"/>
      <c r="H6" s="70" t="s">
        <v>393</v>
      </c>
      <c r="I6" s="71"/>
      <c r="J6" s="71" t="s">
        <v>75</v>
      </c>
      <c r="K6" s="70" t="s">
        <v>393</v>
      </c>
      <c r="L6" s="74">
        <v>7.908984031455249</v>
      </c>
      <c r="M6" s="75">
        <v>4679.29150390625</v>
      </c>
      <c r="N6" s="75">
        <v>7058.54248046875</v>
      </c>
      <c r="O6" s="76"/>
      <c r="P6" s="77"/>
      <c r="Q6" s="77"/>
      <c r="R6" s="82"/>
      <c r="S6" s="49">
        <v>21</v>
      </c>
      <c r="T6" s="49">
        <v>11</v>
      </c>
      <c r="U6" s="50">
        <v>2007.369163</v>
      </c>
      <c r="V6" s="50">
        <v>0.002326</v>
      </c>
      <c r="W6" s="50">
        <v>0.028269</v>
      </c>
      <c r="X6" s="50">
        <v>3.492769</v>
      </c>
      <c r="Y6" s="50">
        <v>0.37037037037037035</v>
      </c>
      <c r="Z6" s="50">
        <v>0.18518518518518517</v>
      </c>
      <c r="AA6" s="72">
        <v>6</v>
      </c>
      <c r="AB6" s="72"/>
      <c r="AC6" s="73"/>
      <c r="AD6" s="80" t="s">
        <v>393</v>
      </c>
      <c r="AE6" s="80" t="s">
        <v>574</v>
      </c>
      <c r="AF6" s="80" t="s">
        <v>737</v>
      </c>
      <c r="AG6" s="80" t="s">
        <v>883</v>
      </c>
      <c r="AH6" s="80" t="s">
        <v>977</v>
      </c>
      <c r="AI6" s="80">
        <v>4746</v>
      </c>
      <c r="AJ6" s="80">
        <v>1</v>
      </c>
      <c r="AK6" s="80">
        <v>12</v>
      </c>
      <c r="AL6" s="80">
        <v>1</v>
      </c>
      <c r="AM6" s="80" t="s">
        <v>1155</v>
      </c>
      <c r="AN6" s="98" t="str">
        <f>HYPERLINK("https://www.youtube.com/watch?v=XmG5XD7YDhI")</f>
        <v>https://www.youtube.com/watch?v=XmG5XD7YDhI</v>
      </c>
      <c r="AO6" s="80" t="str">
        <f>REPLACE(INDEX(GroupVertices[Group],MATCH(Vertices[[#This Row],[Vertex]],GroupVertices[Vertex],0)),1,1,"")</f>
        <v>1</v>
      </c>
      <c r="AP6" s="49">
        <v>0</v>
      </c>
      <c r="AQ6" s="50">
        <v>0</v>
      </c>
      <c r="AR6" s="49">
        <v>0</v>
      </c>
      <c r="AS6" s="50">
        <v>0</v>
      </c>
      <c r="AT6" s="49">
        <v>0</v>
      </c>
      <c r="AU6" s="50">
        <v>0</v>
      </c>
      <c r="AV6" s="49">
        <v>9</v>
      </c>
      <c r="AW6" s="50">
        <v>100</v>
      </c>
      <c r="AX6" s="49">
        <v>9</v>
      </c>
      <c r="AY6" s="111" t="s">
        <v>1608</v>
      </c>
      <c r="AZ6" s="111" t="s">
        <v>1608</v>
      </c>
      <c r="BA6" s="111" t="s">
        <v>1608</v>
      </c>
      <c r="BB6" s="111" t="s">
        <v>1608</v>
      </c>
      <c r="BC6" s="2"/>
      <c r="BD6" s="3"/>
      <c r="BE6" s="3"/>
      <c r="BF6" s="3"/>
      <c r="BG6" s="3"/>
    </row>
    <row r="7" spans="1:59" ht="15">
      <c r="A7" s="65" t="s">
        <v>236</v>
      </c>
      <c r="B7" s="66" t="s">
        <v>1614</v>
      </c>
      <c r="C7" s="66"/>
      <c r="D7" s="67">
        <v>142.85714285714286</v>
      </c>
      <c r="E7" s="69">
        <v>56.25</v>
      </c>
      <c r="F7" s="96" t="str">
        <f>HYPERLINK("https://i.ytimg.com/vi/dVWAoy7Srnc/default.jpg")</f>
        <v>https://i.ytimg.com/vi/dVWAoy7Srnc/default.jpg</v>
      </c>
      <c r="G7" s="66"/>
      <c r="H7" s="70" t="s">
        <v>394</v>
      </c>
      <c r="I7" s="71"/>
      <c r="J7" s="71" t="s">
        <v>159</v>
      </c>
      <c r="K7" s="70" t="s">
        <v>394</v>
      </c>
      <c r="L7" s="74">
        <v>1.0774648093224304</v>
      </c>
      <c r="M7" s="75">
        <v>1630.528076171875</v>
      </c>
      <c r="N7" s="75">
        <v>9455.08203125</v>
      </c>
      <c r="O7" s="76"/>
      <c r="P7" s="77"/>
      <c r="Q7" s="77"/>
      <c r="R7" s="82"/>
      <c r="S7" s="49">
        <v>1</v>
      </c>
      <c r="T7" s="49">
        <v>0</v>
      </c>
      <c r="U7" s="50">
        <v>0</v>
      </c>
      <c r="V7" s="50">
        <v>0.001639</v>
      </c>
      <c r="W7" s="50">
        <v>0.001232</v>
      </c>
      <c r="X7" s="50">
        <v>0.259957</v>
      </c>
      <c r="Y7" s="50">
        <v>0</v>
      </c>
      <c r="Z7" s="50">
        <v>0</v>
      </c>
      <c r="AA7" s="72">
        <v>7</v>
      </c>
      <c r="AB7" s="72"/>
      <c r="AC7" s="73"/>
      <c r="AD7" s="80" t="s">
        <v>394</v>
      </c>
      <c r="AE7" s="80" t="s">
        <v>575</v>
      </c>
      <c r="AF7" s="80" t="s">
        <v>738</v>
      </c>
      <c r="AG7" s="80" t="s">
        <v>883</v>
      </c>
      <c r="AH7" s="80" t="s">
        <v>978</v>
      </c>
      <c r="AI7" s="80">
        <v>72</v>
      </c>
      <c r="AJ7" s="80">
        <v>0</v>
      </c>
      <c r="AK7" s="80">
        <v>2</v>
      </c>
      <c r="AL7" s="80">
        <v>0</v>
      </c>
      <c r="AM7" s="80" t="s">
        <v>1155</v>
      </c>
      <c r="AN7" s="98" t="str">
        <f>HYPERLINK("https://www.youtube.com/watch?v=dVWAoy7Srnc")</f>
        <v>https://www.youtube.com/watch?v=dVWAoy7Srnc</v>
      </c>
      <c r="AO7" s="80" t="str">
        <f>REPLACE(INDEX(GroupVertices[Group],MATCH(Vertices[[#This Row],[Vertex]],GroupVertices[Vertex],0)),1,1,"")</f>
        <v>1</v>
      </c>
      <c r="AP7" s="49">
        <v>0</v>
      </c>
      <c r="AQ7" s="50">
        <v>0</v>
      </c>
      <c r="AR7" s="49">
        <v>0</v>
      </c>
      <c r="AS7" s="50">
        <v>0</v>
      </c>
      <c r="AT7" s="49">
        <v>0</v>
      </c>
      <c r="AU7" s="50">
        <v>0</v>
      </c>
      <c r="AV7" s="49">
        <v>5</v>
      </c>
      <c r="AW7" s="50">
        <v>100</v>
      </c>
      <c r="AX7" s="49">
        <v>5</v>
      </c>
      <c r="AY7" s="49"/>
      <c r="AZ7" s="49"/>
      <c r="BA7" s="49"/>
      <c r="BB7" s="49"/>
      <c r="BC7" s="2"/>
      <c r="BD7" s="3"/>
      <c r="BE7" s="3"/>
      <c r="BF7" s="3"/>
      <c r="BG7" s="3"/>
    </row>
    <row r="8" spans="1:59" ht="15">
      <c r="A8" s="65" t="s">
        <v>237</v>
      </c>
      <c r="B8" s="66" t="s">
        <v>1614</v>
      </c>
      <c r="C8" s="66"/>
      <c r="D8" s="67">
        <v>142.85714285714286</v>
      </c>
      <c r="E8" s="69">
        <v>56.25</v>
      </c>
      <c r="F8" s="96" t="str">
        <f>HYPERLINK("https://i.ytimg.com/vi/XWsFWTuqe5I/default.jpg")</f>
        <v>https://i.ytimg.com/vi/XWsFWTuqe5I/default.jpg</v>
      </c>
      <c r="G8" s="66"/>
      <c r="H8" s="70" t="s">
        <v>395</v>
      </c>
      <c r="I8" s="71"/>
      <c r="J8" s="71" t="s">
        <v>159</v>
      </c>
      <c r="K8" s="70" t="s">
        <v>395</v>
      </c>
      <c r="L8" s="74">
        <v>1.0876960105536948</v>
      </c>
      <c r="M8" s="75">
        <v>2240.28076171875</v>
      </c>
      <c r="N8" s="75">
        <v>9455.08203125</v>
      </c>
      <c r="O8" s="76"/>
      <c r="P8" s="77"/>
      <c r="Q8" s="77"/>
      <c r="R8" s="82"/>
      <c r="S8" s="49">
        <v>1</v>
      </c>
      <c r="T8" s="49">
        <v>0</v>
      </c>
      <c r="U8" s="50">
        <v>0</v>
      </c>
      <c r="V8" s="50">
        <v>0.001639</v>
      </c>
      <c r="W8" s="50">
        <v>0.001232</v>
      </c>
      <c r="X8" s="50">
        <v>0.259957</v>
      </c>
      <c r="Y8" s="50">
        <v>0</v>
      </c>
      <c r="Z8" s="50">
        <v>0</v>
      </c>
      <c r="AA8" s="72">
        <v>8</v>
      </c>
      <c r="AB8" s="72"/>
      <c r="AC8" s="73"/>
      <c r="AD8" s="80" t="s">
        <v>395</v>
      </c>
      <c r="AE8" s="80" t="s">
        <v>576</v>
      </c>
      <c r="AF8" s="80" t="s">
        <v>739</v>
      </c>
      <c r="AG8" s="80" t="s">
        <v>884</v>
      </c>
      <c r="AH8" s="80" t="s">
        <v>979</v>
      </c>
      <c r="AI8" s="80">
        <v>79</v>
      </c>
      <c r="AJ8" s="80">
        <v>0</v>
      </c>
      <c r="AK8" s="80">
        <v>1</v>
      </c>
      <c r="AL8" s="80">
        <v>0</v>
      </c>
      <c r="AM8" s="80" t="s">
        <v>1155</v>
      </c>
      <c r="AN8" s="98" t="str">
        <f>HYPERLINK("https://www.youtube.com/watch?v=XWsFWTuqe5I")</f>
        <v>https://www.youtube.com/watch?v=XWsFWTuqe5I</v>
      </c>
      <c r="AO8" s="80" t="str">
        <f>REPLACE(INDEX(GroupVertices[Group],MATCH(Vertices[[#This Row],[Vertex]],GroupVertices[Vertex],0)),1,1,"")</f>
        <v>1</v>
      </c>
      <c r="AP8" s="49">
        <v>0</v>
      </c>
      <c r="AQ8" s="50">
        <v>0</v>
      </c>
      <c r="AR8" s="49">
        <v>0</v>
      </c>
      <c r="AS8" s="50">
        <v>0</v>
      </c>
      <c r="AT8" s="49">
        <v>0</v>
      </c>
      <c r="AU8" s="50">
        <v>0</v>
      </c>
      <c r="AV8" s="49">
        <v>2</v>
      </c>
      <c r="AW8" s="50">
        <v>100</v>
      </c>
      <c r="AX8" s="49">
        <v>2</v>
      </c>
      <c r="AY8" s="49"/>
      <c r="AZ8" s="49"/>
      <c r="BA8" s="49"/>
      <c r="BB8" s="49"/>
      <c r="BC8" s="2"/>
      <c r="BD8" s="3"/>
      <c r="BE8" s="3"/>
      <c r="BF8" s="3"/>
      <c r="BG8" s="3"/>
    </row>
    <row r="9" spans="1:59" ht="15">
      <c r="A9" s="65" t="s">
        <v>238</v>
      </c>
      <c r="B9" s="66" t="s">
        <v>1614</v>
      </c>
      <c r="C9" s="66"/>
      <c r="D9" s="67">
        <v>142.85714285714286</v>
      </c>
      <c r="E9" s="69">
        <v>56.25</v>
      </c>
      <c r="F9" s="96" t="str">
        <f>HYPERLINK("https://i.ytimg.com/vi/dgXEGk2DviM/default.jpg")</f>
        <v>https://i.ytimg.com/vi/dgXEGk2DviM/default.jpg</v>
      </c>
      <c r="G9" s="66"/>
      <c r="H9" s="70" t="s">
        <v>396</v>
      </c>
      <c r="I9" s="71"/>
      <c r="J9" s="71" t="s">
        <v>159</v>
      </c>
      <c r="K9" s="70" t="s">
        <v>396</v>
      </c>
      <c r="L9" s="74">
        <v>1.1388520167100167</v>
      </c>
      <c r="M9" s="75">
        <v>4069.538818359375</v>
      </c>
      <c r="N9" s="75">
        <v>9455.08203125</v>
      </c>
      <c r="O9" s="76"/>
      <c r="P9" s="77"/>
      <c r="Q9" s="77"/>
      <c r="R9" s="82"/>
      <c r="S9" s="49">
        <v>1</v>
      </c>
      <c r="T9" s="49">
        <v>0</v>
      </c>
      <c r="U9" s="50">
        <v>0</v>
      </c>
      <c r="V9" s="50">
        <v>0.001639</v>
      </c>
      <c r="W9" s="50">
        <v>0.001232</v>
      </c>
      <c r="X9" s="50">
        <v>0.259957</v>
      </c>
      <c r="Y9" s="50">
        <v>0</v>
      </c>
      <c r="Z9" s="50">
        <v>0</v>
      </c>
      <c r="AA9" s="72">
        <v>9</v>
      </c>
      <c r="AB9" s="72"/>
      <c r="AC9" s="73"/>
      <c r="AD9" s="80" t="s">
        <v>396</v>
      </c>
      <c r="AE9" s="80" t="s">
        <v>577</v>
      </c>
      <c r="AF9" s="80"/>
      <c r="AG9" s="80" t="s">
        <v>883</v>
      </c>
      <c r="AH9" s="80" t="s">
        <v>980</v>
      </c>
      <c r="AI9" s="80">
        <v>114</v>
      </c>
      <c r="AJ9" s="80">
        <v>0</v>
      </c>
      <c r="AK9" s="80">
        <v>1</v>
      </c>
      <c r="AL9" s="80">
        <v>0</v>
      </c>
      <c r="AM9" s="80" t="s">
        <v>1155</v>
      </c>
      <c r="AN9" s="98" t="str">
        <f>HYPERLINK("https://www.youtube.com/watch?v=dgXEGk2DviM")</f>
        <v>https://www.youtube.com/watch?v=dgXEGk2DviM</v>
      </c>
      <c r="AO9" s="80" t="str">
        <f>REPLACE(INDEX(GroupVertices[Group],MATCH(Vertices[[#This Row],[Vertex]],GroupVertices[Vertex],0)),1,1,"")</f>
        <v>1</v>
      </c>
      <c r="AP9" s="49"/>
      <c r="AQ9" s="50"/>
      <c r="AR9" s="49"/>
      <c r="AS9" s="50"/>
      <c r="AT9" s="49"/>
      <c r="AU9" s="50"/>
      <c r="AV9" s="49"/>
      <c r="AW9" s="50"/>
      <c r="AX9" s="49"/>
      <c r="AY9" s="49"/>
      <c r="AZ9" s="49"/>
      <c r="BA9" s="49"/>
      <c r="BB9" s="49"/>
      <c r="BC9" s="2"/>
      <c r="BD9" s="3"/>
      <c r="BE9" s="3"/>
      <c r="BF9" s="3"/>
      <c r="BG9" s="3"/>
    </row>
    <row r="10" spans="1:59" ht="15">
      <c r="A10" s="65" t="s">
        <v>239</v>
      </c>
      <c r="B10" s="66" t="s">
        <v>1614</v>
      </c>
      <c r="C10" s="66"/>
      <c r="D10" s="67">
        <v>142.85714285714286</v>
      </c>
      <c r="E10" s="69">
        <v>56.25</v>
      </c>
      <c r="F10" s="96" t="str">
        <f>HYPERLINK("https://i.ytimg.com/vi/Q-1EpHE_4Pc/default.jpg")</f>
        <v>https://i.ytimg.com/vi/Q-1EpHE_4Pc/default.jpg</v>
      </c>
      <c r="G10" s="66"/>
      <c r="H10" s="70" t="s">
        <v>397</v>
      </c>
      <c r="I10" s="71"/>
      <c r="J10" s="71" t="s">
        <v>159</v>
      </c>
      <c r="K10" s="70" t="s">
        <v>397</v>
      </c>
      <c r="L10" s="74">
        <v>3.427717892161449</v>
      </c>
      <c r="M10" s="75">
        <v>4679.29150390625</v>
      </c>
      <c r="N10" s="75">
        <v>7857.3896484375</v>
      </c>
      <c r="O10" s="76"/>
      <c r="P10" s="77"/>
      <c r="Q10" s="77"/>
      <c r="R10" s="82"/>
      <c r="S10" s="49">
        <v>1</v>
      </c>
      <c r="T10" s="49">
        <v>0</v>
      </c>
      <c r="U10" s="50">
        <v>0</v>
      </c>
      <c r="V10" s="50">
        <v>0.001639</v>
      </c>
      <c r="W10" s="50">
        <v>0.001232</v>
      </c>
      <c r="X10" s="50">
        <v>0.259957</v>
      </c>
      <c r="Y10" s="50">
        <v>0</v>
      </c>
      <c r="Z10" s="50">
        <v>0</v>
      </c>
      <c r="AA10" s="72">
        <v>10</v>
      </c>
      <c r="AB10" s="72"/>
      <c r="AC10" s="73"/>
      <c r="AD10" s="80" t="s">
        <v>397</v>
      </c>
      <c r="AE10" s="80" t="s">
        <v>578</v>
      </c>
      <c r="AF10" s="80"/>
      <c r="AG10" s="80" t="s">
        <v>885</v>
      </c>
      <c r="AH10" s="80" t="s">
        <v>981</v>
      </c>
      <c r="AI10" s="80">
        <v>1680</v>
      </c>
      <c r="AJ10" s="80">
        <v>5</v>
      </c>
      <c r="AK10" s="80">
        <v>29</v>
      </c>
      <c r="AL10" s="80">
        <v>0</v>
      </c>
      <c r="AM10" s="80" t="s">
        <v>1155</v>
      </c>
      <c r="AN10" s="98" t="str">
        <f>HYPERLINK("https://www.youtube.com/watch?v=Q-1EpHE_4Pc")</f>
        <v>https://www.youtube.com/watch?v=Q-1EpHE_4Pc</v>
      </c>
      <c r="AO10" s="80" t="str">
        <f>REPLACE(INDEX(GroupVertices[Group],MATCH(Vertices[[#This Row],[Vertex]],GroupVertices[Vertex],0)),1,1,"")</f>
        <v>1</v>
      </c>
      <c r="AP10" s="49"/>
      <c r="AQ10" s="50"/>
      <c r="AR10" s="49"/>
      <c r="AS10" s="50"/>
      <c r="AT10" s="49"/>
      <c r="AU10" s="50"/>
      <c r="AV10" s="49"/>
      <c r="AW10" s="50"/>
      <c r="AX10" s="49"/>
      <c r="AY10" s="49"/>
      <c r="AZ10" s="49"/>
      <c r="BA10" s="49"/>
      <c r="BB10" s="49"/>
      <c r="BC10" s="2"/>
      <c r="BD10" s="3"/>
      <c r="BE10" s="3"/>
      <c r="BF10" s="3"/>
      <c r="BG10" s="3"/>
    </row>
    <row r="11" spans="1:59" ht="15">
      <c r="A11" s="65" t="s">
        <v>197</v>
      </c>
      <c r="B11" s="66" t="s">
        <v>1613</v>
      </c>
      <c r="C11" s="66"/>
      <c r="D11" s="67">
        <v>142.85714285714286</v>
      </c>
      <c r="E11" s="69">
        <v>56.25</v>
      </c>
      <c r="F11" s="96" t="str">
        <f>HYPERLINK("https://i.ytimg.com/vi/4E4ZqGLIKxI/default.jpg")</f>
        <v>https://i.ytimg.com/vi/4E4ZqGLIKxI/default.jpg</v>
      </c>
      <c r="G11" s="66"/>
      <c r="H11" s="70" t="s">
        <v>398</v>
      </c>
      <c r="I11" s="71"/>
      <c r="J11" s="71" t="s">
        <v>159</v>
      </c>
      <c r="K11" s="70" t="s">
        <v>398</v>
      </c>
      <c r="L11" s="74">
        <v>77.98540446473682</v>
      </c>
      <c r="M11" s="75">
        <v>8521.794921875</v>
      </c>
      <c r="N11" s="75">
        <v>2683.980224609375</v>
      </c>
      <c r="O11" s="76"/>
      <c r="P11" s="77"/>
      <c r="Q11" s="77"/>
      <c r="R11" s="82"/>
      <c r="S11" s="49">
        <v>1</v>
      </c>
      <c r="T11" s="49">
        <v>10</v>
      </c>
      <c r="U11" s="50">
        <v>3510</v>
      </c>
      <c r="V11" s="50">
        <v>0.001656</v>
      </c>
      <c r="W11" s="50">
        <v>0.00035</v>
      </c>
      <c r="X11" s="50">
        <v>4.588665</v>
      </c>
      <c r="Y11" s="50">
        <v>0</v>
      </c>
      <c r="Z11" s="50">
        <v>0</v>
      </c>
      <c r="AA11" s="72">
        <v>11</v>
      </c>
      <c r="AB11" s="72"/>
      <c r="AC11" s="73"/>
      <c r="AD11" s="80" t="s">
        <v>398</v>
      </c>
      <c r="AE11" s="80" t="s">
        <v>579</v>
      </c>
      <c r="AF11" s="80"/>
      <c r="AG11" s="80" t="s">
        <v>886</v>
      </c>
      <c r="AH11" s="80" t="s">
        <v>982</v>
      </c>
      <c r="AI11" s="80">
        <v>52691</v>
      </c>
      <c r="AJ11" s="80">
        <v>9</v>
      </c>
      <c r="AK11" s="80">
        <v>305</v>
      </c>
      <c r="AL11" s="80">
        <v>3</v>
      </c>
      <c r="AM11" s="80" t="s">
        <v>1155</v>
      </c>
      <c r="AN11" s="98" t="str">
        <f>HYPERLINK("https://www.youtube.com/watch?v=4E4ZqGLIKxI")</f>
        <v>https://www.youtube.com/watch?v=4E4ZqGLIKxI</v>
      </c>
      <c r="AO11" s="80" t="str">
        <f>REPLACE(INDEX(GroupVertices[Group],MATCH(Vertices[[#This Row],[Vertex]],GroupVertices[Vertex],0)),1,1,"")</f>
        <v>6</v>
      </c>
      <c r="AP11" s="49"/>
      <c r="AQ11" s="50"/>
      <c r="AR11" s="49"/>
      <c r="AS11" s="50"/>
      <c r="AT11" s="49"/>
      <c r="AU11" s="50"/>
      <c r="AV11" s="49"/>
      <c r="AW11" s="50"/>
      <c r="AX11" s="49"/>
      <c r="AY11" s="111" t="s">
        <v>1608</v>
      </c>
      <c r="AZ11" s="111" t="s">
        <v>1608</v>
      </c>
      <c r="BA11" s="111" t="s">
        <v>1608</v>
      </c>
      <c r="BB11" s="111" t="s">
        <v>1608</v>
      </c>
      <c r="BC11" s="2"/>
      <c r="BD11" s="3"/>
      <c r="BE11" s="3"/>
      <c r="BF11" s="3"/>
      <c r="BG11" s="3"/>
    </row>
    <row r="12" spans="1:59" ht="15">
      <c r="A12" s="65" t="s">
        <v>240</v>
      </c>
      <c r="B12" s="66" t="s">
        <v>1614</v>
      </c>
      <c r="C12" s="66"/>
      <c r="D12" s="67">
        <v>142.85714285714286</v>
      </c>
      <c r="E12" s="69">
        <v>56.25</v>
      </c>
      <c r="F12" s="96" t="str">
        <f>HYPERLINK("https://i.ytimg.com/vi/3tEH8PPQ_rM/default.jpg")</f>
        <v>https://i.ytimg.com/vi/3tEH8PPQ_rM/default.jpg</v>
      </c>
      <c r="G12" s="66"/>
      <c r="H12" s="70" t="s">
        <v>399</v>
      </c>
      <c r="I12" s="71"/>
      <c r="J12" s="71" t="s">
        <v>159</v>
      </c>
      <c r="K12" s="70" t="s">
        <v>399</v>
      </c>
      <c r="L12" s="74">
        <v>2.7656130124810536</v>
      </c>
      <c r="M12" s="75">
        <v>8521.794921875</v>
      </c>
      <c r="N12" s="75">
        <v>5089.80908203125</v>
      </c>
      <c r="O12" s="76"/>
      <c r="P12" s="77"/>
      <c r="Q12" s="77"/>
      <c r="R12" s="82"/>
      <c r="S12" s="49">
        <v>1</v>
      </c>
      <c r="T12" s="49">
        <v>0</v>
      </c>
      <c r="U12" s="50">
        <v>0</v>
      </c>
      <c r="V12" s="50">
        <v>0.001276</v>
      </c>
      <c r="W12" s="50">
        <v>1.5E-05</v>
      </c>
      <c r="X12" s="50">
        <v>0.504579</v>
      </c>
      <c r="Y12" s="50">
        <v>0</v>
      </c>
      <c r="Z12" s="50">
        <v>0</v>
      </c>
      <c r="AA12" s="72">
        <v>12</v>
      </c>
      <c r="AB12" s="72"/>
      <c r="AC12" s="73"/>
      <c r="AD12" s="80" t="s">
        <v>399</v>
      </c>
      <c r="AE12" s="80" t="s">
        <v>580</v>
      </c>
      <c r="AF12" s="80" t="s">
        <v>740</v>
      </c>
      <c r="AG12" s="80" t="s">
        <v>887</v>
      </c>
      <c r="AH12" s="80" t="s">
        <v>983</v>
      </c>
      <c r="AI12" s="80">
        <v>1227</v>
      </c>
      <c r="AJ12" s="80">
        <v>0</v>
      </c>
      <c r="AK12" s="80">
        <v>9</v>
      </c>
      <c r="AL12" s="80">
        <v>0</v>
      </c>
      <c r="AM12" s="80" t="s">
        <v>1155</v>
      </c>
      <c r="AN12" s="98" t="str">
        <f>HYPERLINK("https://www.youtube.com/watch?v=3tEH8PPQ_rM")</f>
        <v>https://www.youtube.com/watch?v=3tEH8PPQ_rM</v>
      </c>
      <c r="AO12" s="80" t="str">
        <f>REPLACE(INDEX(GroupVertices[Group],MATCH(Vertices[[#This Row],[Vertex]],GroupVertices[Vertex],0)),1,1,"")</f>
        <v>6</v>
      </c>
      <c r="AP12" s="49">
        <v>0</v>
      </c>
      <c r="AQ12" s="50">
        <v>0</v>
      </c>
      <c r="AR12" s="49">
        <v>0</v>
      </c>
      <c r="AS12" s="50">
        <v>0</v>
      </c>
      <c r="AT12" s="49">
        <v>0</v>
      </c>
      <c r="AU12" s="50">
        <v>0</v>
      </c>
      <c r="AV12" s="49">
        <v>7</v>
      </c>
      <c r="AW12" s="50">
        <v>100</v>
      </c>
      <c r="AX12" s="49">
        <v>7</v>
      </c>
      <c r="AY12" s="49"/>
      <c r="AZ12" s="49"/>
      <c r="BA12" s="49"/>
      <c r="BB12" s="49"/>
      <c r="BC12" s="2"/>
      <c r="BD12" s="3"/>
      <c r="BE12" s="3"/>
      <c r="BF12" s="3"/>
      <c r="BG12" s="3"/>
    </row>
    <row r="13" spans="1:59" ht="15">
      <c r="A13" s="65" t="s">
        <v>241</v>
      </c>
      <c r="B13" s="66" t="s">
        <v>1614</v>
      </c>
      <c r="C13" s="66"/>
      <c r="D13" s="67">
        <v>142.85714285714286</v>
      </c>
      <c r="E13" s="69">
        <v>56.25</v>
      </c>
      <c r="F13" s="96" t="str">
        <f>HYPERLINK("https://i.ytimg.com/vi/ix5N8KUruqE/default.jpg")</f>
        <v>https://i.ytimg.com/vi/ix5N8KUruqE/default.jpg</v>
      </c>
      <c r="G13" s="66"/>
      <c r="H13" s="70" t="s">
        <v>400</v>
      </c>
      <c r="I13" s="71"/>
      <c r="J13" s="71" t="s">
        <v>159</v>
      </c>
      <c r="K13" s="70" t="s">
        <v>400</v>
      </c>
      <c r="L13" s="74">
        <v>13.89277515156902</v>
      </c>
      <c r="M13" s="75">
        <v>9070.21875</v>
      </c>
      <c r="N13" s="75">
        <v>4287.8662109375</v>
      </c>
      <c r="O13" s="76"/>
      <c r="P13" s="77"/>
      <c r="Q13" s="77"/>
      <c r="R13" s="82"/>
      <c r="S13" s="49">
        <v>1</v>
      </c>
      <c r="T13" s="49">
        <v>0</v>
      </c>
      <c r="U13" s="50">
        <v>0</v>
      </c>
      <c r="V13" s="50">
        <v>0.001276</v>
      </c>
      <c r="W13" s="50">
        <v>1.5E-05</v>
      </c>
      <c r="X13" s="50">
        <v>0.504579</v>
      </c>
      <c r="Y13" s="50">
        <v>0</v>
      </c>
      <c r="Z13" s="50">
        <v>0</v>
      </c>
      <c r="AA13" s="72">
        <v>13</v>
      </c>
      <c r="AB13" s="72"/>
      <c r="AC13" s="73"/>
      <c r="AD13" s="80" t="s">
        <v>400</v>
      </c>
      <c r="AE13" s="80" t="s">
        <v>581</v>
      </c>
      <c r="AF13" s="80" t="s">
        <v>741</v>
      </c>
      <c r="AG13" s="80" t="s">
        <v>888</v>
      </c>
      <c r="AH13" s="80" t="s">
        <v>984</v>
      </c>
      <c r="AI13" s="80">
        <v>8840</v>
      </c>
      <c r="AJ13" s="80">
        <v>3</v>
      </c>
      <c r="AK13" s="80">
        <v>73</v>
      </c>
      <c r="AL13" s="80">
        <v>0</v>
      </c>
      <c r="AM13" s="80" t="s">
        <v>1155</v>
      </c>
      <c r="AN13" s="98" t="str">
        <f>HYPERLINK("https://www.youtube.com/watch?v=ix5N8KUruqE")</f>
        <v>https://www.youtube.com/watch?v=ix5N8KUruqE</v>
      </c>
      <c r="AO13" s="80" t="str">
        <f>REPLACE(INDEX(GroupVertices[Group],MATCH(Vertices[[#This Row],[Vertex]],GroupVertices[Vertex],0)),1,1,"")</f>
        <v>6</v>
      </c>
      <c r="AP13" s="49">
        <v>0</v>
      </c>
      <c r="AQ13" s="50">
        <v>0</v>
      </c>
      <c r="AR13" s="49">
        <v>0</v>
      </c>
      <c r="AS13" s="50">
        <v>0</v>
      </c>
      <c r="AT13" s="49">
        <v>0</v>
      </c>
      <c r="AU13" s="50">
        <v>0</v>
      </c>
      <c r="AV13" s="49">
        <v>6</v>
      </c>
      <c r="AW13" s="50">
        <v>100</v>
      </c>
      <c r="AX13" s="49">
        <v>6</v>
      </c>
      <c r="AY13" s="49"/>
      <c r="AZ13" s="49"/>
      <c r="BA13" s="49"/>
      <c r="BB13" s="49"/>
      <c r="BC13" s="2"/>
      <c r="BD13" s="3"/>
      <c r="BE13" s="3"/>
      <c r="BF13" s="3"/>
      <c r="BG13" s="3"/>
    </row>
    <row r="14" spans="1:59" ht="15">
      <c r="A14" s="65" t="s">
        <v>242</v>
      </c>
      <c r="B14" s="66" t="s">
        <v>1614</v>
      </c>
      <c r="C14" s="66"/>
      <c r="D14" s="67">
        <v>142.85714285714286</v>
      </c>
      <c r="E14" s="69">
        <v>56.25</v>
      </c>
      <c r="F14" s="96" t="str">
        <f>HYPERLINK("https://i.ytimg.com/vi/WteWbivNGNo/default.jpg")</f>
        <v>https://i.ytimg.com/vi/WteWbivNGNo/default.jpg</v>
      </c>
      <c r="G14" s="66"/>
      <c r="H14" s="70" t="s">
        <v>401</v>
      </c>
      <c r="I14" s="71"/>
      <c r="J14" s="71" t="s">
        <v>159</v>
      </c>
      <c r="K14" s="70" t="s">
        <v>401</v>
      </c>
      <c r="L14" s="74">
        <v>61.31293125830355</v>
      </c>
      <c r="M14" s="75">
        <v>9618.642578125</v>
      </c>
      <c r="N14" s="75">
        <v>3485.923095703125</v>
      </c>
      <c r="O14" s="76"/>
      <c r="P14" s="77"/>
      <c r="Q14" s="77"/>
      <c r="R14" s="82"/>
      <c r="S14" s="49">
        <v>1</v>
      </c>
      <c r="T14" s="49">
        <v>0</v>
      </c>
      <c r="U14" s="50">
        <v>0</v>
      </c>
      <c r="V14" s="50">
        <v>0.001276</v>
      </c>
      <c r="W14" s="50">
        <v>1.5E-05</v>
      </c>
      <c r="X14" s="50">
        <v>0.504579</v>
      </c>
      <c r="Y14" s="50">
        <v>0</v>
      </c>
      <c r="Z14" s="50">
        <v>0</v>
      </c>
      <c r="AA14" s="72">
        <v>14</v>
      </c>
      <c r="AB14" s="72"/>
      <c r="AC14" s="73"/>
      <c r="AD14" s="80" t="s">
        <v>401</v>
      </c>
      <c r="AE14" s="80" t="s">
        <v>582</v>
      </c>
      <c r="AF14" s="80" t="s">
        <v>742</v>
      </c>
      <c r="AG14" s="80" t="s">
        <v>889</v>
      </c>
      <c r="AH14" s="80" t="s">
        <v>985</v>
      </c>
      <c r="AI14" s="80">
        <v>41284</v>
      </c>
      <c r="AJ14" s="80">
        <v>2</v>
      </c>
      <c r="AK14" s="80">
        <v>150</v>
      </c>
      <c r="AL14" s="80">
        <v>1</v>
      </c>
      <c r="AM14" s="80" t="s">
        <v>1155</v>
      </c>
      <c r="AN14" s="98" t="str">
        <f>HYPERLINK("https://www.youtube.com/watch?v=WteWbivNGNo")</f>
        <v>https://www.youtube.com/watch?v=WteWbivNGNo</v>
      </c>
      <c r="AO14" s="80" t="str">
        <f>REPLACE(INDEX(GroupVertices[Group],MATCH(Vertices[[#This Row],[Vertex]],GroupVertices[Vertex],0)),1,1,"")</f>
        <v>6</v>
      </c>
      <c r="AP14" s="49">
        <v>0</v>
      </c>
      <c r="AQ14" s="50">
        <v>0</v>
      </c>
      <c r="AR14" s="49">
        <v>0</v>
      </c>
      <c r="AS14" s="50">
        <v>0</v>
      </c>
      <c r="AT14" s="49">
        <v>0</v>
      </c>
      <c r="AU14" s="50">
        <v>0</v>
      </c>
      <c r="AV14" s="49">
        <v>7</v>
      </c>
      <c r="AW14" s="50">
        <v>100</v>
      </c>
      <c r="AX14" s="49">
        <v>7</v>
      </c>
      <c r="AY14" s="49"/>
      <c r="AZ14" s="49"/>
      <c r="BA14" s="49"/>
      <c r="BB14" s="49"/>
      <c r="BC14" s="2"/>
      <c r="BD14" s="3"/>
      <c r="BE14" s="3"/>
      <c r="BF14" s="3"/>
      <c r="BG14" s="3"/>
    </row>
    <row r="15" spans="1:59" ht="15">
      <c r="A15" s="65" t="s">
        <v>243</v>
      </c>
      <c r="B15" s="66" t="s">
        <v>1614</v>
      </c>
      <c r="C15" s="66"/>
      <c r="D15" s="67">
        <v>142.85714285714286</v>
      </c>
      <c r="E15" s="69">
        <v>56.25</v>
      </c>
      <c r="F15" s="96" t="str">
        <f>HYPERLINK("https://i.ytimg.com/vi/agS1Fzq04l4/default.jpg")</f>
        <v>https://i.ytimg.com/vi/agS1Fzq04l4/default.jpg</v>
      </c>
      <c r="G15" s="66"/>
      <c r="H15" s="70" t="s">
        <v>402</v>
      </c>
      <c r="I15" s="71"/>
      <c r="J15" s="71" t="s">
        <v>159</v>
      </c>
      <c r="K15" s="70" t="s">
        <v>402</v>
      </c>
      <c r="L15" s="74">
        <v>32.56910219915421</v>
      </c>
      <c r="M15" s="75">
        <v>8521.794921875</v>
      </c>
      <c r="N15" s="75">
        <v>3485.923095703125</v>
      </c>
      <c r="O15" s="76"/>
      <c r="P15" s="77"/>
      <c r="Q15" s="77"/>
      <c r="R15" s="82"/>
      <c r="S15" s="49">
        <v>1</v>
      </c>
      <c r="T15" s="49">
        <v>0</v>
      </c>
      <c r="U15" s="50">
        <v>0</v>
      </c>
      <c r="V15" s="50">
        <v>0.001276</v>
      </c>
      <c r="W15" s="50">
        <v>1.5E-05</v>
      </c>
      <c r="X15" s="50">
        <v>0.504579</v>
      </c>
      <c r="Y15" s="50">
        <v>0</v>
      </c>
      <c r="Z15" s="50">
        <v>0</v>
      </c>
      <c r="AA15" s="72">
        <v>15</v>
      </c>
      <c r="AB15" s="72"/>
      <c r="AC15" s="73"/>
      <c r="AD15" s="80" t="s">
        <v>402</v>
      </c>
      <c r="AE15" s="80" t="s">
        <v>583</v>
      </c>
      <c r="AF15" s="80" t="s">
        <v>743</v>
      </c>
      <c r="AG15" s="80" t="s">
        <v>890</v>
      </c>
      <c r="AH15" s="80" t="s">
        <v>986</v>
      </c>
      <c r="AI15" s="80">
        <v>21618</v>
      </c>
      <c r="AJ15" s="80">
        <v>14</v>
      </c>
      <c r="AK15" s="80">
        <v>155</v>
      </c>
      <c r="AL15" s="80">
        <v>4</v>
      </c>
      <c r="AM15" s="80" t="s">
        <v>1155</v>
      </c>
      <c r="AN15" s="98" t="str">
        <f>HYPERLINK("https://www.youtube.com/watch?v=agS1Fzq04l4")</f>
        <v>https://www.youtube.com/watch?v=agS1Fzq04l4</v>
      </c>
      <c r="AO15" s="80" t="str">
        <f>REPLACE(INDEX(GroupVertices[Group],MATCH(Vertices[[#This Row],[Vertex]],GroupVertices[Vertex],0)),1,1,"")</f>
        <v>6</v>
      </c>
      <c r="AP15" s="49">
        <v>0</v>
      </c>
      <c r="AQ15" s="50">
        <v>0</v>
      </c>
      <c r="AR15" s="49">
        <v>1</v>
      </c>
      <c r="AS15" s="50">
        <v>2.3255813953488373</v>
      </c>
      <c r="AT15" s="49">
        <v>0</v>
      </c>
      <c r="AU15" s="50">
        <v>0</v>
      </c>
      <c r="AV15" s="49">
        <v>42</v>
      </c>
      <c r="AW15" s="50">
        <v>97.67441860465117</v>
      </c>
      <c r="AX15" s="49">
        <v>43</v>
      </c>
      <c r="AY15" s="49"/>
      <c r="AZ15" s="49"/>
      <c r="BA15" s="49"/>
      <c r="BB15" s="49"/>
      <c r="BC15" s="2"/>
      <c r="BD15" s="3"/>
      <c r="BE15" s="3"/>
      <c r="BF15" s="3"/>
      <c r="BG15" s="3"/>
    </row>
    <row r="16" spans="1:59" ht="15">
      <c r="A16" s="65" t="s">
        <v>244</v>
      </c>
      <c r="B16" s="66" t="s">
        <v>1614</v>
      </c>
      <c r="C16" s="66"/>
      <c r="D16" s="67">
        <v>142.85714285714286</v>
      </c>
      <c r="E16" s="69">
        <v>56.25</v>
      </c>
      <c r="F16" s="96" t="str">
        <f>HYPERLINK("https://i.ytimg.com/vi/ToeJORZmSdw/default.jpg")</f>
        <v>https://i.ytimg.com/vi/ToeJORZmSdw/default.jpg</v>
      </c>
      <c r="G16" s="66"/>
      <c r="H16" s="70" t="s">
        <v>403</v>
      </c>
      <c r="I16" s="71"/>
      <c r="J16" s="71" t="s">
        <v>159</v>
      </c>
      <c r="K16" s="70" t="s">
        <v>403</v>
      </c>
      <c r="L16" s="74">
        <v>52.99204145693381</v>
      </c>
      <c r="M16" s="75">
        <v>9070.21875</v>
      </c>
      <c r="N16" s="75">
        <v>3485.923095703125</v>
      </c>
      <c r="O16" s="76"/>
      <c r="P16" s="77"/>
      <c r="Q16" s="77"/>
      <c r="R16" s="82"/>
      <c r="S16" s="49">
        <v>1</v>
      </c>
      <c r="T16" s="49">
        <v>0</v>
      </c>
      <c r="U16" s="50">
        <v>0</v>
      </c>
      <c r="V16" s="50">
        <v>0.001276</v>
      </c>
      <c r="W16" s="50">
        <v>1.5E-05</v>
      </c>
      <c r="X16" s="50">
        <v>0.504579</v>
      </c>
      <c r="Y16" s="50">
        <v>0</v>
      </c>
      <c r="Z16" s="50">
        <v>0</v>
      </c>
      <c r="AA16" s="72">
        <v>16</v>
      </c>
      <c r="AB16" s="72"/>
      <c r="AC16" s="73"/>
      <c r="AD16" s="80" t="s">
        <v>403</v>
      </c>
      <c r="AE16" s="80" t="s">
        <v>584</v>
      </c>
      <c r="AF16" s="80" t="s">
        <v>744</v>
      </c>
      <c r="AG16" s="80" t="s">
        <v>889</v>
      </c>
      <c r="AH16" s="80" t="s">
        <v>987</v>
      </c>
      <c r="AI16" s="80">
        <v>35591</v>
      </c>
      <c r="AJ16" s="80">
        <v>1</v>
      </c>
      <c r="AK16" s="80">
        <v>147</v>
      </c>
      <c r="AL16" s="80">
        <v>3</v>
      </c>
      <c r="AM16" s="80" t="s">
        <v>1155</v>
      </c>
      <c r="AN16" s="98" t="str">
        <f>HYPERLINK("https://www.youtube.com/watch?v=ToeJORZmSdw")</f>
        <v>https://www.youtube.com/watch?v=ToeJORZmSdw</v>
      </c>
      <c r="AO16" s="80" t="str">
        <f>REPLACE(INDEX(GroupVertices[Group],MATCH(Vertices[[#This Row],[Vertex]],GroupVertices[Vertex],0)),1,1,"")</f>
        <v>6</v>
      </c>
      <c r="AP16" s="49">
        <v>0</v>
      </c>
      <c r="AQ16" s="50">
        <v>0</v>
      </c>
      <c r="AR16" s="49">
        <v>1</v>
      </c>
      <c r="AS16" s="50">
        <v>5.882352941176471</v>
      </c>
      <c r="AT16" s="49">
        <v>0</v>
      </c>
      <c r="AU16" s="50">
        <v>0</v>
      </c>
      <c r="AV16" s="49">
        <v>16</v>
      </c>
      <c r="AW16" s="50">
        <v>94.11764705882354</v>
      </c>
      <c r="AX16" s="49">
        <v>17</v>
      </c>
      <c r="AY16" s="49"/>
      <c r="AZ16" s="49"/>
      <c r="BA16" s="49"/>
      <c r="BB16" s="49"/>
      <c r="BC16" s="2"/>
      <c r="BD16" s="3"/>
      <c r="BE16" s="3"/>
      <c r="BF16" s="3"/>
      <c r="BG16" s="3"/>
    </row>
    <row r="17" spans="1:59" ht="15">
      <c r="A17" s="65" t="s">
        <v>245</v>
      </c>
      <c r="B17" s="66" t="s">
        <v>1614</v>
      </c>
      <c r="C17" s="66"/>
      <c r="D17" s="67">
        <v>142.85714285714286</v>
      </c>
      <c r="E17" s="69">
        <v>56.25</v>
      </c>
      <c r="F17" s="96" t="str">
        <f>HYPERLINK("https://i.ytimg.com/vi/hKP8yH-LeaM/default.jpg")</f>
        <v>https://i.ytimg.com/vi/hKP8yH-LeaM/default.jpg</v>
      </c>
      <c r="G17" s="66"/>
      <c r="H17" s="70" t="s">
        <v>404</v>
      </c>
      <c r="I17" s="71"/>
      <c r="J17" s="71" t="s">
        <v>159</v>
      </c>
      <c r="K17" s="70" t="s">
        <v>404</v>
      </c>
      <c r="L17" s="74">
        <v>11.780762897400871</v>
      </c>
      <c r="M17" s="75">
        <v>9618.642578125</v>
      </c>
      <c r="N17" s="75">
        <v>5089.80908203125</v>
      </c>
      <c r="O17" s="76"/>
      <c r="P17" s="77"/>
      <c r="Q17" s="77"/>
      <c r="R17" s="82"/>
      <c r="S17" s="49">
        <v>1</v>
      </c>
      <c r="T17" s="49">
        <v>0</v>
      </c>
      <c r="U17" s="50">
        <v>0</v>
      </c>
      <c r="V17" s="50">
        <v>0.001276</v>
      </c>
      <c r="W17" s="50">
        <v>1.5E-05</v>
      </c>
      <c r="X17" s="50">
        <v>0.504579</v>
      </c>
      <c r="Y17" s="50">
        <v>0</v>
      </c>
      <c r="Z17" s="50">
        <v>0</v>
      </c>
      <c r="AA17" s="72">
        <v>17</v>
      </c>
      <c r="AB17" s="72"/>
      <c r="AC17" s="73"/>
      <c r="AD17" s="80" t="s">
        <v>404</v>
      </c>
      <c r="AE17" s="80" t="s">
        <v>585</v>
      </c>
      <c r="AF17" s="80" t="s">
        <v>745</v>
      </c>
      <c r="AG17" s="80" t="s">
        <v>888</v>
      </c>
      <c r="AH17" s="80" t="s">
        <v>988</v>
      </c>
      <c r="AI17" s="80">
        <v>7395</v>
      </c>
      <c r="AJ17" s="80">
        <v>3</v>
      </c>
      <c r="AK17" s="80">
        <v>52</v>
      </c>
      <c r="AL17" s="80">
        <v>1</v>
      </c>
      <c r="AM17" s="80" t="s">
        <v>1155</v>
      </c>
      <c r="AN17" s="98" t="str">
        <f>HYPERLINK("https://www.youtube.com/watch?v=hKP8yH-LeaM")</f>
        <v>https://www.youtube.com/watch?v=hKP8yH-LeaM</v>
      </c>
      <c r="AO17" s="80" t="str">
        <f>REPLACE(INDEX(GroupVertices[Group],MATCH(Vertices[[#This Row],[Vertex]],GroupVertices[Vertex],0)),1,1,"")</f>
        <v>6</v>
      </c>
      <c r="AP17" s="49">
        <v>0</v>
      </c>
      <c r="AQ17" s="50">
        <v>0</v>
      </c>
      <c r="AR17" s="49">
        <v>0</v>
      </c>
      <c r="AS17" s="50">
        <v>0</v>
      </c>
      <c r="AT17" s="49">
        <v>0</v>
      </c>
      <c r="AU17" s="50">
        <v>0</v>
      </c>
      <c r="AV17" s="49">
        <v>10</v>
      </c>
      <c r="AW17" s="50">
        <v>100</v>
      </c>
      <c r="AX17" s="49">
        <v>10</v>
      </c>
      <c r="AY17" s="49"/>
      <c r="AZ17" s="49"/>
      <c r="BA17" s="49"/>
      <c r="BB17" s="49"/>
      <c r="BC17" s="2"/>
      <c r="BD17" s="3"/>
      <c r="BE17" s="3"/>
      <c r="BF17" s="3"/>
      <c r="BG17" s="3"/>
    </row>
    <row r="18" spans="1:59" ht="15">
      <c r="A18" s="65" t="s">
        <v>246</v>
      </c>
      <c r="B18" s="66" t="s">
        <v>1614</v>
      </c>
      <c r="C18" s="66"/>
      <c r="D18" s="67">
        <v>142.85714285714286</v>
      </c>
      <c r="E18" s="69">
        <v>56.25</v>
      </c>
      <c r="F18" s="96" t="str">
        <f>HYPERLINK("https://i.ytimg.com/vi/k8fWPGwA_rM/default.jpg")</f>
        <v>https://i.ytimg.com/vi/k8fWPGwA_rM/default.jpg</v>
      </c>
      <c r="G18" s="66"/>
      <c r="H18" s="70" t="s">
        <v>405</v>
      </c>
      <c r="I18" s="71"/>
      <c r="J18" s="71" t="s">
        <v>159</v>
      </c>
      <c r="K18" s="70" t="s">
        <v>405</v>
      </c>
      <c r="L18" s="74">
        <v>12.58902779467076</v>
      </c>
      <c r="M18" s="75">
        <v>8521.794921875</v>
      </c>
      <c r="N18" s="75">
        <v>4287.8662109375</v>
      </c>
      <c r="O18" s="76"/>
      <c r="P18" s="77"/>
      <c r="Q18" s="77"/>
      <c r="R18" s="82"/>
      <c r="S18" s="49">
        <v>1</v>
      </c>
      <c r="T18" s="49">
        <v>0</v>
      </c>
      <c r="U18" s="50">
        <v>0</v>
      </c>
      <c r="V18" s="50">
        <v>0.001276</v>
      </c>
      <c r="W18" s="50">
        <v>1.5E-05</v>
      </c>
      <c r="X18" s="50">
        <v>0.504579</v>
      </c>
      <c r="Y18" s="50">
        <v>0</v>
      </c>
      <c r="Z18" s="50">
        <v>0</v>
      </c>
      <c r="AA18" s="72">
        <v>18</v>
      </c>
      <c r="AB18" s="72"/>
      <c r="AC18" s="73"/>
      <c r="AD18" s="80" t="s">
        <v>405</v>
      </c>
      <c r="AE18" s="80" t="s">
        <v>586</v>
      </c>
      <c r="AF18" s="80" t="s">
        <v>746</v>
      </c>
      <c r="AG18" s="80" t="s">
        <v>891</v>
      </c>
      <c r="AH18" s="80" t="s">
        <v>989</v>
      </c>
      <c r="AI18" s="80">
        <v>7948</v>
      </c>
      <c r="AJ18" s="80">
        <v>6</v>
      </c>
      <c r="AK18" s="80">
        <v>62</v>
      </c>
      <c r="AL18" s="80">
        <v>2</v>
      </c>
      <c r="AM18" s="80" t="s">
        <v>1155</v>
      </c>
      <c r="AN18" s="98" t="str">
        <f>HYPERLINK("https://www.youtube.com/watch?v=k8fWPGwA_rM")</f>
        <v>https://www.youtube.com/watch?v=k8fWPGwA_rM</v>
      </c>
      <c r="AO18" s="80" t="str">
        <f>REPLACE(INDEX(GroupVertices[Group],MATCH(Vertices[[#This Row],[Vertex]],GroupVertices[Vertex],0)),1,1,"")</f>
        <v>6</v>
      </c>
      <c r="AP18" s="49">
        <v>1</v>
      </c>
      <c r="AQ18" s="50">
        <v>3.7037037037037037</v>
      </c>
      <c r="AR18" s="49">
        <v>0</v>
      </c>
      <c r="AS18" s="50">
        <v>0</v>
      </c>
      <c r="AT18" s="49">
        <v>0</v>
      </c>
      <c r="AU18" s="50">
        <v>0</v>
      </c>
      <c r="AV18" s="49">
        <v>26</v>
      </c>
      <c r="AW18" s="50">
        <v>96.29629629629629</v>
      </c>
      <c r="AX18" s="49">
        <v>27</v>
      </c>
      <c r="AY18" s="49"/>
      <c r="AZ18" s="49"/>
      <c r="BA18" s="49"/>
      <c r="BB18" s="49"/>
      <c r="BC18" s="2"/>
      <c r="BD18" s="3"/>
      <c r="BE18" s="3"/>
      <c r="BF18" s="3"/>
      <c r="BG18" s="3"/>
    </row>
    <row r="19" spans="1:59" ht="15">
      <c r="A19" s="65" t="s">
        <v>247</v>
      </c>
      <c r="B19" s="66" t="s">
        <v>1614</v>
      </c>
      <c r="C19" s="66"/>
      <c r="D19" s="67">
        <v>142.85714285714286</v>
      </c>
      <c r="E19" s="69">
        <v>56.25</v>
      </c>
      <c r="F19" s="96" t="str">
        <f>HYPERLINK("https://i.ytimg.com/vi/odzI3rC5ErQ/default.jpg")</f>
        <v>https://i.ytimg.com/vi/odzI3rC5ErQ/default.jpg</v>
      </c>
      <c r="G19" s="66"/>
      <c r="H19" s="70" t="s">
        <v>406</v>
      </c>
      <c r="I19" s="71"/>
      <c r="J19" s="71" t="s">
        <v>159</v>
      </c>
      <c r="K19" s="70" t="s">
        <v>406</v>
      </c>
      <c r="L19" s="74">
        <v>14.747811254467544</v>
      </c>
      <c r="M19" s="75">
        <v>9618.642578125</v>
      </c>
      <c r="N19" s="75">
        <v>4287.8662109375</v>
      </c>
      <c r="O19" s="76"/>
      <c r="P19" s="77"/>
      <c r="Q19" s="77"/>
      <c r="R19" s="82"/>
      <c r="S19" s="49">
        <v>1</v>
      </c>
      <c r="T19" s="49">
        <v>0</v>
      </c>
      <c r="U19" s="50">
        <v>0</v>
      </c>
      <c r="V19" s="50">
        <v>0.001276</v>
      </c>
      <c r="W19" s="50">
        <v>1.5E-05</v>
      </c>
      <c r="X19" s="50">
        <v>0.504579</v>
      </c>
      <c r="Y19" s="50">
        <v>0</v>
      </c>
      <c r="Z19" s="50">
        <v>0</v>
      </c>
      <c r="AA19" s="72">
        <v>19</v>
      </c>
      <c r="AB19" s="72"/>
      <c r="AC19" s="73"/>
      <c r="AD19" s="80" t="s">
        <v>406</v>
      </c>
      <c r="AE19" s="80" t="s">
        <v>587</v>
      </c>
      <c r="AF19" s="80" t="s">
        <v>747</v>
      </c>
      <c r="AG19" s="80" t="s">
        <v>890</v>
      </c>
      <c r="AH19" s="80" t="s">
        <v>990</v>
      </c>
      <c r="AI19" s="80">
        <v>9425</v>
      </c>
      <c r="AJ19" s="80">
        <v>5</v>
      </c>
      <c r="AK19" s="80">
        <v>92</v>
      </c>
      <c r="AL19" s="80">
        <v>1</v>
      </c>
      <c r="AM19" s="80" t="s">
        <v>1155</v>
      </c>
      <c r="AN19" s="98" t="str">
        <f>HYPERLINK("https://www.youtube.com/watch?v=odzI3rC5ErQ")</f>
        <v>https://www.youtube.com/watch?v=odzI3rC5ErQ</v>
      </c>
      <c r="AO19" s="80" t="str">
        <f>REPLACE(INDEX(GroupVertices[Group],MATCH(Vertices[[#This Row],[Vertex]],GroupVertices[Vertex],0)),1,1,"")</f>
        <v>6</v>
      </c>
      <c r="AP19" s="49">
        <v>0</v>
      </c>
      <c r="AQ19" s="50">
        <v>0</v>
      </c>
      <c r="AR19" s="49">
        <v>0</v>
      </c>
      <c r="AS19" s="50">
        <v>0</v>
      </c>
      <c r="AT19" s="49">
        <v>0</v>
      </c>
      <c r="AU19" s="50">
        <v>0</v>
      </c>
      <c r="AV19" s="49">
        <v>16</v>
      </c>
      <c r="AW19" s="50">
        <v>100</v>
      </c>
      <c r="AX19" s="49">
        <v>16</v>
      </c>
      <c r="AY19" s="49"/>
      <c r="AZ19" s="49"/>
      <c r="BA19" s="49"/>
      <c r="BB19" s="49"/>
      <c r="BC19" s="2"/>
      <c r="BD19" s="3"/>
      <c r="BE19" s="3"/>
      <c r="BF19" s="3"/>
      <c r="BG19" s="3"/>
    </row>
    <row r="20" spans="1:59" ht="15">
      <c r="A20" s="65" t="s">
        <v>248</v>
      </c>
      <c r="B20" s="66" t="s">
        <v>1614</v>
      </c>
      <c r="C20" s="66"/>
      <c r="D20" s="67">
        <v>142.85714285714286</v>
      </c>
      <c r="E20" s="69">
        <v>56.25</v>
      </c>
      <c r="F20" s="96" t="str">
        <f>HYPERLINK("https://i.ytimg.com/vi/QwZGmQLOkP0/default.jpg")</f>
        <v>https://i.ytimg.com/vi/QwZGmQLOkP0/default.jpg</v>
      </c>
      <c r="G20" s="66"/>
      <c r="H20" s="70" t="s">
        <v>407</v>
      </c>
      <c r="I20" s="71"/>
      <c r="J20" s="71" t="s">
        <v>159</v>
      </c>
      <c r="K20" s="70" t="s">
        <v>407</v>
      </c>
      <c r="L20" s="74">
        <v>10.829261182893283</v>
      </c>
      <c r="M20" s="75">
        <v>9070.21875</v>
      </c>
      <c r="N20" s="75">
        <v>5089.80908203125</v>
      </c>
      <c r="O20" s="76"/>
      <c r="P20" s="77"/>
      <c r="Q20" s="77"/>
      <c r="R20" s="82"/>
      <c r="S20" s="49">
        <v>1</v>
      </c>
      <c r="T20" s="49">
        <v>0</v>
      </c>
      <c r="U20" s="50">
        <v>0</v>
      </c>
      <c r="V20" s="50">
        <v>0.001276</v>
      </c>
      <c r="W20" s="50">
        <v>1.5E-05</v>
      </c>
      <c r="X20" s="50">
        <v>0.504579</v>
      </c>
      <c r="Y20" s="50">
        <v>0</v>
      </c>
      <c r="Z20" s="50">
        <v>0</v>
      </c>
      <c r="AA20" s="72">
        <v>20</v>
      </c>
      <c r="AB20" s="72"/>
      <c r="AC20" s="73"/>
      <c r="AD20" s="80" t="s">
        <v>407</v>
      </c>
      <c r="AE20" s="80" t="s">
        <v>588</v>
      </c>
      <c r="AF20" s="80" t="s">
        <v>748</v>
      </c>
      <c r="AG20" s="80" t="s">
        <v>888</v>
      </c>
      <c r="AH20" s="80" t="s">
        <v>991</v>
      </c>
      <c r="AI20" s="80">
        <v>6744</v>
      </c>
      <c r="AJ20" s="80">
        <v>1</v>
      </c>
      <c r="AK20" s="80">
        <v>62</v>
      </c>
      <c r="AL20" s="80">
        <v>0</v>
      </c>
      <c r="AM20" s="80" t="s">
        <v>1155</v>
      </c>
      <c r="AN20" s="98" t="str">
        <f>HYPERLINK("https://www.youtube.com/watch?v=QwZGmQLOkP0")</f>
        <v>https://www.youtube.com/watch?v=QwZGmQLOkP0</v>
      </c>
      <c r="AO20" s="80" t="str">
        <f>REPLACE(INDEX(GroupVertices[Group],MATCH(Vertices[[#This Row],[Vertex]],GroupVertices[Vertex],0)),1,1,"")</f>
        <v>6</v>
      </c>
      <c r="AP20" s="49">
        <v>0</v>
      </c>
      <c r="AQ20" s="50">
        <v>0</v>
      </c>
      <c r="AR20" s="49">
        <v>0</v>
      </c>
      <c r="AS20" s="50">
        <v>0</v>
      </c>
      <c r="AT20" s="49">
        <v>0</v>
      </c>
      <c r="AU20" s="50">
        <v>0</v>
      </c>
      <c r="AV20" s="49">
        <v>13</v>
      </c>
      <c r="AW20" s="50">
        <v>100</v>
      </c>
      <c r="AX20" s="49">
        <v>13</v>
      </c>
      <c r="AY20" s="49"/>
      <c r="AZ20" s="49"/>
      <c r="BA20" s="49"/>
      <c r="BB20" s="49"/>
      <c r="BC20" s="2"/>
      <c r="BD20" s="3"/>
      <c r="BE20" s="3"/>
      <c r="BF20" s="3"/>
      <c r="BG20" s="3"/>
    </row>
    <row r="21" spans="1:59" ht="15">
      <c r="A21" s="65" t="s">
        <v>249</v>
      </c>
      <c r="B21" s="66" t="s">
        <v>1614</v>
      </c>
      <c r="C21" s="66"/>
      <c r="D21" s="67">
        <v>142.85714285714286</v>
      </c>
      <c r="E21" s="69">
        <v>56.25</v>
      </c>
      <c r="F21" s="96" t="str">
        <f>HYPERLINK("https://i.ytimg.com/vi/dPXAhB_BJDI/default.jpg")</f>
        <v>https://i.ytimg.com/vi/dPXAhB_BJDI/default.jpg</v>
      </c>
      <c r="G21" s="66"/>
      <c r="H21" s="70" t="s">
        <v>408</v>
      </c>
      <c r="I21" s="71"/>
      <c r="J21" s="71" t="s">
        <v>159</v>
      </c>
      <c r="K21" s="70" t="s">
        <v>408</v>
      </c>
      <c r="L21" s="74">
        <v>156.20439947792894</v>
      </c>
      <c r="M21" s="75">
        <v>9070.21875</v>
      </c>
      <c r="N21" s="75">
        <v>2683.980224609375</v>
      </c>
      <c r="O21" s="76"/>
      <c r="P21" s="77"/>
      <c r="Q21" s="77"/>
      <c r="R21" s="82"/>
      <c r="S21" s="49">
        <v>1</v>
      </c>
      <c r="T21" s="49">
        <v>0</v>
      </c>
      <c r="U21" s="50">
        <v>0</v>
      </c>
      <c r="V21" s="50">
        <v>0.001276</v>
      </c>
      <c r="W21" s="50">
        <v>1.5E-05</v>
      </c>
      <c r="X21" s="50">
        <v>0.504579</v>
      </c>
      <c r="Y21" s="50">
        <v>0</v>
      </c>
      <c r="Z21" s="50">
        <v>0</v>
      </c>
      <c r="AA21" s="72">
        <v>21</v>
      </c>
      <c r="AB21" s="72"/>
      <c r="AC21" s="73"/>
      <c r="AD21" s="80" t="s">
        <v>408</v>
      </c>
      <c r="AE21" s="80" t="s">
        <v>589</v>
      </c>
      <c r="AF21" s="80" t="s">
        <v>408</v>
      </c>
      <c r="AG21" s="80" t="s">
        <v>892</v>
      </c>
      <c r="AH21" s="80" t="s">
        <v>992</v>
      </c>
      <c r="AI21" s="80">
        <v>106207</v>
      </c>
      <c r="AJ21" s="80">
        <v>13</v>
      </c>
      <c r="AK21" s="80">
        <v>275</v>
      </c>
      <c r="AL21" s="80">
        <v>5</v>
      </c>
      <c r="AM21" s="80" t="s">
        <v>1155</v>
      </c>
      <c r="AN21" s="98" t="str">
        <f>HYPERLINK("https://www.youtube.com/watch?v=dPXAhB_BJDI")</f>
        <v>https://www.youtube.com/watch?v=dPXAhB_BJDI</v>
      </c>
      <c r="AO21" s="80" t="str">
        <f>REPLACE(INDEX(GroupVertices[Group],MATCH(Vertices[[#This Row],[Vertex]],GroupVertices[Vertex],0)),1,1,"")</f>
        <v>6</v>
      </c>
      <c r="AP21" s="49">
        <v>0</v>
      </c>
      <c r="AQ21" s="50">
        <v>0</v>
      </c>
      <c r="AR21" s="49">
        <v>0</v>
      </c>
      <c r="AS21" s="50">
        <v>0</v>
      </c>
      <c r="AT21" s="49">
        <v>0</v>
      </c>
      <c r="AU21" s="50">
        <v>0</v>
      </c>
      <c r="AV21" s="49">
        <v>5</v>
      </c>
      <c r="AW21" s="50">
        <v>100</v>
      </c>
      <c r="AX21" s="49">
        <v>5</v>
      </c>
      <c r="AY21" s="49"/>
      <c r="AZ21" s="49"/>
      <c r="BA21" s="49"/>
      <c r="BB21" s="49"/>
      <c r="BC21" s="2"/>
      <c r="BD21" s="3"/>
      <c r="BE21" s="3"/>
      <c r="BF21" s="3"/>
      <c r="BG21" s="3"/>
    </row>
    <row r="22" spans="1:59" ht="15">
      <c r="A22" s="65" t="s">
        <v>198</v>
      </c>
      <c r="B22" s="66" t="s">
        <v>1615</v>
      </c>
      <c r="C22" s="66"/>
      <c r="D22" s="67">
        <v>485.7142857142857</v>
      </c>
      <c r="E22" s="69">
        <v>100</v>
      </c>
      <c r="F22" s="96" t="str">
        <f>HYPERLINK("https://i.ytimg.com/vi/FLiv3xnEepw/default.jpg")</f>
        <v>https://i.ytimg.com/vi/FLiv3xnEepw/default.jpg</v>
      </c>
      <c r="G22" s="66"/>
      <c r="H22" s="70" t="s">
        <v>409</v>
      </c>
      <c r="I22" s="71"/>
      <c r="J22" s="71" t="s">
        <v>75</v>
      </c>
      <c r="K22" s="70" t="s">
        <v>409</v>
      </c>
      <c r="L22" s="74">
        <v>207.06808559907188</v>
      </c>
      <c r="M22" s="75">
        <v>4069.538818359375</v>
      </c>
      <c r="N22" s="75">
        <v>541.8533325195312</v>
      </c>
      <c r="O22" s="76"/>
      <c r="P22" s="77"/>
      <c r="Q22" s="77"/>
      <c r="R22" s="82"/>
      <c r="S22" s="49">
        <v>9</v>
      </c>
      <c r="T22" s="49">
        <v>11</v>
      </c>
      <c r="U22" s="50">
        <v>1973.570774</v>
      </c>
      <c r="V22" s="50">
        <v>0.002132</v>
      </c>
      <c r="W22" s="50">
        <v>0.007534</v>
      </c>
      <c r="X22" s="50">
        <v>2.699352</v>
      </c>
      <c r="Y22" s="50">
        <v>0.20588235294117646</v>
      </c>
      <c r="Z22" s="50">
        <v>0.17647058823529413</v>
      </c>
      <c r="AA22" s="72">
        <v>22</v>
      </c>
      <c r="AB22" s="72"/>
      <c r="AC22" s="73"/>
      <c r="AD22" s="80" t="s">
        <v>409</v>
      </c>
      <c r="AE22" s="80" t="s">
        <v>590</v>
      </c>
      <c r="AF22" s="80" t="s">
        <v>749</v>
      </c>
      <c r="AG22" s="80" t="s">
        <v>893</v>
      </c>
      <c r="AH22" s="80" t="s">
        <v>993</v>
      </c>
      <c r="AI22" s="80">
        <v>141007</v>
      </c>
      <c r="AJ22" s="80">
        <v>64</v>
      </c>
      <c r="AK22" s="80">
        <v>456</v>
      </c>
      <c r="AL22" s="80">
        <v>34</v>
      </c>
      <c r="AM22" s="80" t="s">
        <v>1155</v>
      </c>
      <c r="AN22" s="98" t="str">
        <f>HYPERLINK("https://www.youtube.com/watch?v=FLiv3xnEepw")</f>
        <v>https://www.youtube.com/watch?v=FLiv3xnEepw</v>
      </c>
      <c r="AO22" s="80" t="str">
        <f>REPLACE(INDEX(GroupVertices[Group],MATCH(Vertices[[#This Row],[Vertex]],GroupVertices[Vertex],0)),1,1,"")</f>
        <v>2</v>
      </c>
      <c r="AP22" s="49">
        <v>0</v>
      </c>
      <c r="AQ22" s="50">
        <v>0</v>
      </c>
      <c r="AR22" s="49">
        <v>0</v>
      </c>
      <c r="AS22" s="50">
        <v>0</v>
      </c>
      <c r="AT22" s="49">
        <v>0</v>
      </c>
      <c r="AU22" s="50">
        <v>0</v>
      </c>
      <c r="AV22" s="49">
        <v>38</v>
      </c>
      <c r="AW22" s="50">
        <v>100</v>
      </c>
      <c r="AX22" s="49">
        <v>38</v>
      </c>
      <c r="AY22" s="111" t="s">
        <v>1608</v>
      </c>
      <c r="AZ22" s="111" t="s">
        <v>1608</v>
      </c>
      <c r="BA22" s="111" t="s">
        <v>1608</v>
      </c>
      <c r="BB22" s="111" t="s">
        <v>1608</v>
      </c>
      <c r="BC22" s="2"/>
      <c r="BD22" s="3"/>
      <c r="BE22" s="3"/>
      <c r="BF22" s="3"/>
      <c r="BG22" s="3"/>
    </row>
    <row r="23" spans="1:59" ht="15">
      <c r="A23" s="65" t="s">
        <v>250</v>
      </c>
      <c r="B23" s="66" t="s">
        <v>1614</v>
      </c>
      <c r="C23" s="66"/>
      <c r="D23" s="67">
        <v>142.85714285714286</v>
      </c>
      <c r="E23" s="69">
        <v>56.25</v>
      </c>
      <c r="F23" s="96" t="str">
        <f>HYPERLINK("https://i.ytimg.com/vi/DSKvHwcI75E/default.jpg")</f>
        <v>https://i.ytimg.com/vi/DSKvHwcI75E/default.jpg</v>
      </c>
      <c r="G23" s="66"/>
      <c r="H23" s="70" t="s">
        <v>410</v>
      </c>
      <c r="I23" s="71"/>
      <c r="J23" s="71" t="s">
        <v>159</v>
      </c>
      <c r="K23" s="70" t="s">
        <v>410</v>
      </c>
      <c r="L23" s="74">
        <v>42.81930423270523</v>
      </c>
      <c r="M23" s="75">
        <v>2850.033447265625</v>
      </c>
      <c r="N23" s="75">
        <v>1336.571533203125</v>
      </c>
      <c r="O23" s="76"/>
      <c r="P23" s="77"/>
      <c r="Q23" s="77"/>
      <c r="R23" s="82"/>
      <c r="S23" s="49">
        <v>1</v>
      </c>
      <c r="T23" s="49">
        <v>0</v>
      </c>
      <c r="U23" s="50">
        <v>0</v>
      </c>
      <c r="V23" s="50">
        <v>0.001541</v>
      </c>
      <c r="W23" s="50">
        <v>0.000328</v>
      </c>
      <c r="X23" s="50">
        <v>0.284968</v>
      </c>
      <c r="Y23" s="50">
        <v>0</v>
      </c>
      <c r="Z23" s="50">
        <v>0</v>
      </c>
      <c r="AA23" s="72">
        <v>23</v>
      </c>
      <c r="AB23" s="72"/>
      <c r="AC23" s="73"/>
      <c r="AD23" s="80" t="s">
        <v>410</v>
      </c>
      <c r="AE23" s="80" t="s">
        <v>591</v>
      </c>
      <c r="AF23" s="80" t="s">
        <v>750</v>
      </c>
      <c r="AG23" s="80" t="s">
        <v>894</v>
      </c>
      <c r="AH23" s="80" t="s">
        <v>994</v>
      </c>
      <c r="AI23" s="80">
        <v>28631</v>
      </c>
      <c r="AJ23" s="80">
        <v>6</v>
      </c>
      <c r="AK23" s="80">
        <v>96</v>
      </c>
      <c r="AL23" s="80">
        <v>4</v>
      </c>
      <c r="AM23" s="80" t="s">
        <v>1155</v>
      </c>
      <c r="AN23" s="98" t="str">
        <f>HYPERLINK("https://www.youtube.com/watch?v=DSKvHwcI75E")</f>
        <v>https://www.youtube.com/watch?v=DSKvHwcI75E</v>
      </c>
      <c r="AO23" s="80" t="str">
        <f>REPLACE(INDEX(GroupVertices[Group],MATCH(Vertices[[#This Row],[Vertex]],GroupVertices[Vertex],0)),1,1,"")</f>
        <v>2</v>
      </c>
      <c r="AP23" s="49">
        <v>0</v>
      </c>
      <c r="AQ23" s="50">
        <v>0</v>
      </c>
      <c r="AR23" s="49">
        <v>0</v>
      </c>
      <c r="AS23" s="50">
        <v>0</v>
      </c>
      <c r="AT23" s="49">
        <v>0</v>
      </c>
      <c r="AU23" s="50">
        <v>0</v>
      </c>
      <c r="AV23" s="49">
        <v>6</v>
      </c>
      <c r="AW23" s="50">
        <v>100</v>
      </c>
      <c r="AX23" s="49">
        <v>6</v>
      </c>
      <c r="AY23" s="49"/>
      <c r="AZ23" s="49"/>
      <c r="BA23" s="49"/>
      <c r="BB23" s="49"/>
      <c r="BC23" s="2"/>
      <c r="BD23" s="3"/>
      <c r="BE23" s="3"/>
      <c r="BF23" s="3"/>
      <c r="BG23" s="3"/>
    </row>
    <row r="24" spans="1:59" ht="15">
      <c r="A24" s="65" t="s">
        <v>251</v>
      </c>
      <c r="B24" s="66" t="s">
        <v>1614</v>
      </c>
      <c r="C24" s="66"/>
      <c r="D24" s="67">
        <v>142.85714285714286</v>
      </c>
      <c r="E24" s="69">
        <v>56.25</v>
      </c>
      <c r="F24" s="96" t="str">
        <f>HYPERLINK("https://i.ytimg.com/vi/aRZIeTroUog/default.jpg")</f>
        <v>https://i.ytimg.com/vi/aRZIeTroUog/default.jpg</v>
      </c>
      <c r="G24" s="66"/>
      <c r="H24" s="70" t="s">
        <v>411</v>
      </c>
      <c r="I24" s="71"/>
      <c r="J24" s="71" t="s">
        <v>159</v>
      </c>
      <c r="K24" s="70" t="s">
        <v>411</v>
      </c>
      <c r="L24" s="74">
        <v>2.5273721838101832</v>
      </c>
      <c r="M24" s="75">
        <v>2850.033447265625</v>
      </c>
      <c r="N24" s="75">
        <v>3720.72607421875</v>
      </c>
      <c r="O24" s="76"/>
      <c r="P24" s="77"/>
      <c r="Q24" s="77"/>
      <c r="R24" s="82"/>
      <c r="S24" s="49">
        <v>1</v>
      </c>
      <c r="T24" s="49">
        <v>0</v>
      </c>
      <c r="U24" s="50">
        <v>0</v>
      </c>
      <c r="V24" s="50">
        <v>0.001541</v>
      </c>
      <c r="W24" s="50">
        <v>0.000328</v>
      </c>
      <c r="X24" s="50">
        <v>0.284968</v>
      </c>
      <c r="Y24" s="50">
        <v>0</v>
      </c>
      <c r="Z24" s="50">
        <v>0</v>
      </c>
      <c r="AA24" s="72">
        <v>24</v>
      </c>
      <c r="AB24" s="72"/>
      <c r="AC24" s="73"/>
      <c r="AD24" s="80" t="s">
        <v>411</v>
      </c>
      <c r="AE24" s="80" t="s">
        <v>592</v>
      </c>
      <c r="AF24" s="80" t="s">
        <v>751</v>
      </c>
      <c r="AG24" s="80" t="s">
        <v>895</v>
      </c>
      <c r="AH24" s="80" t="s">
        <v>995</v>
      </c>
      <c r="AI24" s="80">
        <v>1064</v>
      </c>
      <c r="AJ24" s="80">
        <v>3</v>
      </c>
      <c r="AK24" s="80">
        <v>11</v>
      </c>
      <c r="AL24" s="80">
        <v>2</v>
      </c>
      <c r="AM24" s="80" t="s">
        <v>1155</v>
      </c>
      <c r="AN24" s="98" t="str">
        <f>HYPERLINK("https://www.youtube.com/watch?v=aRZIeTroUog")</f>
        <v>https://www.youtube.com/watch?v=aRZIeTroUog</v>
      </c>
      <c r="AO24" s="80" t="str">
        <f>REPLACE(INDEX(GroupVertices[Group],MATCH(Vertices[[#This Row],[Vertex]],GroupVertices[Vertex],0)),1,1,"")</f>
        <v>2</v>
      </c>
      <c r="AP24" s="49">
        <v>0</v>
      </c>
      <c r="AQ24" s="50">
        <v>0</v>
      </c>
      <c r="AR24" s="49">
        <v>0</v>
      </c>
      <c r="AS24" s="50">
        <v>0</v>
      </c>
      <c r="AT24" s="49">
        <v>0</v>
      </c>
      <c r="AU24" s="50">
        <v>0</v>
      </c>
      <c r="AV24" s="49">
        <v>14</v>
      </c>
      <c r="AW24" s="50">
        <v>100</v>
      </c>
      <c r="AX24" s="49">
        <v>14</v>
      </c>
      <c r="AY24" s="49"/>
      <c r="AZ24" s="49"/>
      <c r="BA24" s="49"/>
      <c r="BB24" s="49"/>
      <c r="BC24" s="2"/>
      <c r="BD24" s="3"/>
      <c r="BE24" s="3"/>
      <c r="BF24" s="3"/>
      <c r="BG24" s="3"/>
    </row>
    <row r="25" spans="1:59" ht="15">
      <c r="A25" s="65" t="s">
        <v>252</v>
      </c>
      <c r="B25" s="66" t="s">
        <v>1614</v>
      </c>
      <c r="C25" s="66"/>
      <c r="D25" s="67">
        <v>142.85714285714286</v>
      </c>
      <c r="E25" s="69">
        <v>56.25</v>
      </c>
      <c r="F25" s="96" t="str">
        <f>HYPERLINK("https://i.ytimg.com/vi/ngqWjgZudeE/default.jpg")</f>
        <v>https://i.ytimg.com/vi/ngqWjgZudeE/default.jpg</v>
      </c>
      <c r="G25" s="66"/>
      <c r="H25" s="70" t="s">
        <v>412</v>
      </c>
      <c r="I25" s="71"/>
      <c r="J25" s="71" t="s">
        <v>159</v>
      </c>
      <c r="K25" s="70" t="s">
        <v>412</v>
      </c>
      <c r="L25" s="74">
        <v>14.921741675399039</v>
      </c>
      <c r="M25" s="75">
        <v>411.0228271484375</v>
      </c>
      <c r="N25" s="75">
        <v>2131.289794921875</v>
      </c>
      <c r="O25" s="76"/>
      <c r="P25" s="77"/>
      <c r="Q25" s="77"/>
      <c r="R25" s="82"/>
      <c r="S25" s="49">
        <v>1</v>
      </c>
      <c r="T25" s="49">
        <v>0</v>
      </c>
      <c r="U25" s="50">
        <v>0</v>
      </c>
      <c r="V25" s="50">
        <v>0.001541</v>
      </c>
      <c r="W25" s="50">
        <v>0.000328</v>
      </c>
      <c r="X25" s="50">
        <v>0.284968</v>
      </c>
      <c r="Y25" s="50">
        <v>0</v>
      </c>
      <c r="Z25" s="50">
        <v>0</v>
      </c>
      <c r="AA25" s="72">
        <v>25</v>
      </c>
      <c r="AB25" s="72"/>
      <c r="AC25" s="73"/>
      <c r="AD25" s="80" t="s">
        <v>412</v>
      </c>
      <c r="AE25" s="80" t="s">
        <v>593</v>
      </c>
      <c r="AF25" s="80" t="s">
        <v>752</v>
      </c>
      <c r="AG25" s="80" t="s">
        <v>896</v>
      </c>
      <c r="AH25" s="80" t="s">
        <v>996</v>
      </c>
      <c r="AI25" s="80">
        <v>9544</v>
      </c>
      <c r="AJ25" s="80">
        <v>0</v>
      </c>
      <c r="AK25" s="80">
        <v>98</v>
      </c>
      <c r="AL25" s="80">
        <v>1</v>
      </c>
      <c r="AM25" s="80" t="s">
        <v>1155</v>
      </c>
      <c r="AN25" s="98" t="str">
        <f>HYPERLINK("https://www.youtube.com/watch?v=ngqWjgZudeE")</f>
        <v>https://www.youtube.com/watch?v=ngqWjgZudeE</v>
      </c>
      <c r="AO25" s="80" t="str">
        <f>REPLACE(INDEX(GroupVertices[Group],MATCH(Vertices[[#This Row],[Vertex]],GroupVertices[Vertex],0)),1,1,"")</f>
        <v>2</v>
      </c>
      <c r="AP25" s="49">
        <v>0</v>
      </c>
      <c r="AQ25" s="50">
        <v>0</v>
      </c>
      <c r="AR25" s="49">
        <v>0</v>
      </c>
      <c r="AS25" s="50">
        <v>0</v>
      </c>
      <c r="AT25" s="49">
        <v>0</v>
      </c>
      <c r="AU25" s="50">
        <v>0</v>
      </c>
      <c r="AV25" s="49">
        <v>12</v>
      </c>
      <c r="AW25" s="50">
        <v>100</v>
      </c>
      <c r="AX25" s="49">
        <v>12</v>
      </c>
      <c r="AY25" s="49"/>
      <c r="AZ25" s="49"/>
      <c r="BA25" s="49"/>
      <c r="BB25" s="49"/>
      <c r="BC25" s="2"/>
      <c r="BD25" s="3"/>
      <c r="BE25" s="3"/>
      <c r="BF25" s="3"/>
      <c r="BG25" s="3"/>
    </row>
    <row r="26" spans="1:59" ht="15">
      <c r="A26" s="65" t="s">
        <v>199</v>
      </c>
      <c r="B26" s="66" t="s">
        <v>1616</v>
      </c>
      <c r="C26" s="66"/>
      <c r="D26" s="67">
        <v>357.14285714285717</v>
      </c>
      <c r="E26" s="69">
        <v>87.5</v>
      </c>
      <c r="F26" s="96" t="str">
        <f>HYPERLINK("https://i.ytimg.com/vi/x9IzmOWAlnA/default.jpg")</f>
        <v>https://i.ytimg.com/vi/x9IzmOWAlnA/default.jpg</v>
      </c>
      <c r="G26" s="66"/>
      <c r="H26" s="70" t="s">
        <v>413</v>
      </c>
      <c r="I26" s="71"/>
      <c r="J26" s="71" t="s">
        <v>75</v>
      </c>
      <c r="K26" s="70" t="s">
        <v>413</v>
      </c>
      <c r="L26" s="74">
        <v>4.374834806141353</v>
      </c>
      <c r="M26" s="75">
        <v>411.0228271484375</v>
      </c>
      <c r="N26" s="75">
        <v>7058.54248046875</v>
      </c>
      <c r="O26" s="76"/>
      <c r="P26" s="77"/>
      <c r="Q26" s="77"/>
      <c r="R26" s="82"/>
      <c r="S26" s="49">
        <v>6</v>
      </c>
      <c r="T26" s="49">
        <v>12</v>
      </c>
      <c r="U26" s="50">
        <v>2435.551697</v>
      </c>
      <c r="V26" s="50">
        <v>0.002049</v>
      </c>
      <c r="W26" s="50">
        <v>0.008187</v>
      </c>
      <c r="X26" s="50">
        <v>3.014264</v>
      </c>
      <c r="Y26" s="50">
        <v>0.1</v>
      </c>
      <c r="Z26" s="50">
        <v>0.125</v>
      </c>
      <c r="AA26" s="72">
        <v>26</v>
      </c>
      <c r="AB26" s="72"/>
      <c r="AC26" s="73"/>
      <c r="AD26" s="80" t="s">
        <v>413</v>
      </c>
      <c r="AE26" s="80" t="s">
        <v>413</v>
      </c>
      <c r="AF26" s="80" t="s">
        <v>753</v>
      </c>
      <c r="AG26" s="80" t="s">
        <v>897</v>
      </c>
      <c r="AH26" s="80" t="s">
        <v>997</v>
      </c>
      <c r="AI26" s="80">
        <v>2328</v>
      </c>
      <c r="AJ26" s="80">
        <v>1</v>
      </c>
      <c r="AK26" s="80">
        <v>24</v>
      </c>
      <c r="AL26" s="80">
        <v>0</v>
      </c>
      <c r="AM26" s="80" t="s">
        <v>1155</v>
      </c>
      <c r="AN26" s="98" t="str">
        <f>HYPERLINK("https://www.youtube.com/watch?v=x9IzmOWAlnA")</f>
        <v>https://www.youtube.com/watch?v=x9IzmOWAlnA</v>
      </c>
      <c r="AO26" s="80" t="str">
        <f>REPLACE(INDEX(GroupVertices[Group],MATCH(Vertices[[#This Row],[Vertex]],GroupVertices[Vertex],0)),1,1,"")</f>
        <v>1</v>
      </c>
      <c r="AP26" s="49">
        <v>0</v>
      </c>
      <c r="AQ26" s="50">
        <v>0</v>
      </c>
      <c r="AR26" s="49">
        <v>0</v>
      </c>
      <c r="AS26" s="50">
        <v>0</v>
      </c>
      <c r="AT26" s="49">
        <v>0</v>
      </c>
      <c r="AU26" s="50">
        <v>0</v>
      </c>
      <c r="AV26" s="49">
        <v>6</v>
      </c>
      <c r="AW26" s="50">
        <v>100</v>
      </c>
      <c r="AX26" s="49">
        <v>6</v>
      </c>
      <c r="AY26" s="111" t="s">
        <v>1608</v>
      </c>
      <c r="AZ26" s="111" t="s">
        <v>1608</v>
      </c>
      <c r="BA26" s="111" t="s">
        <v>1608</v>
      </c>
      <c r="BB26" s="111" t="s">
        <v>1608</v>
      </c>
      <c r="BC26" s="2"/>
      <c r="BD26" s="3"/>
      <c r="BE26" s="3"/>
      <c r="BF26" s="3"/>
      <c r="BG26" s="3"/>
    </row>
    <row r="27" spans="1:59" ht="15">
      <c r="A27" s="65" t="s">
        <v>253</v>
      </c>
      <c r="B27" s="66" t="s">
        <v>1614</v>
      </c>
      <c r="C27" s="66"/>
      <c r="D27" s="67">
        <v>142.85714285714286</v>
      </c>
      <c r="E27" s="69">
        <v>56.25</v>
      </c>
      <c r="F27" s="96" t="str">
        <f>HYPERLINK("https://i.ytimg.com/vi/hzl-jKb-_iw/default.jpg")</f>
        <v>https://i.ytimg.com/vi/hzl-jKb-_iw/default.jpg</v>
      </c>
      <c r="G27" s="66"/>
      <c r="H27" s="70" t="s">
        <v>414</v>
      </c>
      <c r="I27" s="71"/>
      <c r="J27" s="71" t="s">
        <v>159</v>
      </c>
      <c r="K27" s="70" t="s">
        <v>414</v>
      </c>
      <c r="L27" s="74">
        <v>1.1943928233940233</v>
      </c>
      <c r="M27" s="75">
        <v>4679.29150390625</v>
      </c>
      <c r="N27" s="75">
        <v>9455.08203125</v>
      </c>
      <c r="O27" s="76"/>
      <c r="P27" s="77"/>
      <c r="Q27" s="77"/>
      <c r="R27" s="82"/>
      <c r="S27" s="49">
        <v>1</v>
      </c>
      <c r="T27" s="49">
        <v>0</v>
      </c>
      <c r="U27" s="50">
        <v>0</v>
      </c>
      <c r="V27" s="50">
        <v>0.001497</v>
      </c>
      <c r="W27" s="50">
        <v>0.000357</v>
      </c>
      <c r="X27" s="50">
        <v>0.310133</v>
      </c>
      <c r="Y27" s="50">
        <v>0</v>
      </c>
      <c r="Z27" s="50">
        <v>0</v>
      </c>
      <c r="AA27" s="72">
        <v>27</v>
      </c>
      <c r="AB27" s="72"/>
      <c r="AC27" s="73"/>
      <c r="AD27" s="80" t="s">
        <v>414</v>
      </c>
      <c r="AE27" s="80" t="s">
        <v>594</v>
      </c>
      <c r="AF27" s="80" t="s">
        <v>754</v>
      </c>
      <c r="AG27" s="80" t="s">
        <v>897</v>
      </c>
      <c r="AH27" s="80" t="s">
        <v>998</v>
      </c>
      <c r="AI27" s="80">
        <v>152</v>
      </c>
      <c r="AJ27" s="80">
        <v>0</v>
      </c>
      <c r="AK27" s="80">
        <v>16</v>
      </c>
      <c r="AL27" s="80">
        <v>0</v>
      </c>
      <c r="AM27" s="80" t="s">
        <v>1155</v>
      </c>
      <c r="AN27" s="98" t="str">
        <f>HYPERLINK("https://www.youtube.com/watch?v=hzl-jKb-_iw")</f>
        <v>https://www.youtube.com/watch?v=hzl-jKb-_iw</v>
      </c>
      <c r="AO27" s="80" t="str">
        <f>REPLACE(INDEX(GroupVertices[Group],MATCH(Vertices[[#This Row],[Vertex]],GroupVertices[Vertex],0)),1,1,"")</f>
        <v>1</v>
      </c>
      <c r="AP27" s="49">
        <v>0</v>
      </c>
      <c r="AQ27" s="50">
        <v>0</v>
      </c>
      <c r="AR27" s="49">
        <v>0</v>
      </c>
      <c r="AS27" s="50">
        <v>0</v>
      </c>
      <c r="AT27" s="49">
        <v>0</v>
      </c>
      <c r="AU27" s="50">
        <v>0</v>
      </c>
      <c r="AV27" s="49">
        <v>8</v>
      </c>
      <c r="AW27" s="50">
        <v>100</v>
      </c>
      <c r="AX27" s="49">
        <v>8</v>
      </c>
      <c r="AY27" s="49"/>
      <c r="AZ27" s="49"/>
      <c r="BA27" s="49"/>
      <c r="BB27" s="49"/>
      <c r="BC27" s="2"/>
      <c r="BD27" s="3"/>
      <c r="BE27" s="3"/>
      <c r="BF27" s="3"/>
      <c r="BG27" s="3"/>
    </row>
    <row r="28" spans="1:59" ht="15">
      <c r="A28" s="65" t="s">
        <v>254</v>
      </c>
      <c r="B28" s="66" t="s">
        <v>1614</v>
      </c>
      <c r="C28" s="66"/>
      <c r="D28" s="67">
        <v>142.85714285714286</v>
      </c>
      <c r="E28" s="69">
        <v>56.25</v>
      </c>
      <c r="F28" s="96" t="str">
        <f>HYPERLINK("https://i.ytimg.com/vi/4tAOA7Skqtw/default.jpg")</f>
        <v>https://i.ytimg.com/vi/4tAOA7Skqtw/default.jpg</v>
      </c>
      <c r="G28" s="66"/>
      <c r="H28" s="70" t="s">
        <v>415</v>
      </c>
      <c r="I28" s="71"/>
      <c r="J28" s="71" t="s">
        <v>159</v>
      </c>
      <c r="K28" s="70" t="s">
        <v>415</v>
      </c>
      <c r="L28" s="74">
        <v>21.14085042383189</v>
      </c>
      <c r="M28" s="75">
        <v>1020.7754516601562</v>
      </c>
      <c r="N28" s="75">
        <v>5460.84912109375</v>
      </c>
      <c r="O28" s="76"/>
      <c r="P28" s="77"/>
      <c r="Q28" s="77"/>
      <c r="R28" s="82"/>
      <c r="S28" s="49">
        <v>1</v>
      </c>
      <c r="T28" s="49">
        <v>0</v>
      </c>
      <c r="U28" s="50">
        <v>0</v>
      </c>
      <c r="V28" s="50">
        <v>0.001497</v>
      </c>
      <c r="W28" s="50">
        <v>0.000357</v>
      </c>
      <c r="X28" s="50">
        <v>0.310133</v>
      </c>
      <c r="Y28" s="50">
        <v>0</v>
      </c>
      <c r="Z28" s="50">
        <v>0</v>
      </c>
      <c r="AA28" s="72">
        <v>28</v>
      </c>
      <c r="AB28" s="72"/>
      <c r="AC28" s="73"/>
      <c r="AD28" s="80" t="s">
        <v>415</v>
      </c>
      <c r="AE28" s="80" t="s">
        <v>595</v>
      </c>
      <c r="AF28" s="80" t="s">
        <v>755</v>
      </c>
      <c r="AG28" s="80" t="s">
        <v>898</v>
      </c>
      <c r="AH28" s="80" t="s">
        <v>999</v>
      </c>
      <c r="AI28" s="80">
        <v>13799</v>
      </c>
      <c r="AJ28" s="80">
        <v>9</v>
      </c>
      <c r="AK28" s="80">
        <v>141</v>
      </c>
      <c r="AL28" s="80">
        <v>3</v>
      </c>
      <c r="AM28" s="80" t="s">
        <v>1155</v>
      </c>
      <c r="AN28" s="98" t="str">
        <f>HYPERLINK("https://www.youtube.com/watch?v=4tAOA7Skqtw")</f>
        <v>https://www.youtube.com/watch?v=4tAOA7Skqtw</v>
      </c>
      <c r="AO28" s="80" t="str">
        <f>REPLACE(INDEX(GroupVertices[Group],MATCH(Vertices[[#This Row],[Vertex]],GroupVertices[Vertex],0)),1,1,"")</f>
        <v>1</v>
      </c>
      <c r="AP28" s="49">
        <v>0</v>
      </c>
      <c r="AQ28" s="50">
        <v>0</v>
      </c>
      <c r="AR28" s="49">
        <v>0</v>
      </c>
      <c r="AS28" s="50">
        <v>0</v>
      </c>
      <c r="AT28" s="49">
        <v>0</v>
      </c>
      <c r="AU28" s="50">
        <v>0</v>
      </c>
      <c r="AV28" s="49">
        <v>26</v>
      </c>
      <c r="AW28" s="50">
        <v>100</v>
      </c>
      <c r="AX28" s="49">
        <v>26</v>
      </c>
      <c r="AY28" s="49"/>
      <c r="AZ28" s="49"/>
      <c r="BA28" s="49"/>
      <c r="BB28" s="49"/>
      <c r="BC28" s="2"/>
      <c r="BD28" s="3"/>
      <c r="BE28" s="3"/>
      <c r="BF28" s="3"/>
      <c r="BG28" s="3"/>
    </row>
    <row r="29" spans="1:59" ht="15">
      <c r="A29" s="65" t="s">
        <v>255</v>
      </c>
      <c r="B29" s="66" t="s">
        <v>1614</v>
      </c>
      <c r="C29" s="66"/>
      <c r="D29" s="67">
        <v>142.85714285714286</v>
      </c>
      <c r="E29" s="69">
        <v>56.25</v>
      </c>
      <c r="F29" s="96" t="str">
        <f>HYPERLINK("https://i.ytimg.com/vi/zxQgaRUbl6g/default.jpg")</f>
        <v>https://i.ytimg.com/vi/zxQgaRUbl6g/default.jpg</v>
      </c>
      <c r="G29" s="66"/>
      <c r="H29" s="70" t="s">
        <v>416</v>
      </c>
      <c r="I29" s="71"/>
      <c r="J29" s="71" t="s">
        <v>159</v>
      </c>
      <c r="K29" s="70" t="s">
        <v>416</v>
      </c>
      <c r="L29" s="74">
        <v>11.364206847270822</v>
      </c>
      <c r="M29" s="75">
        <v>2240.28076171875</v>
      </c>
      <c r="N29" s="75">
        <v>6259.69580078125</v>
      </c>
      <c r="O29" s="76"/>
      <c r="P29" s="77"/>
      <c r="Q29" s="77"/>
      <c r="R29" s="82"/>
      <c r="S29" s="49">
        <v>1</v>
      </c>
      <c r="T29" s="49">
        <v>0</v>
      </c>
      <c r="U29" s="50">
        <v>0</v>
      </c>
      <c r="V29" s="50">
        <v>0.001497</v>
      </c>
      <c r="W29" s="50">
        <v>0.000357</v>
      </c>
      <c r="X29" s="50">
        <v>0.310133</v>
      </c>
      <c r="Y29" s="50">
        <v>0</v>
      </c>
      <c r="Z29" s="50">
        <v>0</v>
      </c>
      <c r="AA29" s="72">
        <v>29</v>
      </c>
      <c r="AB29" s="72"/>
      <c r="AC29" s="73"/>
      <c r="AD29" s="80" t="s">
        <v>416</v>
      </c>
      <c r="AE29" s="80" t="s">
        <v>596</v>
      </c>
      <c r="AF29" s="80" t="s">
        <v>756</v>
      </c>
      <c r="AG29" s="80" t="s">
        <v>899</v>
      </c>
      <c r="AH29" s="80" t="s">
        <v>1000</v>
      </c>
      <c r="AI29" s="80">
        <v>7110</v>
      </c>
      <c r="AJ29" s="80">
        <v>10</v>
      </c>
      <c r="AK29" s="80">
        <v>106</v>
      </c>
      <c r="AL29" s="80">
        <v>1</v>
      </c>
      <c r="AM29" s="80" t="s">
        <v>1155</v>
      </c>
      <c r="AN29" s="98" t="str">
        <f>HYPERLINK("https://www.youtube.com/watch?v=zxQgaRUbl6g")</f>
        <v>https://www.youtube.com/watch?v=zxQgaRUbl6g</v>
      </c>
      <c r="AO29" s="80" t="str">
        <f>REPLACE(INDEX(GroupVertices[Group],MATCH(Vertices[[#This Row],[Vertex]],GroupVertices[Vertex],0)),1,1,"")</f>
        <v>1</v>
      </c>
      <c r="AP29" s="49">
        <v>0</v>
      </c>
      <c r="AQ29" s="50">
        <v>0</v>
      </c>
      <c r="AR29" s="49">
        <v>0</v>
      </c>
      <c r="AS29" s="50">
        <v>0</v>
      </c>
      <c r="AT29" s="49">
        <v>0</v>
      </c>
      <c r="AU29" s="50">
        <v>0</v>
      </c>
      <c r="AV29" s="49">
        <v>5</v>
      </c>
      <c r="AW29" s="50">
        <v>100</v>
      </c>
      <c r="AX29" s="49">
        <v>5</v>
      </c>
      <c r="AY29" s="49"/>
      <c r="AZ29" s="49"/>
      <c r="BA29" s="49"/>
      <c r="BB29" s="49"/>
      <c r="BC29" s="2"/>
      <c r="BD29" s="3"/>
      <c r="BE29" s="3"/>
      <c r="BF29" s="3"/>
      <c r="BG29" s="3"/>
    </row>
    <row r="30" spans="1:59" ht="15">
      <c r="A30" s="65" t="s">
        <v>256</v>
      </c>
      <c r="B30" s="66" t="s">
        <v>1614</v>
      </c>
      <c r="C30" s="66"/>
      <c r="D30" s="67">
        <v>142.85714285714286</v>
      </c>
      <c r="E30" s="69">
        <v>56.25</v>
      </c>
      <c r="F30" s="96" t="str">
        <f>HYPERLINK("https://i.ytimg.com/vi/XHoqoK0f02o/default.jpg")</f>
        <v>https://i.ytimg.com/vi/XHoqoK0f02o/default.jpg</v>
      </c>
      <c r="G30" s="66"/>
      <c r="H30" s="70" t="s">
        <v>417</v>
      </c>
      <c r="I30" s="71"/>
      <c r="J30" s="71" t="s">
        <v>159</v>
      </c>
      <c r="K30" s="70" t="s">
        <v>417</v>
      </c>
      <c r="L30" s="74">
        <v>1.4034016485469958</v>
      </c>
      <c r="M30" s="75">
        <v>2850.033447265625</v>
      </c>
      <c r="N30" s="75">
        <v>8656.2353515625</v>
      </c>
      <c r="O30" s="76"/>
      <c r="P30" s="77"/>
      <c r="Q30" s="77"/>
      <c r="R30" s="82"/>
      <c r="S30" s="49">
        <v>1</v>
      </c>
      <c r="T30" s="49">
        <v>0</v>
      </c>
      <c r="U30" s="50">
        <v>0</v>
      </c>
      <c r="V30" s="50">
        <v>0.001497</v>
      </c>
      <c r="W30" s="50">
        <v>0.000357</v>
      </c>
      <c r="X30" s="50">
        <v>0.310133</v>
      </c>
      <c r="Y30" s="50">
        <v>0</v>
      </c>
      <c r="Z30" s="50">
        <v>0</v>
      </c>
      <c r="AA30" s="72">
        <v>30</v>
      </c>
      <c r="AB30" s="72"/>
      <c r="AC30" s="73"/>
      <c r="AD30" s="80" t="s">
        <v>417</v>
      </c>
      <c r="AE30" s="80" t="s">
        <v>597</v>
      </c>
      <c r="AF30" s="80" t="s">
        <v>757</v>
      </c>
      <c r="AG30" s="80" t="s">
        <v>897</v>
      </c>
      <c r="AH30" s="80" t="s">
        <v>1001</v>
      </c>
      <c r="AI30" s="80">
        <v>295</v>
      </c>
      <c r="AJ30" s="80">
        <v>0</v>
      </c>
      <c r="AK30" s="80">
        <v>23</v>
      </c>
      <c r="AL30" s="80">
        <v>0</v>
      </c>
      <c r="AM30" s="80" t="s">
        <v>1155</v>
      </c>
      <c r="AN30" s="98" t="str">
        <f>HYPERLINK("https://www.youtube.com/watch?v=XHoqoK0f02o")</f>
        <v>https://www.youtube.com/watch?v=XHoqoK0f02o</v>
      </c>
      <c r="AO30" s="80" t="str">
        <f>REPLACE(INDEX(GroupVertices[Group],MATCH(Vertices[[#This Row],[Vertex]],GroupVertices[Vertex],0)),1,1,"")</f>
        <v>1</v>
      </c>
      <c r="AP30" s="49">
        <v>0</v>
      </c>
      <c r="AQ30" s="50">
        <v>0</v>
      </c>
      <c r="AR30" s="49">
        <v>1</v>
      </c>
      <c r="AS30" s="50">
        <v>20</v>
      </c>
      <c r="AT30" s="49">
        <v>0</v>
      </c>
      <c r="AU30" s="50">
        <v>0</v>
      </c>
      <c r="AV30" s="49">
        <v>4</v>
      </c>
      <c r="AW30" s="50">
        <v>80</v>
      </c>
      <c r="AX30" s="49">
        <v>5</v>
      </c>
      <c r="AY30" s="49"/>
      <c r="AZ30" s="49"/>
      <c r="BA30" s="49"/>
      <c r="BB30" s="49"/>
      <c r="BC30" s="2"/>
      <c r="BD30" s="3"/>
      <c r="BE30" s="3"/>
      <c r="BF30" s="3"/>
      <c r="BG30" s="3"/>
    </row>
    <row r="31" spans="1:59" ht="15">
      <c r="A31" s="65" t="s">
        <v>257</v>
      </c>
      <c r="B31" s="66" t="s">
        <v>1614</v>
      </c>
      <c r="C31" s="66"/>
      <c r="D31" s="67">
        <v>142.85714285714286</v>
      </c>
      <c r="E31" s="69">
        <v>56.25</v>
      </c>
      <c r="F31" s="96" t="str">
        <f>HYPERLINK("https://i.ytimg.com/vi/FbKkNI-I1lo/default.jpg")</f>
        <v>https://i.ytimg.com/vi/FbKkNI-I1lo/default.jpg</v>
      </c>
      <c r="G31" s="66"/>
      <c r="H31" s="70" t="s">
        <v>418</v>
      </c>
      <c r="I31" s="71"/>
      <c r="J31" s="71" t="s">
        <v>159</v>
      </c>
      <c r="K31" s="70" t="s">
        <v>418</v>
      </c>
      <c r="L31" s="74">
        <v>18.429582097546827</v>
      </c>
      <c r="M31" s="75">
        <v>5289.0439453125</v>
      </c>
      <c r="N31" s="75">
        <v>6259.69580078125</v>
      </c>
      <c r="O31" s="76"/>
      <c r="P31" s="77"/>
      <c r="Q31" s="77"/>
      <c r="R31" s="82"/>
      <c r="S31" s="49">
        <v>1</v>
      </c>
      <c r="T31" s="49">
        <v>0</v>
      </c>
      <c r="U31" s="50">
        <v>0</v>
      </c>
      <c r="V31" s="50">
        <v>0.001497</v>
      </c>
      <c r="W31" s="50">
        <v>0.000357</v>
      </c>
      <c r="X31" s="50">
        <v>0.310133</v>
      </c>
      <c r="Y31" s="50">
        <v>0</v>
      </c>
      <c r="Z31" s="50">
        <v>0</v>
      </c>
      <c r="AA31" s="72">
        <v>31</v>
      </c>
      <c r="AB31" s="72"/>
      <c r="AC31" s="73"/>
      <c r="AD31" s="80" t="s">
        <v>418</v>
      </c>
      <c r="AE31" s="80" t="s">
        <v>598</v>
      </c>
      <c r="AF31" s="80" t="s">
        <v>758</v>
      </c>
      <c r="AG31" s="80" t="s">
        <v>900</v>
      </c>
      <c r="AH31" s="80" t="s">
        <v>1002</v>
      </c>
      <c r="AI31" s="80">
        <v>11944</v>
      </c>
      <c r="AJ31" s="80">
        <v>168</v>
      </c>
      <c r="AK31" s="80">
        <v>1082</v>
      </c>
      <c r="AL31" s="80">
        <v>5</v>
      </c>
      <c r="AM31" s="80" t="s">
        <v>1155</v>
      </c>
      <c r="AN31" s="98" t="str">
        <f>HYPERLINK("https://www.youtube.com/watch?v=FbKkNI-I1lo")</f>
        <v>https://www.youtube.com/watch?v=FbKkNI-I1lo</v>
      </c>
      <c r="AO31" s="80" t="str">
        <f>REPLACE(INDEX(GroupVertices[Group],MATCH(Vertices[[#This Row],[Vertex]],GroupVertices[Vertex],0)),1,1,"")</f>
        <v>1</v>
      </c>
      <c r="AP31" s="49">
        <v>0</v>
      </c>
      <c r="AQ31" s="50">
        <v>0</v>
      </c>
      <c r="AR31" s="49">
        <v>0</v>
      </c>
      <c r="AS31" s="50">
        <v>0</v>
      </c>
      <c r="AT31" s="49">
        <v>0</v>
      </c>
      <c r="AU31" s="50">
        <v>0</v>
      </c>
      <c r="AV31" s="49">
        <v>35</v>
      </c>
      <c r="AW31" s="50">
        <v>100</v>
      </c>
      <c r="AX31" s="49">
        <v>35</v>
      </c>
      <c r="AY31" s="49"/>
      <c r="AZ31" s="49"/>
      <c r="BA31" s="49"/>
      <c r="BB31" s="49"/>
      <c r="BC31" s="2"/>
      <c r="BD31" s="3"/>
      <c r="BE31" s="3"/>
      <c r="BF31" s="3"/>
      <c r="BG31" s="3"/>
    </row>
    <row r="32" spans="1:59" ht="15">
      <c r="A32" s="65" t="s">
        <v>258</v>
      </c>
      <c r="B32" s="66" t="s">
        <v>1614</v>
      </c>
      <c r="C32" s="66"/>
      <c r="D32" s="67">
        <v>142.85714285714286</v>
      </c>
      <c r="E32" s="69">
        <v>56.25</v>
      </c>
      <c r="F32" s="96" t="str">
        <f>HYPERLINK("https://i.ytimg.com/vi/WvGthq20j-s/default.jpg")</f>
        <v>https://i.ytimg.com/vi/WvGthq20j-s/default.jpg</v>
      </c>
      <c r="G32" s="66"/>
      <c r="H32" s="70" t="s">
        <v>419</v>
      </c>
      <c r="I32" s="71"/>
      <c r="J32" s="71" t="s">
        <v>159</v>
      </c>
      <c r="K32" s="70" t="s">
        <v>419</v>
      </c>
      <c r="L32" s="74">
        <v>7.637126398738796</v>
      </c>
      <c r="M32" s="75">
        <v>4069.538818359375</v>
      </c>
      <c r="N32" s="75">
        <v>7058.54248046875</v>
      </c>
      <c r="O32" s="76"/>
      <c r="P32" s="77"/>
      <c r="Q32" s="77"/>
      <c r="R32" s="82"/>
      <c r="S32" s="49">
        <v>1</v>
      </c>
      <c r="T32" s="49">
        <v>0</v>
      </c>
      <c r="U32" s="50">
        <v>0</v>
      </c>
      <c r="V32" s="50">
        <v>0.001497</v>
      </c>
      <c r="W32" s="50">
        <v>0.000357</v>
      </c>
      <c r="X32" s="50">
        <v>0.310133</v>
      </c>
      <c r="Y32" s="50">
        <v>0</v>
      </c>
      <c r="Z32" s="50">
        <v>0</v>
      </c>
      <c r="AA32" s="72">
        <v>32</v>
      </c>
      <c r="AB32" s="72"/>
      <c r="AC32" s="73"/>
      <c r="AD32" s="80" t="s">
        <v>419</v>
      </c>
      <c r="AE32" s="80" t="s">
        <v>599</v>
      </c>
      <c r="AF32" s="80" t="s">
        <v>759</v>
      </c>
      <c r="AG32" s="80" t="s">
        <v>901</v>
      </c>
      <c r="AH32" s="80" t="s">
        <v>1003</v>
      </c>
      <c r="AI32" s="80">
        <v>4560</v>
      </c>
      <c r="AJ32" s="80">
        <v>35</v>
      </c>
      <c r="AK32" s="80">
        <v>194</v>
      </c>
      <c r="AL32" s="80">
        <v>2</v>
      </c>
      <c r="AM32" s="80" t="s">
        <v>1155</v>
      </c>
      <c r="AN32" s="98" t="str">
        <f>HYPERLINK("https://www.youtube.com/watch?v=WvGthq20j-s")</f>
        <v>https://www.youtube.com/watch?v=WvGthq20j-s</v>
      </c>
      <c r="AO32" s="80" t="str">
        <f>REPLACE(INDEX(GroupVertices[Group],MATCH(Vertices[[#This Row],[Vertex]],GroupVertices[Vertex],0)),1,1,"")</f>
        <v>1</v>
      </c>
      <c r="AP32" s="49">
        <v>0</v>
      </c>
      <c r="AQ32" s="50">
        <v>0</v>
      </c>
      <c r="AR32" s="49">
        <v>0</v>
      </c>
      <c r="AS32" s="50">
        <v>0</v>
      </c>
      <c r="AT32" s="49">
        <v>0</v>
      </c>
      <c r="AU32" s="50">
        <v>0</v>
      </c>
      <c r="AV32" s="49">
        <v>14</v>
      </c>
      <c r="AW32" s="50">
        <v>100</v>
      </c>
      <c r="AX32" s="49">
        <v>14</v>
      </c>
      <c r="AY32" s="49"/>
      <c r="AZ32" s="49"/>
      <c r="BA32" s="49"/>
      <c r="BB32" s="49"/>
      <c r="BC32" s="2"/>
      <c r="BD32" s="3"/>
      <c r="BE32" s="3"/>
      <c r="BF32" s="3"/>
      <c r="BG32" s="3"/>
    </row>
    <row r="33" spans="1:59" ht="15">
      <c r="A33" s="65" t="s">
        <v>259</v>
      </c>
      <c r="B33" s="66" t="s">
        <v>1614</v>
      </c>
      <c r="C33" s="66"/>
      <c r="D33" s="67">
        <v>185.71428571428572</v>
      </c>
      <c r="E33" s="69">
        <v>62.5</v>
      </c>
      <c r="F33" s="96" t="str">
        <f>HYPERLINK("https://i.ytimg.com/vi/hstzxKOvRlc/default.jpg")</f>
        <v>https://i.ytimg.com/vi/hstzxKOvRlc/default.jpg</v>
      </c>
      <c r="G33" s="66"/>
      <c r="H33" s="70" t="s">
        <v>420</v>
      </c>
      <c r="I33" s="71"/>
      <c r="J33" s="71" t="s">
        <v>159</v>
      </c>
      <c r="K33" s="70" t="s">
        <v>420</v>
      </c>
      <c r="L33" s="74">
        <v>4.972629278082371</v>
      </c>
      <c r="M33" s="75">
        <v>5289.0439453125</v>
      </c>
      <c r="N33" s="75">
        <v>3720.72607421875</v>
      </c>
      <c r="O33" s="76"/>
      <c r="P33" s="77"/>
      <c r="Q33" s="77"/>
      <c r="R33" s="82"/>
      <c r="S33" s="49">
        <v>2</v>
      </c>
      <c r="T33" s="49">
        <v>0</v>
      </c>
      <c r="U33" s="50">
        <v>0</v>
      </c>
      <c r="V33" s="50">
        <v>0.001712</v>
      </c>
      <c r="W33" s="50">
        <v>0.001351</v>
      </c>
      <c r="X33" s="50">
        <v>0.420912</v>
      </c>
      <c r="Y33" s="50">
        <v>0.5</v>
      </c>
      <c r="Z33" s="50">
        <v>0</v>
      </c>
      <c r="AA33" s="72">
        <v>33</v>
      </c>
      <c r="AB33" s="72"/>
      <c r="AC33" s="73"/>
      <c r="AD33" s="80" t="s">
        <v>420</v>
      </c>
      <c r="AE33" s="80" t="s">
        <v>600</v>
      </c>
      <c r="AF33" s="80" t="s">
        <v>760</v>
      </c>
      <c r="AG33" s="80" t="s">
        <v>897</v>
      </c>
      <c r="AH33" s="80" t="s">
        <v>1004</v>
      </c>
      <c r="AI33" s="80">
        <v>2737</v>
      </c>
      <c r="AJ33" s="80">
        <v>6</v>
      </c>
      <c r="AK33" s="80">
        <v>56</v>
      </c>
      <c r="AL33" s="80">
        <v>1</v>
      </c>
      <c r="AM33" s="80" t="s">
        <v>1155</v>
      </c>
      <c r="AN33" s="98" t="str">
        <f>HYPERLINK("https://www.youtube.com/watch?v=hstzxKOvRlc")</f>
        <v>https://www.youtube.com/watch?v=hstzxKOvRlc</v>
      </c>
      <c r="AO33" s="80" t="str">
        <f>REPLACE(INDEX(GroupVertices[Group],MATCH(Vertices[[#This Row],[Vertex]],GroupVertices[Vertex],0)),1,1,"")</f>
        <v>2</v>
      </c>
      <c r="AP33" s="49">
        <v>0</v>
      </c>
      <c r="AQ33" s="50">
        <v>0</v>
      </c>
      <c r="AR33" s="49">
        <v>0</v>
      </c>
      <c r="AS33" s="50">
        <v>0</v>
      </c>
      <c r="AT33" s="49">
        <v>0</v>
      </c>
      <c r="AU33" s="50">
        <v>0</v>
      </c>
      <c r="AV33" s="49">
        <v>9</v>
      </c>
      <c r="AW33" s="50">
        <v>100</v>
      </c>
      <c r="AX33" s="49">
        <v>9</v>
      </c>
      <c r="AY33" s="49"/>
      <c r="AZ33" s="49"/>
      <c r="BA33" s="49"/>
      <c r="BB33" s="49"/>
      <c r="BC33" s="2"/>
      <c r="BD33" s="3"/>
      <c r="BE33" s="3"/>
      <c r="BF33" s="3"/>
      <c r="BG33" s="3"/>
    </row>
    <row r="34" spans="1:59" ht="15">
      <c r="A34" s="65" t="s">
        <v>200</v>
      </c>
      <c r="B34" s="66" t="s">
        <v>1613</v>
      </c>
      <c r="C34" s="66"/>
      <c r="D34" s="67">
        <v>528.5714285714286</v>
      </c>
      <c r="E34" s="69">
        <v>100</v>
      </c>
      <c r="F34" s="96" t="str">
        <f>HYPERLINK("https://i.ytimg.com/vi/Izbh1fd-L5w/default.jpg")</f>
        <v>https://i.ytimg.com/vi/Izbh1fd-L5w/default.jpg</v>
      </c>
      <c r="G34" s="66"/>
      <c r="H34" s="70" t="s">
        <v>421</v>
      </c>
      <c r="I34" s="71"/>
      <c r="J34" s="71" t="s">
        <v>75</v>
      </c>
      <c r="K34" s="70" t="s">
        <v>421</v>
      </c>
      <c r="L34" s="74">
        <v>7.293650357403492</v>
      </c>
      <c r="M34" s="75">
        <v>9563.7998046875</v>
      </c>
      <c r="N34" s="75">
        <v>8096.49267578125</v>
      </c>
      <c r="O34" s="76"/>
      <c r="P34" s="77"/>
      <c r="Q34" s="77"/>
      <c r="R34" s="82"/>
      <c r="S34" s="49">
        <v>10</v>
      </c>
      <c r="T34" s="49">
        <v>10</v>
      </c>
      <c r="U34" s="50">
        <v>3347.222626</v>
      </c>
      <c r="V34" s="50">
        <v>0.002217</v>
      </c>
      <c r="W34" s="50">
        <v>0.01432</v>
      </c>
      <c r="X34" s="50">
        <v>3.68091</v>
      </c>
      <c r="Y34" s="50">
        <v>0.18421052631578946</v>
      </c>
      <c r="Z34" s="50">
        <v>0</v>
      </c>
      <c r="AA34" s="72">
        <v>34</v>
      </c>
      <c r="AB34" s="72"/>
      <c r="AC34" s="73"/>
      <c r="AD34" s="80" t="s">
        <v>421</v>
      </c>
      <c r="AE34" s="80" t="s">
        <v>601</v>
      </c>
      <c r="AF34" s="80" t="s">
        <v>761</v>
      </c>
      <c r="AG34" s="80" t="s">
        <v>902</v>
      </c>
      <c r="AH34" s="80" t="s">
        <v>1005</v>
      </c>
      <c r="AI34" s="80">
        <v>4325</v>
      </c>
      <c r="AJ34" s="80">
        <v>4</v>
      </c>
      <c r="AK34" s="80">
        <v>32</v>
      </c>
      <c r="AL34" s="80">
        <v>1</v>
      </c>
      <c r="AM34" s="80" t="s">
        <v>1155</v>
      </c>
      <c r="AN34" s="98" t="str">
        <f>HYPERLINK("https://www.youtube.com/watch?v=Izbh1fd-L5w")</f>
        <v>https://www.youtube.com/watch?v=Izbh1fd-L5w</v>
      </c>
      <c r="AO34" s="80" t="str">
        <f>REPLACE(INDEX(GroupVertices[Group],MATCH(Vertices[[#This Row],[Vertex]],GroupVertices[Vertex],0)),1,1,"")</f>
        <v>4</v>
      </c>
      <c r="AP34" s="49">
        <v>0</v>
      </c>
      <c r="AQ34" s="50">
        <v>0</v>
      </c>
      <c r="AR34" s="49">
        <v>0</v>
      </c>
      <c r="AS34" s="50">
        <v>0</v>
      </c>
      <c r="AT34" s="49">
        <v>0</v>
      </c>
      <c r="AU34" s="50">
        <v>0</v>
      </c>
      <c r="AV34" s="49">
        <v>10</v>
      </c>
      <c r="AW34" s="50">
        <v>100</v>
      </c>
      <c r="AX34" s="49">
        <v>10</v>
      </c>
      <c r="AY34" s="111" t="s">
        <v>1608</v>
      </c>
      <c r="AZ34" s="111" t="s">
        <v>1608</v>
      </c>
      <c r="BA34" s="111" t="s">
        <v>1608</v>
      </c>
      <c r="BB34" s="111" t="s">
        <v>1608</v>
      </c>
      <c r="BC34" s="2"/>
      <c r="BD34" s="3"/>
      <c r="BE34" s="3"/>
      <c r="BF34" s="3"/>
      <c r="BG34" s="3"/>
    </row>
    <row r="35" spans="1:59" ht="15">
      <c r="A35" s="65" t="s">
        <v>260</v>
      </c>
      <c r="B35" s="66" t="s">
        <v>1614</v>
      </c>
      <c r="C35" s="66"/>
      <c r="D35" s="67">
        <v>142.85714285714286</v>
      </c>
      <c r="E35" s="69">
        <v>56.25</v>
      </c>
      <c r="F35" s="96" t="str">
        <f>HYPERLINK("https://i.ytimg.com/vi/Yjm4FB_ihTA/default.jpg")</f>
        <v>https://i.ytimg.com/vi/Yjm4FB_ihTA/default.jpg</v>
      </c>
      <c r="G35" s="66"/>
      <c r="H35" s="70" t="s">
        <v>422</v>
      </c>
      <c r="I35" s="71"/>
      <c r="J35" s="71" t="s">
        <v>159</v>
      </c>
      <c r="K35" s="70" t="s">
        <v>422</v>
      </c>
      <c r="L35" s="74">
        <v>2.248206550214255</v>
      </c>
      <c r="M35" s="75">
        <v>8247.5830078125</v>
      </c>
      <c r="N35" s="75">
        <v>8799.6982421875</v>
      </c>
      <c r="O35" s="76"/>
      <c r="P35" s="77"/>
      <c r="Q35" s="77"/>
      <c r="R35" s="82"/>
      <c r="S35" s="49">
        <v>1</v>
      </c>
      <c r="T35" s="49">
        <v>0</v>
      </c>
      <c r="U35" s="50">
        <v>0</v>
      </c>
      <c r="V35" s="50">
        <v>0.001585</v>
      </c>
      <c r="W35" s="50">
        <v>0.000624</v>
      </c>
      <c r="X35" s="50">
        <v>0.306439</v>
      </c>
      <c r="Y35" s="50">
        <v>0</v>
      </c>
      <c r="Z35" s="50">
        <v>0</v>
      </c>
      <c r="AA35" s="72">
        <v>35</v>
      </c>
      <c r="AB35" s="72"/>
      <c r="AC35" s="73"/>
      <c r="AD35" s="80" t="s">
        <v>422</v>
      </c>
      <c r="AE35" s="80" t="s">
        <v>602</v>
      </c>
      <c r="AF35" s="80"/>
      <c r="AG35" s="80" t="s">
        <v>903</v>
      </c>
      <c r="AH35" s="80" t="s">
        <v>1006</v>
      </c>
      <c r="AI35" s="80">
        <v>873</v>
      </c>
      <c r="AJ35" s="80">
        <v>0</v>
      </c>
      <c r="AK35" s="80">
        <v>11</v>
      </c>
      <c r="AL35" s="80">
        <v>1</v>
      </c>
      <c r="AM35" s="80" t="s">
        <v>1155</v>
      </c>
      <c r="AN35" s="98" t="str">
        <f>HYPERLINK("https://www.youtube.com/watch?v=Yjm4FB_ihTA")</f>
        <v>https://www.youtube.com/watch?v=Yjm4FB_ihTA</v>
      </c>
      <c r="AO35" s="80" t="str">
        <f>REPLACE(INDEX(GroupVertices[Group],MATCH(Vertices[[#This Row],[Vertex]],GroupVertices[Vertex],0)),1,1,"")</f>
        <v>4</v>
      </c>
      <c r="AP35" s="49"/>
      <c r="AQ35" s="50"/>
      <c r="AR35" s="49"/>
      <c r="AS35" s="50"/>
      <c r="AT35" s="49"/>
      <c r="AU35" s="50"/>
      <c r="AV35" s="49"/>
      <c r="AW35" s="50"/>
      <c r="AX35" s="49"/>
      <c r="AY35" s="49"/>
      <c r="AZ35" s="49"/>
      <c r="BA35" s="49"/>
      <c r="BB35" s="49"/>
      <c r="BC35" s="2"/>
      <c r="BD35" s="3"/>
      <c r="BE35" s="3"/>
      <c r="BF35" s="3"/>
      <c r="BG35" s="3"/>
    </row>
    <row r="36" spans="1:59" ht="15">
      <c r="A36" s="65" t="s">
        <v>261</v>
      </c>
      <c r="B36" s="66" t="s">
        <v>1614</v>
      </c>
      <c r="C36" s="66"/>
      <c r="D36" s="67">
        <v>142.85714285714286</v>
      </c>
      <c r="E36" s="69">
        <v>56.25</v>
      </c>
      <c r="F36" s="96" t="str">
        <f>HYPERLINK("https://i.ytimg.com/vi/YElgXp6mHtY/default.jpg")</f>
        <v>https://i.ytimg.com/vi/YElgXp6mHtY/default.jpg</v>
      </c>
      <c r="G36" s="66"/>
      <c r="H36" s="70" t="s">
        <v>423</v>
      </c>
      <c r="I36" s="71"/>
      <c r="J36" s="71" t="s">
        <v>159</v>
      </c>
      <c r="K36" s="70" t="s">
        <v>423</v>
      </c>
      <c r="L36" s="74">
        <v>3.5855707111580997</v>
      </c>
      <c r="M36" s="75">
        <v>8247.5830078125</v>
      </c>
      <c r="N36" s="75">
        <v>8096.49267578125</v>
      </c>
      <c r="O36" s="76"/>
      <c r="P36" s="77"/>
      <c r="Q36" s="77"/>
      <c r="R36" s="82"/>
      <c r="S36" s="49">
        <v>1</v>
      </c>
      <c r="T36" s="49">
        <v>0</v>
      </c>
      <c r="U36" s="50">
        <v>0</v>
      </c>
      <c r="V36" s="50">
        <v>0.001585</v>
      </c>
      <c r="W36" s="50">
        <v>0.000624</v>
      </c>
      <c r="X36" s="50">
        <v>0.306439</v>
      </c>
      <c r="Y36" s="50">
        <v>0</v>
      </c>
      <c r="Z36" s="50">
        <v>0</v>
      </c>
      <c r="AA36" s="72">
        <v>36</v>
      </c>
      <c r="AB36" s="72"/>
      <c r="AC36" s="73"/>
      <c r="AD36" s="80" t="s">
        <v>423</v>
      </c>
      <c r="AE36" s="80" t="s">
        <v>603</v>
      </c>
      <c r="AF36" s="80" t="s">
        <v>762</v>
      </c>
      <c r="AG36" s="80" t="s">
        <v>904</v>
      </c>
      <c r="AH36" s="80" t="s">
        <v>1007</v>
      </c>
      <c r="AI36" s="80">
        <v>1788</v>
      </c>
      <c r="AJ36" s="80">
        <v>0</v>
      </c>
      <c r="AK36" s="80">
        <v>12</v>
      </c>
      <c r="AL36" s="80">
        <v>0</v>
      </c>
      <c r="AM36" s="80" t="s">
        <v>1155</v>
      </c>
      <c r="AN36" s="98" t="str">
        <f>HYPERLINK("https://www.youtube.com/watch?v=YElgXp6mHtY")</f>
        <v>https://www.youtube.com/watch?v=YElgXp6mHtY</v>
      </c>
      <c r="AO36" s="80" t="str">
        <f>REPLACE(INDEX(GroupVertices[Group],MATCH(Vertices[[#This Row],[Vertex]],GroupVertices[Vertex],0)),1,1,"")</f>
        <v>4</v>
      </c>
      <c r="AP36" s="49">
        <v>0</v>
      </c>
      <c r="AQ36" s="50">
        <v>0</v>
      </c>
      <c r="AR36" s="49">
        <v>0</v>
      </c>
      <c r="AS36" s="50">
        <v>0</v>
      </c>
      <c r="AT36" s="49">
        <v>0</v>
      </c>
      <c r="AU36" s="50">
        <v>0</v>
      </c>
      <c r="AV36" s="49">
        <v>36</v>
      </c>
      <c r="AW36" s="50">
        <v>100</v>
      </c>
      <c r="AX36" s="49">
        <v>36</v>
      </c>
      <c r="AY36" s="49"/>
      <c r="AZ36" s="49"/>
      <c r="BA36" s="49"/>
      <c r="BB36" s="49"/>
      <c r="BC36" s="2"/>
      <c r="BD36" s="3"/>
      <c r="BE36" s="3"/>
      <c r="BF36" s="3"/>
      <c r="BG36" s="3"/>
    </row>
    <row r="37" spans="1:59" ht="15">
      <c r="A37" s="65" t="s">
        <v>262</v>
      </c>
      <c r="B37" s="66" t="s">
        <v>1614</v>
      </c>
      <c r="C37" s="66"/>
      <c r="D37" s="67">
        <v>142.85714285714286</v>
      </c>
      <c r="E37" s="69">
        <v>56.25</v>
      </c>
      <c r="F37" s="96" t="str">
        <f>HYPERLINK("https://i.ytimg.com/vi/VqJVt09P7ts/default.jpg")</f>
        <v>https://i.ytimg.com/vi/VqJVt09P7ts/default.jpg</v>
      </c>
      <c r="G37" s="66"/>
      <c r="H37" s="70" t="s">
        <v>424</v>
      </c>
      <c r="I37" s="71"/>
      <c r="J37" s="71" t="s">
        <v>159</v>
      </c>
      <c r="K37" s="70" t="s">
        <v>424</v>
      </c>
      <c r="L37" s="74">
        <v>70.01529870558186</v>
      </c>
      <c r="M37" s="75">
        <v>8247.5830078125</v>
      </c>
      <c r="N37" s="75">
        <v>5986.876953125</v>
      </c>
      <c r="O37" s="76"/>
      <c r="P37" s="77"/>
      <c r="Q37" s="77"/>
      <c r="R37" s="82"/>
      <c r="S37" s="49">
        <v>1</v>
      </c>
      <c r="T37" s="49">
        <v>0</v>
      </c>
      <c r="U37" s="50">
        <v>0</v>
      </c>
      <c r="V37" s="50">
        <v>0.001585</v>
      </c>
      <c r="W37" s="50">
        <v>0.000624</v>
      </c>
      <c r="X37" s="50">
        <v>0.306439</v>
      </c>
      <c r="Y37" s="50">
        <v>0</v>
      </c>
      <c r="Z37" s="50">
        <v>0</v>
      </c>
      <c r="AA37" s="72">
        <v>37</v>
      </c>
      <c r="AB37" s="72"/>
      <c r="AC37" s="73"/>
      <c r="AD37" s="80" t="s">
        <v>424</v>
      </c>
      <c r="AE37" s="80" t="s">
        <v>604</v>
      </c>
      <c r="AF37" s="80" t="s">
        <v>763</v>
      </c>
      <c r="AG37" s="80" t="s">
        <v>905</v>
      </c>
      <c r="AH37" s="80" t="s">
        <v>1008</v>
      </c>
      <c r="AI37" s="80">
        <v>47238</v>
      </c>
      <c r="AJ37" s="80">
        <v>38</v>
      </c>
      <c r="AK37" s="80">
        <v>952</v>
      </c>
      <c r="AL37" s="80">
        <v>9</v>
      </c>
      <c r="AM37" s="80" t="s">
        <v>1155</v>
      </c>
      <c r="AN37" s="98" t="str">
        <f>HYPERLINK("https://www.youtube.com/watch?v=VqJVt09P7ts")</f>
        <v>https://www.youtube.com/watch?v=VqJVt09P7ts</v>
      </c>
      <c r="AO37" s="80" t="str">
        <f>REPLACE(INDEX(GroupVertices[Group],MATCH(Vertices[[#This Row],[Vertex]],GroupVertices[Vertex],0)),1,1,"")</f>
        <v>4</v>
      </c>
      <c r="AP37" s="49">
        <v>0</v>
      </c>
      <c r="AQ37" s="50">
        <v>0</v>
      </c>
      <c r="AR37" s="49">
        <v>0</v>
      </c>
      <c r="AS37" s="50">
        <v>0</v>
      </c>
      <c r="AT37" s="49">
        <v>0</v>
      </c>
      <c r="AU37" s="50">
        <v>0</v>
      </c>
      <c r="AV37" s="49">
        <v>5</v>
      </c>
      <c r="AW37" s="50">
        <v>100</v>
      </c>
      <c r="AX37" s="49">
        <v>5</v>
      </c>
      <c r="AY37" s="49"/>
      <c r="AZ37" s="49"/>
      <c r="BA37" s="49"/>
      <c r="BB37" s="49"/>
      <c r="BC37" s="2"/>
      <c r="BD37" s="3"/>
      <c r="BE37" s="3"/>
      <c r="BF37" s="3"/>
      <c r="BG37" s="3"/>
    </row>
    <row r="38" spans="1:59" ht="15">
      <c r="A38" s="65" t="s">
        <v>263</v>
      </c>
      <c r="B38" s="66" t="s">
        <v>1614</v>
      </c>
      <c r="C38" s="66"/>
      <c r="D38" s="67">
        <v>142.85714285714286</v>
      </c>
      <c r="E38" s="69">
        <v>56.25</v>
      </c>
      <c r="F38" s="96" t="str">
        <f>HYPERLINK("https://i.ytimg.com/vi/t-NXT9y04Bs/default.jpg")</f>
        <v>https://i.ytimg.com/vi/t-NXT9y04Bs/default.jpg</v>
      </c>
      <c r="G38" s="66"/>
      <c r="H38" s="70" t="s">
        <v>425</v>
      </c>
      <c r="I38" s="71"/>
      <c r="J38" s="71" t="s">
        <v>159</v>
      </c>
      <c r="K38" s="70" t="s">
        <v>425</v>
      </c>
      <c r="L38" s="74">
        <v>33.8640799549971</v>
      </c>
      <c r="M38" s="75">
        <v>8905.69140625</v>
      </c>
      <c r="N38" s="75">
        <v>6690.08251953125</v>
      </c>
      <c r="O38" s="76"/>
      <c r="P38" s="77"/>
      <c r="Q38" s="77"/>
      <c r="R38" s="82"/>
      <c r="S38" s="49">
        <v>1</v>
      </c>
      <c r="T38" s="49">
        <v>0</v>
      </c>
      <c r="U38" s="50">
        <v>0</v>
      </c>
      <c r="V38" s="50">
        <v>0.001585</v>
      </c>
      <c r="W38" s="50">
        <v>0.000624</v>
      </c>
      <c r="X38" s="50">
        <v>0.306439</v>
      </c>
      <c r="Y38" s="50">
        <v>0</v>
      </c>
      <c r="Z38" s="50">
        <v>0</v>
      </c>
      <c r="AA38" s="72">
        <v>38</v>
      </c>
      <c r="AB38" s="72"/>
      <c r="AC38" s="73"/>
      <c r="AD38" s="80" t="s">
        <v>425</v>
      </c>
      <c r="AE38" s="80" t="s">
        <v>605</v>
      </c>
      <c r="AF38" s="80" t="s">
        <v>764</v>
      </c>
      <c r="AG38" s="80" t="s">
        <v>906</v>
      </c>
      <c r="AH38" s="80" t="s">
        <v>1009</v>
      </c>
      <c r="AI38" s="80">
        <v>22504</v>
      </c>
      <c r="AJ38" s="80">
        <v>28</v>
      </c>
      <c r="AK38" s="80">
        <v>675</v>
      </c>
      <c r="AL38" s="80">
        <v>10</v>
      </c>
      <c r="AM38" s="80" t="s">
        <v>1155</v>
      </c>
      <c r="AN38" s="98" t="str">
        <f>HYPERLINK("https://www.youtube.com/watch?v=t-NXT9y04Bs")</f>
        <v>https://www.youtube.com/watch?v=t-NXT9y04Bs</v>
      </c>
      <c r="AO38" s="80" t="str">
        <f>REPLACE(INDEX(GroupVertices[Group],MATCH(Vertices[[#This Row],[Vertex]],GroupVertices[Vertex],0)),1,1,"")</f>
        <v>4</v>
      </c>
      <c r="AP38" s="49">
        <v>0</v>
      </c>
      <c r="AQ38" s="50">
        <v>0</v>
      </c>
      <c r="AR38" s="49">
        <v>0</v>
      </c>
      <c r="AS38" s="50">
        <v>0</v>
      </c>
      <c r="AT38" s="49">
        <v>0</v>
      </c>
      <c r="AU38" s="50">
        <v>0</v>
      </c>
      <c r="AV38" s="49">
        <v>12</v>
      </c>
      <c r="AW38" s="50">
        <v>100</v>
      </c>
      <c r="AX38" s="49">
        <v>12</v>
      </c>
      <c r="AY38" s="49"/>
      <c r="AZ38" s="49"/>
      <c r="BA38" s="49"/>
      <c r="BB38" s="49"/>
      <c r="BC38" s="2"/>
      <c r="BD38" s="3"/>
      <c r="BE38" s="3"/>
      <c r="BF38" s="3"/>
      <c r="BG38" s="3"/>
    </row>
    <row r="39" spans="1:59" ht="15">
      <c r="A39" s="65" t="s">
        <v>264</v>
      </c>
      <c r="B39" s="66" t="s">
        <v>1614</v>
      </c>
      <c r="C39" s="66"/>
      <c r="D39" s="67">
        <v>142.85714285714286</v>
      </c>
      <c r="E39" s="69">
        <v>56.25</v>
      </c>
      <c r="F39" s="96" t="str">
        <f>HYPERLINK("https://i.ytimg.com/vi/qE8BlRPAPkY/default.jpg")</f>
        <v>https://i.ytimg.com/vi/qE8BlRPAPkY/default.jpg</v>
      </c>
      <c r="G39" s="66"/>
      <c r="H39" s="70" t="s">
        <v>426</v>
      </c>
      <c r="I39" s="71"/>
      <c r="J39" s="71" t="s">
        <v>159</v>
      </c>
      <c r="K39" s="70" t="s">
        <v>426</v>
      </c>
      <c r="L39" s="74">
        <v>1.3858624464362568</v>
      </c>
      <c r="M39" s="75">
        <v>8905.69140625</v>
      </c>
      <c r="N39" s="75">
        <v>9502.9033203125</v>
      </c>
      <c r="O39" s="76"/>
      <c r="P39" s="77"/>
      <c r="Q39" s="77"/>
      <c r="R39" s="82"/>
      <c r="S39" s="49">
        <v>1</v>
      </c>
      <c r="T39" s="49">
        <v>0</v>
      </c>
      <c r="U39" s="50">
        <v>0</v>
      </c>
      <c r="V39" s="50">
        <v>0.001585</v>
      </c>
      <c r="W39" s="50">
        <v>0.000624</v>
      </c>
      <c r="X39" s="50">
        <v>0.306439</v>
      </c>
      <c r="Y39" s="50">
        <v>0</v>
      </c>
      <c r="Z39" s="50">
        <v>0</v>
      </c>
      <c r="AA39" s="72">
        <v>39</v>
      </c>
      <c r="AB39" s="72"/>
      <c r="AC39" s="73"/>
      <c r="AD39" s="80" t="s">
        <v>426</v>
      </c>
      <c r="AE39" s="80" t="s">
        <v>606</v>
      </c>
      <c r="AF39" s="80" t="s">
        <v>765</v>
      </c>
      <c r="AG39" s="80" t="s">
        <v>907</v>
      </c>
      <c r="AH39" s="80" t="s">
        <v>1010</v>
      </c>
      <c r="AI39" s="80">
        <v>283</v>
      </c>
      <c r="AJ39" s="80">
        <v>0</v>
      </c>
      <c r="AK39" s="80">
        <v>2</v>
      </c>
      <c r="AL39" s="80">
        <v>0</v>
      </c>
      <c r="AM39" s="80" t="s">
        <v>1155</v>
      </c>
      <c r="AN39" s="98" t="str">
        <f>HYPERLINK("https://www.youtube.com/watch?v=qE8BlRPAPkY")</f>
        <v>https://www.youtube.com/watch?v=qE8BlRPAPkY</v>
      </c>
      <c r="AO39" s="80" t="str">
        <f>REPLACE(INDEX(GroupVertices[Group],MATCH(Vertices[[#This Row],[Vertex]],GroupVertices[Vertex],0)),1,1,"")</f>
        <v>4</v>
      </c>
      <c r="AP39" s="49">
        <v>0</v>
      </c>
      <c r="AQ39" s="50">
        <v>0</v>
      </c>
      <c r="AR39" s="49">
        <v>0</v>
      </c>
      <c r="AS39" s="50">
        <v>0</v>
      </c>
      <c r="AT39" s="49">
        <v>0</v>
      </c>
      <c r="AU39" s="50">
        <v>0</v>
      </c>
      <c r="AV39" s="49">
        <v>1</v>
      </c>
      <c r="AW39" s="50">
        <v>100</v>
      </c>
      <c r="AX39" s="49">
        <v>1</v>
      </c>
      <c r="AY39" s="49"/>
      <c r="AZ39" s="49"/>
      <c r="BA39" s="49"/>
      <c r="BB39" s="49"/>
      <c r="BC39" s="2"/>
      <c r="BD39" s="3"/>
      <c r="BE39" s="3"/>
      <c r="BF39" s="3"/>
      <c r="BG39" s="3"/>
    </row>
    <row r="40" spans="1:59" ht="15">
      <c r="A40" s="65" t="s">
        <v>265</v>
      </c>
      <c r="B40" s="66" t="s">
        <v>1614</v>
      </c>
      <c r="C40" s="66"/>
      <c r="D40" s="67">
        <v>142.85714285714286</v>
      </c>
      <c r="E40" s="69">
        <v>56.25</v>
      </c>
      <c r="F40" s="96" t="str">
        <f>HYPERLINK("https://i.ytimg.com/vi/17vBj5PkW3o/default.jpg")</f>
        <v>https://i.ytimg.com/vi/17vBj5PkW3o/default.jpg</v>
      </c>
      <c r="G40" s="66"/>
      <c r="H40" s="70" t="s">
        <v>427</v>
      </c>
      <c r="I40" s="71"/>
      <c r="J40" s="71" t="s">
        <v>159</v>
      </c>
      <c r="K40" s="70" t="s">
        <v>427</v>
      </c>
      <c r="L40" s="74">
        <v>5.324874920473045</v>
      </c>
      <c r="M40" s="75">
        <v>8905.69140625</v>
      </c>
      <c r="N40" s="75">
        <v>8096.49267578125</v>
      </c>
      <c r="O40" s="76"/>
      <c r="P40" s="77"/>
      <c r="Q40" s="77"/>
      <c r="R40" s="82"/>
      <c r="S40" s="49">
        <v>1</v>
      </c>
      <c r="T40" s="49">
        <v>0</v>
      </c>
      <c r="U40" s="50">
        <v>0</v>
      </c>
      <c r="V40" s="50">
        <v>0.001585</v>
      </c>
      <c r="W40" s="50">
        <v>0.000624</v>
      </c>
      <c r="X40" s="50">
        <v>0.306439</v>
      </c>
      <c r="Y40" s="50">
        <v>0</v>
      </c>
      <c r="Z40" s="50">
        <v>0</v>
      </c>
      <c r="AA40" s="72">
        <v>40</v>
      </c>
      <c r="AB40" s="72"/>
      <c r="AC40" s="73"/>
      <c r="AD40" s="80" t="s">
        <v>427</v>
      </c>
      <c r="AE40" s="80" t="s">
        <v>607</v>
      </c>
      <c r="AF40" s="80" t="s">
        <v>766</v>
      </c>
      <c r="AG40" s="80" t="s">
        <v>908</v>
      </c>
      <c r="AH40" s="80" t="s">
        <v>1011</v>
      </c>
      <c r="AI40" s="80">
        <v>2978</v>
      </c>
      <c r="AJ40" s="80">
        <v>0</v>
      </c>
      <c r="AK40" s="80">
        <v>17</v>
      </c>
      <c r="AL40" s="80">
        <v>1</v>
      </c>
      <c r="AM40" s="80" t="s">
        <v>1155</v>
      </c>
      <c r="AN40" s="98" t="str">
        <f>HYPERLINK("https://www.youtube.com/watch?v=17vBj5PkW3o")</f>
        <v>https://www.youtube.com/watch?v=17vBj5PkW3o</v>
      </c>
      <c r="AO40" s="80" t="str">
        <f>REPLACE(INDEX(GroupVertices[Group],MATCH(Vertices[[#This Row],[Vertex]],GroupVertices[Vertex],0)),1,1,"")</f>
        <v>4</v>
      </c>
      <c r="AP40" s="49">
        <v>0</v>
      </c>
      <c r="AQ40" s="50">
        <v>0</v>
      </c>
      <c r="AR40" s="49">
        <v>0</v>
      </c>
      <c r="AS40" s="50">
        <v>0</v>
      </c>
      <c r="AT40" s="49">
        <v>0</v>
      </c>
      <c r="AU40" s="50">
        <v>0</v>
      </c>
      <c r="AV40" s="49">
        <v>22</v>
      </c>
      <c r="AW40" s="50">
        <v>100</v>
      </c>
      <c r="AX40" s="49">
        <v>22</v>
      </c>
      <c r="AY40" s="49"/>
      <c r="AZ40" s="49"/>
      <c r="BA40" s="49"/>
      <c r="BB40" s="49"/>
      <c r="BC40" s="2"/>
      <c r="BD40" s="3"/>
      <c r="BE40" s="3"/>
      <c r="BF40" s="3"/>
      <c r="BG40" s="3"/>
    </row>
    <row r="41" spans="1:59" ht="15">
      <c r="A41" s="65" t="s">
        <v>266</v>
      </c>
      <c r="B41" s="66" t="s">
        <v>1614</v>
      </c>
      <c r="C41" s="66"/>
      <c r="D41" s="67">
        <v>142.85714285714286</v>
      </c>
      <c r="E41" s="69">
        <v>56.25</v>
      </c>
      <c r="F41" s="96" t="str">
        <f>HYPERLINK("https://i.ytimg.com/vi/lzMkFhHffqs/default.jpg")</f>
        <v>https://i.ytimg.com/vi/lzMkFhHffqs/default.jpg</v>
      </c>
      <c r="G41" s="66"/>
      <c r="H41" s="70" t="s">
        <v>428</v>
      </c>
      <c r="I41" s="71"/>
      <c r="J41" s="71" t="s">
        <v>159</v>
      </c>
      <c r="K41" s="70" t="s">
        <v>428</v>
      </c>
      <c r="L41" s="74">
        <v>8.439544895305103</v>
      </c>
      <c r="M41" s="75">
        <v>8247.5830078125</v>
      </c>
      <c r="N41" s="75">
        <v>7393.28759765625</v>
      </c>
      <c r="O41" s="76"/>
      <c r="P41" s="77"/>
      <c r="Q41" s="77"/>
      <c r="R41" s="82"/>
      <c r="S41" s="49">
        <v>1</v>
      </c>
      <c r="T41" s="49">
        <v>0</v>
      </c>
      <c r="U41" s="50">
        <v>0</v>
      </c>
      <c r="V41" s="50">
        <v>0.001585</v>
      </c>
      <c r="W41" s="50">
        <v>0.000624</v>
      </c>
      <c r="X41" s="50">
        <v>0.306439</v>
      </c>
      <c r="Y41" s="50">
        <v>0</v>
      </c>
      <c r="Z41" s="50">
        <v>0</v>
      </c>
      <c r="AA41" s="72">
        <v>41</v>
      </c>
      <c r="AB41" s="72"/>
      <c r="AC41" s="73"/>
      <c r="AD41" s="80" t="s">
        <v>428</v>
      </c>
      <c r="AE41" s="80" t="s">
        <v>608</v>
      </c>
      <c r="AF41" s="80" t="s">
        <v>767</v>
      </c>
      <c r="AG41" s="80" t="s">
        <v>909</v>
      </c>
      <c r="AH41" s="80" t="s">
        <v>1012</v>
      </c>
      <c r="AI41" s="80">
        <v>5109</v>
      </c>
      <c r="AJ41" s="80">
        <v>5</v>
      </c>
      <c r="AK41" s="80">
        <v>177</v>
      </c>
      <c r="AL41" s="80">
        <v>7</v>
      </c>
      <c r="AM41" s="80" t="s">
        <v>1155</v>
      </c>
      <c r="AN41" s="98" t="str">
        <f>HYPERLINK("https://www.youtube.com/watch?v=lzMkFhHffqs")</f>
        <v>https://www.youtube.com/watch?v=lzMkFhHffqs</v>
      </c>
      <c r="AO41" s="80" t="str">
        <f>REPLACE(INDEX(GroupVertices[Group],MATCH(Vertices[[#This Row],[Vertex]],GroupVertices[Vertex],0)),1,1,"")</f>
        <v>4</v>
      </c>
      <c r="AP41" s="49">
        <v>0</v>
      </c>
      <c r="AQ41" s="50">
        <v>0</v>
      </c>
      <c r="AR41" s="49">
        <v>0</v>
      </c>
      <c r="AS41" s="50">
        <v>0</v>
      </c>
      <c r="AT41" s="49">
        <v>0</v>
      </c>
      <c r="AU41" s="50">
        <v>0</v>
      </c>
      <c r="AV41" s="49">
        <v>16</v>
      </c>
      <c r="AW41" s="50">
        <v>100</v>
      </c>
      <c r="AX41" s="49">
        <v>16</v>
      </c>
      <c r="AY41" s="49"/>
      <c r="AZ41" s="49"/>
      <c r="BA41" s="49"/>
      <c r="BB41" s="49"/>
      <c r="BC41" s="2"/>
      <c r="BD41" s="3"/>
      <c r="BE41" s="3"/>
      <c r="BF41" s="3"/>
      <c r="BG41" s="3"/>
    </row>
    <row r="42" spans="1:59" ht="15">
      <c r="A42" s="65" t="s">
        <v>267</v>
      </c>
      <c r="B42" s="66" t="s">
        <v>1614</v>
      </c>
      <c r="C42" s="66"/>
      <c r="D42" s="67">
        <v>142.85714285714286</v>
      </c>
      <c r="E42" s="69">
        <v>56.25</v>
      </c>
      <c r="F42" s="96" t="str">
        <f>HYPERLINK("https://i.ytimg.com/vi/KZIjTbN6fck/default.jpg")</f>
        <v>https://i.ytimg.com/vi/KZIjTbN6fck/default.jpg</v>
      </c>
      <c r="G42" s="66"/>
      <c r="H42" s="70" t="s">
        <v>429</v>
      </c>
      <c r="I42" s="71"/>
      <c r="J42" s="71" t="s">
        <v>159</v>
      </c>
      <c r="K42" s="70" t="s">
        <v>429</v>
      </c>
      <c r="L42" s="74">
        <v>3.1850922629628937</v>
      </c>
      <c r="M42" s="75">
        <v>8905.69140625</v>
      </c>
      <c r="N42" s="75">
        <v>8799.6982421875</v>
      </c>
      <c r="O42" s="76"/>
      <c r="P42" s="77"/>
      <c r="Q42" s="77"/>
      <c r="R42" s="82"/>
      <c r="S42" s="49">
        <v>1</v>
      </c>
      <c r="T42" s="49">
        <v>0</v>
      </c>
      <c r="U42" s="50">
        <v>0</v>
      </c>
      <c r="V42" s="50">
        <v>0.001585</v>
      </c>
      <c r="W42" s="50">
        <v>0.000624</v>
      </c>
      <c r="X42" s="50">
        <v>0.306439</v>
      </c>
      <c r="Y42" s="50">
        <v>0</v>
      </c>
      <c r="Z42" s="50">
        <v>0</v>
      </c>
      <c r="AA42" s="72">
        <v>42</v>
      </c>
      <c r="AB42" s="72"/>
      <c r="AC42" s="73"/>
      <c r="AD42" s="80" t="s">
        <v>429</v>
      </c>
      <c r="AE42" s="80" t="s">
        <v>609</v>
      </c>
      <c r="AF42" s="80" t="s">
        <v>768</v>
      </c>
      <c r="AG42" s="80" t="s">
        <v>910</v>
      </c>
      <c r="AH42" s="80" t="s">
        <v>1013</v>
      </c>
      <c r="AI42" s="80">
        <v>1514</v>
      </c>
      <c r="AJ42" s="80">
        <v>0</v>
      </c>
      <c r="AK42" s="80">
        <v>27</v>
      </c>
      <c r="AL42" s="80">
        <v>0</v>
      </c>
      <c r="AM42" s="80" t="s">
        <v>1155</v>
      </c>
      <c r="AN42" s="98" t="str">
        <f>HYPERLINK("https://www.youtube.com/watch?v=KZIjTbN6fck")</f>
        <v>https://www.youtube.com/watch?v=KZIjTbN6fck</v>
      </c>
      <c r="AO42" s="80" t="str">
        <f>REPLACE(INDEX(GroupVertices[Group],MATCH(Vertices[[#This Row],[Vertex]],GroupVertices[Vertex],0)),1,1,"")</f>
        <v>4</v>
      </c>
      <c r="AP42" s="49">
        <v>0</v>
      </c>
      <c r="AQ42" s="50">
        <v>0</v>
      </c>
      <c r="AR42" s="49">
        <v>0</v>
      </c>
      <c r="AS42" s="50">
        <v>0</v>
      </c>
      <c r="AT42" s="49">
        <v>0</v>
      </c>
      <c r="AU42" s="50">
        <v>0</v>
      </c>
      <c r="AV42" s="49">
        <v>6</v>
      </c>
      <c r="AW42" s="50">
        <v>100</v>
      </c>
      <c r="AX42" s="49">
        <v>6</v>
      </c>
      <c r="AY42" s="49"/>
      <c r="AZ42" s="49"/>
      <c r="BA42" s="49"/>
      <c r="BB42" s="49"/>
      <c r="BC42" s="2"/>
      <c r="BD42" s="3"/>
      <c r="BE42" s="3"/>
      <c r="BF42" s="3"/>
      <c r="BG42" s="3"/>
    </row>
    <row r="43" spans="1:59" ht="15">
      <c r="A43" s="65" t="s">
        <v>268</v>
      </c>
      <c r="B43" s="66" t="s">
        <v>1614</v>
      </c>
      <c r="C43" s="66"/>
      <c r="D43" s="67">
        <v>142.85714285714286</v>
      </c>
      <c r="E43" s="69">
        <v>56.25</v>
      </c>
      <c r="F43" s="96" t="str">
        <f>HYPERLINK("https://i.ytimg.com/vi/sRgyfe0N598/default.jpg")</f>
        <v>https://i.ytimg.com/vi/sRgyfe0N598/default.jpg</v>
      </c>
      <c r="G43" s="66"/>
      <c r="H43" s="70" t="s">
        <v>430</v>
      </c>
      <c r="I43" s="71"/>
      <c r="J43" s="71" t="s">
        <v>159</v>
      </c>
      <c r="K43" s="70" t="s">
        <v>430</v>
      </c>
      <c r="L43" s="74">
        <v>1.5714856687749106</v>
      </c>
      <c r="M43" s="75">
        <v>9563.7998046875</v>
      </c>
      <c r="N43" s="75">
        <v>9502.9033203125</v>
      </c>
      <c r="O43" s="76"/>
      <c r="P43" s="77"/>
      <c r="Q43" s="77"/>
      <c r="R43" s="82"/>
      <c r="S43" s="49">
        <v>1</v>
      </c>
      <c r="T43" s="49">
        <v>0</v>
      </c>
      <c r="U43" s="50">
        <v>0</v>
      </c>
      <c r="V43" s="50">
        <v>0.001585</v>
      </c>
      <c r="W43" s="50">
        <v>0.000624</v>
      </c>
      <c r="X43" s="50">
        <v>0.306439</v>
      </c>
      <c r="Y43" s="50">
        <v>0</v>
      </c>
      <c r="Z43" s="50">
        <v>0</v>
      </c>
      <c r="AA43" s="72">
        <v>43</v>
      </c>
      <c r="AB43" s="72"/>
      <c r="AC43" s="73"/>
      <c r="AD43" s="80" t="s">
        <v>430</v>
      </c>
      <c r="AE43" s="80" t="s">
        <v>610</v>
      </c>
      <c r="AF43" s="80"/>
      <c r="AG43" s="80" t="s">
        <v>911</v>
      </c>
      <c r="AH43" s="80" t="s">
        <v>1014</v>
      </c>
      <c r="AI43" s="80">
        <v>410</v>
      </c>
      <c r="AJ43" s="80">
        <v>4</v>
      </c>
      <c r="AK43" s="80">
        <v>13</v>
      </c>
      <c r="AL43" s="80">
        <v>0</v>
      </c>
      <c r="AM43" s="80" t="s">
        <v>1155</v>
      </c>
      <c r="AN43" s="98" t="str">
        <f>HYPERLINK("https://www.youtube.com/watch?v=sRgyfe0N598")</f>
        <v>https://www.youtube.com/watch?v=sRgyfe0N598</v>
      </c>
      <c r="AO43" s="80" t="str">
        <f>REPLACE(INDEX(GroupVertices[Group],MATCH(Vertices[[#This Row],[Vertex]],GroupVertices[Vertex],0)),1,1,"")</f>
        <v>4</v>
      </c>
      <c r="AP43" s="49"/>
      <c r="AQ43" s="50"/>
      <c r="AR43" s="49"/>
      <c r="AS43" s="50"/>
      <c r="AT43" s="49"/>
      <c r="AU43" s="50"/>
      <c r="AV43" s="49"/>
      <c r="AW43" s="50"/>
      <c r="AX43" s="49"/>
      <c r="AY43" s="49"/>
      <c r="AZ43" s="49"/>
      <c r="BA43" s="49"/>
      <c r="BB43" s="49"/>
      <c r="BC43" s="2"/>
      <c r="BD43" s="3"/>
      <c r="BE43" s="3"/>
      <c r="BF43" s="3"/>
      <c r="BG43" s="3"/>
    </row>
    <row r="44" spans="1:59" ht="15">
      <c r="A44" s="65" t="s">
        <v>201</v>
      </c>
      <c r="B44" s="66" t="s">
        <v>1617</v>
      </c>
      <c r="C44" s="66"/>
      <c r="D44" s="67">
        <v>914.2857142857143</v>
      </c>
      <c r="E44" s="69">
        <v>100</v>
      </c>
      <c r="F44" s="96" t="str">
        <f>HYPERLINK("https://i.ytimg.com/vi/w9NG7C6O9mg/default.jpg")</f>
        <v>https://i.ytimg.com/vi/w9NG7C6O9mg/default.jpg</v>
      </c>
      <c r="G44" s="66"/>
      <c r="H44" s="70" t="s">
        <v>431</v>
      </c>
      <c r="I44" s="71"/>
      <c r="J44" s="71" t="s">
        <v>75</v>
      </c>
      <c r="K44" s="70" t="s">
        <v>431</v>
      </c>
      <c r="L44" s="74">
        <v>10.32793232256133</v>
      </c>
      <c r="M44" s="75">
        <v>7225.92236328125</v>
      </c>
      <c r="N44" s="75">
        <v>3603.324462890625</v>
      </c>
      <c r="O44" s="76"/>
      <c r="P44" s="77"/>
      <c r="Q44" s="77"/>
      <c r="R44" s="82"/>
      <c r="S44" s="49">
        <v>19</v>
      </c>
      <c r="T44" s="49">
        <v>13</v>
      </c>
      <c r="U44" s="50">
        <v>3579.101971</v>
      </c>
      <c r="V44" s="50">
        <v>0.002481</v>
      </c>
      <c r="W44" s="50">
        <v>0.028763</v>
      </c>
      <c r="X44" s="50">
        <v>3.798688</v>
      </c>
      <c r="Y44" s="50">
        <v>0.3492063492063492</v>
      </c>
      <c r="Z44" s="50">
        <v>0.14285714285714285</v>
      </c>
      <c r="AA44" s="72">
        <v>44</v>
      </c>
      <c r="AB44" s="72"/>
      <c r="AC44" s="73"/>
      <c r="AD44" s="80" t="s">
        <v>431</v>
      </c>
      <c r="AE44" s="80" t="s">
        <v>611</v>
      </c>
      <c r="AF44" s="80" t="s">
        <v>769</v>
      </c>
      <c r="AG44" s="80" t="s">
        <v>912</v>
      </c>
      <c r="AH44" s="80" t="s">
        <v>1015</v>
      </c>
      <c r="AI44" s="80">
        <v>6401</v>
      </c>
      <c r="AJ44" s="80">
        <v>11</v>
      </c>
      <c r="AK44" s="80">
        <v>52</v>
      </c>
      <c r="AL44" s="80">
        <v>0</v>
      </c>
      <c r="AM44" s="80" t="s">
        <v>1155</v>
      </c>
      <c r="AN44" s="98" t="str">
        <f>HYPERLINK("https://www.youtube.com/watch?v=w9NG7C6O9mg")</f>
        <v>https://www.youtube.com/watch?v=w9NG7C6O9mg</v>
      </c>
      <c r="AO44" s="80" t="str">
        <f>REPLACE(INDEX(GroupVertices[Group],MATCH(Vertices[[#This Row],[Vertex]],GroupVertices[Vertex],0)),1,1,"")</f>
        <v>5</v>
      </c>
      <c r="AP44" s="49">
        <v>2</v>
      </c>
      <c r="AQ44" s="50">
        <v>8.333333333333334</v>
      </c>
      <c r="AR44" s="49">
        <v>0</v>
      </c>
      <c r="AS44" s="50">
        <v>0</v>
      </c>
      <c r="AT44" s="49">
        <v>0</v>
      </c>
      <c r="AU44" s="50">
        <v>0</v>
      </c>
      <c r="AV44" s="49">
        <v>22</v>
      </c>
      <c r="AW44" s="50">
        <v>91.66666666666667</v>
      </c>
      <c r="AX44" s="49">
        <v>24</v>
      </c>
      <c r="AY44" s="111" t="s">
        <v>1608</v>
      </c>
      <c r="AZ44" s="111" t="s">
        <v>1608</v>
      </c>
      <c r="BA44" s="111" t="s">
        <v>1608</v>
      </c>
      <c r="BB44" s="111" t="s">
        <v>1608</v>
      </c>
      <c r="BC44" s="2"/>
      <c r="BD44" s="3"/>
      <c r="BE44" s="3"/>
      <c r="BF44" s="3"/>
      <c r="BG44" s="3"/>
    </row>
    <row r="45" spans="1:59" ht="15">
      <c r="A45" s="65" t="s">
        <v>269</v>
      </c>
      <c r="B45" s="66" t="s">
        <v>1614</v>
      </c>
      <c r="C45" s="66"/>
      <c r="D45" s="67">
        <v>142.85714285714286</v>
      </c>
      <c r="E45" s="69">
        <v>56.25</v>
      </c>
      <c r="F45" s="96" t="str">
        <f>HYPERLINK("https://i.ytimg.com/vi/QhH4CD1c8xQ/default.jpg")</f>
        <v>https://i.ytimg.com/vi/QhH4CD1c8xQ/default.jpg</v>
      </c>
      <c r="G45" s="66"/>
      <c r="H45" s="70" t="s">
        <v>432</v>
      </c>
      <c r="I45" s="71"/>
      <c r="J45" s="71" t="s">
        <v>159</v>
      </c>
      <c r="K45" s="70" t="s">
        <v>432</v>
      </c>
      <c r="L45" s="74">
        <v>3.91004595020677</v>
      </c>
      <c r="M45" s="75">
        <v>6005.23779296875</v>
      </c>
      <c r="N45" s="75">
        <v>4358.30712890625</v>
      </c>
      <c r="O45" s="76"/>
      <c r="P45" s="77"/>
      <c r="Q45" s="77"/>
      <c r="R45" s="82"/>
      <c r="S45" s="49">
        <v>1</v>
      </c>
      <c r="T45" s="49">
        <v>0</v>
      </c>
      <c r="U45" s="50">
        <v>0</v>
      </c>
      <c r="V45" s="50">
        <v>0.001715</v>
      </c>
      <c r="W45" s="50">
        <v>0.001253</v>
      </c>
      <c r="X45" s="50">
        <v>0.265317</v>
      </c>
      <c r="Y45" s="50">
        <v>0</v>
      </c>
      <c r="Z45" s="50">
        <v>0</v>
      </c>
      <c r="AA45" s="72">
        <v>45</v>
      </c>
      <c r="AB45" s="72"/>
      <c r="AC45" s="73"/>
      <c r="AD45" s="80" t="s">
        <v>432</v>
      </c>
      <c r="AE45" s="80" t="s">
        <v>612</v>
      </c>
      <c r="AF45" s="80" t="s">
        <v>770</v>
      </c>
      <c r="AG45" s="80" t="s">
        <v>913</v>
      </c>
      <c r="AH45" s="80" t="s">
        <v>1016</v>
      </c>
      <c r="AI45" s="80">
        <v>2010</v>
      </c>
      <c r="AJ45" s="80">
        <v>0</v>
      </c>
      <c r="AK45" s="80">
        <v>18</v>
      </c>
      <c r="AL45" s="80">
        <v>0</v>
      </c>
      <c r="AM45" s="80" t="s">
        <v>1155</v>
      </c>
      <c r="AN45" s="98" t="str">
        <f>HYPERLINK("https://www.youtube.com/watch?v=QhH4CD1c8xQ")</f>
        <v>https://www.youtube.com/watch?v=QhH4CD1c8xQ</v>
      </c>
      <c r="AO45" s="80" t="str">
        <f>REPLACE(INDEX(GroupVertices[Group],MATCH(Vertices[[#This Row],[Vertex]],GroupVertices[Vertex],0)),1,1,"")</f>
        <v>5</v>
      </c>
      <c r="AP45" s="49">
        <v>0</v>
      </c>
      <c r="AQ45" s="50">
        <v>0</v>
      </c>
      <c r="AR45" s="49">
        <v>0</v>
      </c>
      <c r="AS45" s="50">
        <v>0</v>
      </c>
      <c r="AT45" s="49">
        <v>0</v>
      </c>
      <c r="AU45" s="50">
        <v>0</v>
      </c>
      <c r="AV45" s="49">
        <v>4</v>
      </c>
      <c r="AW45" s="50">
        <v>100</v>
      </c>
      <c r="AX45" s="49">
        <v>4</v>
      </c>
      <c r="AY45" s="49"/>
      <c r="AZ45" s="49"/>
      <c r="BA45" s="49"/>
      <c r="BB45" s="49"/>
      <c r="BC45" s="2"/>
      <c r="BD45" s="3"/>
      <c r="BE45" s="3"/>
      <c r="BF45" s="3"/>
      <c r="BG45" s="3"/>
    </row>
    <row r="46" spans="1:59" ht="15">
      <c r="A46" s="65" t="s">
        <v>270</v>
      </c>
      <c r="B46" s="66" t="s">
        <v>1614</v>
      </c>
      <c r="C46" s="66"/>
      <c r="D46" s="67">
        <v>142.85714285714286</v>
      </c>
      <c r="E46" s="69">
        <v>56.25</v>
      </c>
      <c r="F46" s="96" t="str">
        <f>HYPERLINK("https://i.ytimg.com/vi/n53w-rU-kzk/default.jpg")</f>
        <v>https://i.ytimg.com/vi/n53w-rU-kzk/default.jpg</v>
      </c>
      <c r="G46" s="66"/>
      <c r="H46" s="70" t="s">
        <v>433</v>
      </c>
      <c r="I46" s="71"/>
      <c r="J46" s="71" t="s">
        <v>159</v>
      </c>
      <c r="K46" s="70" t="s">
        <v>433</v>
      </c>
      <c r="L46" s="74">
        <v>7.00133032222451</v>
      </c>
      <c r="M46" s="75">
        <v>7836.265625</v>
      </c>
      <c r="N46" s="75">
        <v>4358.30712890625</v>
      </c>
      <c r="O46" s="76"/>
      <c r="P46" s="77"/>
      <c r="Q46" s="77"/>
      <c r="R46" s="82"/>
      <c r="S46" s="49">
        <v>1</v>
      </c>
      <c r="T46" s="49">
        <v>0</v>
      </c>
      <c r="U46" s="50">
        <v>0</v>
      </c>
      <c r="V46" s="50">
        <v>0.001715</v>
      </c>
      <c r="W46" s="50">
        <v>0.001253</v>
      </c>
      <c r="X46" s="50">
        <v>0.265317</v>
      </c>
      <c r="Y46" s="50">
        <v>0</v>
      </c>
      <c r="Z46" s="50">
        <v>0</v>
      </c>
      <c r="AA46" s="72">
        <v>46</v>
      </c>
      <c r="AB46" s="72"/>
      <c r="AC46" s="73"/>
      <c r="AD46" s="80" t="s">
        <v>433</v>
      </c>
      <c r="AE46" s="80" t="s">
        <v>613</v>
      </c>
      <c r="AF46" s="80" t="s">
        <v>771</v>
      </c>
      <c r="AG46" s="80" t="s">
        <v>912</v>
      </c>
      <c r="AH46" s="80" t="s">
        <v>1017</v>
      </c>
      <c r="AI46" s="80">
        <v>4125</v>
      </c>
      <c r="AJ46" s="80">
        <v>5</v>
      </c>
      <c r="AK46" s="80">
        <v>39</v>
      </c>
      <c r="AL46" s="80">
        <v>0</v>
      </c>
      <c r="AM46" s="80" t="s">
        <v>1155</v>
      </c>
      <c r="AN46" s="98" t="str">
        <f>HYPERLINK("https://www.youtube.com/watch?v=n53w-rU-kzk")</f>
        <v>https://www.youtube.com/watch?v=n53w-rU-kzk</v>
      </c>
      <c r="AO46" s="80" t="str">
        <f>REPLACE(INDEX(GroupVertices[Group],MATCH(Vertices[[#This Row],[Vertex]],GroupVertices[Vertex],0)),1,1,"")</f>
        <v>5</v>
      </c>
      <c r="AP46" s="49">
        <v>0</v>
      </c>
      <c r="AQ46" s="50">
        <v>0</v>
      </c>
      <c r="AR46" s="49">
        <v>0</v>
      </c>
      <c r="AS46" s="50">
        <v>0</v>
      </c>
      <c r="AT46" s="49">
        <v>0</v>
      </c>
      <c r="AU46" s="50">
        <v>0</v>
      </c>
      <c r="AV46" s="49">
        <v>19</v>
      </c>
      <c r="AW46" s="50">
        <v>100</v>
      </c>
      <c r="AX46" s="49">
        <v>19</v>
      </c>
      <c r="AY46" s="49"/>
      <c r="AZ46" s="49"/>
      <c r="BA46" s="49"/>
      <c r="BB46" s="49"/>
      <c r="BC46" s="2"/>
      <c r="BD46" s="3"/>
      <c r="BE46" s="3"/>
      <c r="BF46" s="3"/>
      <c r="BG46" s="3"/>
    </row>
    <row r="47" spans="1:59" ht="15">
      <c r="A47" s="65" t="s">
        <v>271</v>
      </c>
      <c r="B47" s="66" t="s">
        <v>1614</v>
      </c>
      <c r="C47" s="66"/>
      <c r="D47" s="67">
        <v>142.85714285714286</v>
      </c>
      <c r="E47" s="69">
        <v>56.25</v>
      </c>
      <c r="F47" s="96" t="str">
        <f>HYPERLINK("https://i.ytimg.com/vi/n2aGOi1mEZw/default.jpg")</f>
        <v>https://i.ytimg.com/vi/n2aGOi1mEZw/default.jpg</v>
      </c>
      <c r="G47" s="66"/>
      <c r="H47" s="70" t="s">
        <v>434</v>
      </c>
      <c r="I47" s="71"/>
      <c r="J47" s="71" t="s">
        <v>159</v>
      </c>
      <c r="K47" s="70" t="s">
        <v>434</v>
      </c>
      <c r="L47" s="74">
        <v>6.273453434628843</v>
      </c>
      <c r="M47" s="75">
        <v>7225.92236328125</v>
      </c>
      <c r="N47" s="75">
        <v>4358.30712890625</v>
      </c>
      <c r="O47" s="76"/>
      <c r="P47" s="77"/>
      <c r="Q47" s="77"/>
      <c r="R47" s="82"/>
      <c r="S47" s="49">
        <v>1</v>
      </c>
      <c r="T47" s="49">
        <v>0</v>
      </c>
      <c r="U47" s="50">
        <v>0</v>
      </c>
      <c r="V47" s="50">
        <v>0.001715</v>
      </c>
      <c r="W47" s="50">
        <v>0.001253</v>
      </c>
      <c r="X47" s="50">
        <v>0.265317</v>
      </c>
      <c r="Y47" s="50">
        <v>0</v>
      </c>
      <c r="Z47" s="50">
        <v>0</v>
      </c>
      <c r="AA47" s="72">
        <v>47</v>
      </c>
      <c r="AB47" s="72"/>
      <c r="AC47" s="73"/>
      <c r="AD47" s="80" t="s">
        <v>434</v>
      </c>
      <c r="AE47" s="80" t="s">
        <v>614</v>
      </c>
      <c r="AF47" s="80" t="s">
        <v>772</v>
      </c>
      <c r="AG47" s="80" t="s">
        <v>912</v>
      </c>
      <c r="AH47" s="80" t="s">
        <v>1018</v>
      </c>
      <c r="AI47" s="80">
        <v>3627</v>
      </c>
      <c r="AJ47" s="80">
        <v>13</v>
      </c>
      <c r="AK47" s="80">
        <v>34</v>
      </c>
      <c r="AL47" s="80">
        <v>0</v>
      </c>
      <c r="AM47" s="80" t="s">
        <v>1155</v>
      </c>
      <c r="AN47" s="98" t="str">
        <f>HYPERLINK("https://www.youtube.com/watch?v=n2aGOi1mEZw")</f>
        <v>https://www.youtube.com/watch?v=n2aGOi1mEZw</v>
      </c>
      <c r="AO47" s="80" t="str">
        <f>REPLACE(INDEX(GroupVertices[Group],MATCH(Vertices[[#This Row],[Vertex]],GroupVertices[Vertex],0)),1,1,"")</f>
        <v>5</v>
      </c>
      <c r="AP47" s="49">
        <v>0</v>
      </c>
      <c r="AQ47" s="50">
        <v>0</v>
      </c>
      <c r="AR47" s="49">
        <v>1</v>
      </c>
      <c r="AS47" s="50">
        <v>7.6923076923076925</v>
      </c>
      <c r="AT47" s="49">
        <v>0</v>
      </c>
      <c r="AU47" s="50">
        <v>0</v>
      </c>
      <c r="AV47" s="49">
        <v>12</v>
      </c>
      <c r="AW47" s="50">
        <v>92.3076923076923</v>
      </c>
      <c r="AX47" s="49">
        <v>13</v>
      </c>
      <c r="AY47" s="49"/>
      <c r="AZ47" s="49"/>
      <c r="BA47" s="49"/>
      <c r="BB47" s="49"/>
      <c r="BC47" s="2"/>
      <c r="BD47" s="3"/>
      <c r="BE47" s="3"/>
      <c r="BF47" s="3"/>
      <c r="BG47" s="3"/>
    </row>
    <row r="48" spans="1:59" ht="15">
      <c r="A48" s="65" t="s">
        <v>272</v>
      </c>
      <c r="B48" s="66" t="s">
        <v>1614</v>
      </c>
      <c r="C48" s="66"/>
      <c r="D48" s="67">
        <v>142.85714285714286</v>
      </c>
      <c r="E48" s="69">
        <v>56.25</v>
      </c>
      <c r="F48" s="96" t="str">
        <f>HYPERLINK("https://i.ytimg.com/vi/D6rZwkij-io/default.jpg")</f>
        <v>https://i.ytimg.com/vi/D6rZwkij-io/default.jpg</v>
      </c>
      <c r="G48" s="66"/>
      <c r="H48" s="70" t="s">
        <v>435</v>
      </c>
      <c r="I48" s="71"/>
      <c r="J48" s="71" t="s">
        <v>159</v>
      </c>
      <c r="K48" s="70" t="s">
        <v>435</v>
      </c>
      <c r="L48" s="74">
        <v>11.97661732097079</v>
      </c>
      <c r="M48" s="75">
        <v>7836.265625</v>
      </c>
      <c r="N48" s="75">
        <v>3603.324462890625</v>
      </c>
      <c r="O48" s="76"/>
      <c r="P48" s="77"/>
      <c r="Q48" s="77"/>
      <c r="R48" s="82"/>
      <c r="S48" s="49">
        <v>1</v>
      </c>
      <c r="T48" s="49">
        <v>0</v>
      </c>
      <c r="U48" s="50">
        <v>0</v>
      </c>
      <c r="V48" s="50">
        <v>0.001715</v>
      </c>
      <c r="W48" s="50">
        <v>0.001253</v>
      </c>
      <c r="X48" s="50">
        <v>0.265317</v>
      </c>
      <c r="Y48" s="50">
        <v>0</v>
      </c>
      <c r="Z48" s="50">
        <v>0</v>
      </c>
      <c r="AA48" s="72">
        <v>48</v>
      </c>
      <c r="AB48" s="72"/>
      <c r="AC48" s="73"/>
      <c r="AD48" s="80" t="s">
        <v>435</v>
      </c>
      <c r="AE48" s="80" t="s">
        <v>615</v>
      </c>
      <c r="AF48" s="80" t="s">
        <v>773</v>
      </c>
      <c r="AG48" s="80" t="s">
        <v>912</v>
      </c>
      <c r="AH48" s="80" t="s">
        <v>1019</v>
      </c>
      <c r="AI48" s="80">
        <v>7529</v>
      </c>
      <c r="AJ48" s="80">
        <v>10</v>
      </c>
      <c r="AK48" s="80">
        <v>89</v>
      </c>
      <c r="AL48" s="80">
        <v>1</v>
      </c>
      <c r="AM48" s="80" t="s">
        <v>1155</v>
      </c>
      <c r="AN48" s="98" t="str">
        <f>HYPERLINK("https://www.youtube.com/watch?v=D6rZwkij-io")</f>
        <v>https://www.youtube.com/watch?v=D6rZwkij-io</v>
      </c>
      <c r="AO48" s="80" t="str">
        <f>REPLACE(INDEX(GroupVertices[Group],MATCH(Vertices[[#This Row],[Vertex]],GroupVertices[Vertex],0)),1,1,"")</f>
        <v>5</v>
      </c>
      <c r="AP48" s="49">
        <v>0</v>
      </c>
      <c r="AQ48" s="50">
        <v>0</v>
      </c>
      <c r="AR48" s="49">
        <v>0</v>
      </c>
      <c r="AS48" s="50">
        <v>0</v>
      </c>
      <c r="AT48" s="49">
        <v>0</v>
      </c>
      <c r="AU48" s="50">
        <v>0</v>
      </c>
      <c r="AV48" s="49">
        <v>23</v>
      </c>
      <c r="AW48" s="50">
        <v>100</v>
      </c>
      <c r="AX48" s="49">
        <v>23</v>
      </c>
      <c r="AY48" s="49"/>
      <c r="AZ48" s="49"/>
      <c r="BA48" s="49"/>
      <c r="BB48" s="49"/>
      <c r="BC48" s="2"/>
      <c r="BD48" s="3"/>
      <c r="BE48" s="3"/>
      <c r="BF48" s="3"/>
      <c r="BG48" s="3"/>
    </row>
    <row r="49" spans="1:59" ht="15">
      <c r="A49" s="65" t="s">
        <v>202</v>
      </c>
      <c r="B49" s="66" t="s">
        <v>1613</v>
      </c>
      <c r="C49" s="66"/>
      <c r="D49" s="67">
        <v>185.71428571428572</v>
      </c>
      <c r="E49" s="69">
        <v>62.5</v>
      </c>
      <c r="F49" s="96" t="str">
        <f>HYPERLINK("https://i.ytimg.com/vi/wadBvDPeE4E/default.jpg")</f>
        <v>https://i.ytimg.com/vi/wadBvDPeE4E/default.jpg</v>
      </c>
      <c r="G49" s="66"/>
      <c r="H49" s="70" t="s">
        <v>436</v>
      </c>
      <c r="I49" s="71"/>
      <c r="J49" s="71" t="s">
        <v>159</v>
      </c>
      <c r="K49" s="70" t="s">
        <v>436</v>
      </c>
      <c r="L49" s="74">
        <v>411.5371806057147</v>
      </c>
      <c r="M49" s="75">
        <v>6756.224609375</v>
      </c>
      <c r="N49" s="75">
        <v>6690.08251953125</v>
      </c>
      <c r="O49" s="76"/>
      <c r="P49" s="77"/>
      <c r="Q49" s="77"/>
      <c r="R49" s="82"/>
      <c r="S49" s="49">
        <v>2</v>
      </c>
      <c r="T49" s="49">
        <v>10</v>
      </c>
      <c r="U49" s="50">
        <v>3005.134381</v>
      </c>
      <c r="V49" s="50">
        <v>0.001767</v>
      </c>
      <c r="W49" s="50">
        <v>0.000764</v>
      </c>
      <c r="X49" s="50">
        <v>3.880476</v>
      </c>
      <c r="Y49" s="50">
        <v>0.015151515151515152</v>
      </c>
      <c r="Z49" s="50">
        <v>0</v>
      </c>
      <c r="AA49" s="72">
        <v>49</v>
      </c>
      <c r="AB49" s="72"/>
      <c r="AC49" s="73"/>
      <c r="AD49" s="80" t="s">
        <v>436</v>
      </c>
      <c r="AE49" s="80" t="s">
        <v>616</v>
      </c>
      <c r="AF49" s="80" t="s">
        <v>774</v>
      </c>
      <c r="AG49" s="80" t="s">
        <v>914</v>
      </c>
      <c r="AH49" s="80" t="s">
        <v>1020</v>
      </c>
      <c r="AI49" s="80">
        <v>280901</v>
      </c>
      <c r="AJ49" s="80">
        <v>491</v>
      </c>
      <c r="AK49" s="80">
        <v>4459</v>
      </c>
      <c r="AL49" s="80">
        <v>125</v>
      </c>
      <c r="AM49" s="80" t="s">
        <v>1155</v>
      </c>
      <c r="AN49" s="98" t="str">
        <f>HYPERLINK("https://www.youtube.com/watch?v=wadBvDPeE4E")</f>
        <v>https://www.youtube.com/watch?v=wadBvDPeE4E</v>
      </c>
      <c r="AO49" s="80" t="str">
        <f>REPLACE(INDEX(GroupVertices[Group],MATCH(Vertices[[#This Row],[Vertex]],GroupVertices[Vertex],0)),1,1,"")</f>
        <v>3</v>
      </c>
      <c r="AP49" s="49">
        <v>0</v>
      </c>
      <c r="AQ49" s="50">
        <v>0</v>
      </c>
      <c r="AR49" s="49">
        <v>1</v>
      </c>
      <c r="AS49" s="50">
        <v>1.9230769230769231</v>
      </c>
      <c r="AT49" s="49">
        <v>0</v>
      </c>
      <c r="AU49" s="50">
        <v>0</v>
      </c>
      <c r="AV49" s="49">
        <v>51</v>
      </c>
      <c r="AW49" s="50">
        <v>98.07692307692308</v>
      </c>
      <c r="AX49" s="49">
        <v>52</v>
      </c>
      <c r="AY49" s="111" t="s">
        <v>1608</v>
      </c>
      <c r="AZ49" s="111" t="s">
        <v>1608</v>
      </c>
      <c r="BA49" s="111" t="s">
        <v>1608</v>
      </c>
      <c r="BB49" s="111" t="s">
        <v>1608</v>
      </c>
      <c r="BC49" s="2"/>
      <c r="BD49" s="3"/>
      <c r="BE49" s="3"/>
      <c r="BF49" s="3"/>
      <c r="BG49" s="3"/>
    </row>
    <row r="50" spans="1:59" ht="15">
      <c r="A50" s="65" t="s">
        <v>273</v>
      </c>
      <c r="B50" s="66" t="s">
        <v>1614</v>
      </c>
      <c r="C50" s="66"/>
      <c r="D50" s="67">
        <v>142.85714285714286</v>
      </c>
      <c r="E50" s="69">
        <v>56.25</v>
      </c>
      <c r="F50" s="96" t="str">
        <f>HYPERLINK("https://i.ytimg.com/vi/CSpyZor-Byk/default.jpg")</f>
        <v>https://i.ytimg.com/vi/CSpyZor-Byk/default.jpg</v>
      </c>
      <c r="G50" s="66"/>
      <c r="H50" s="70" t="s">
        <v>437</v>
      </c>
      <c r="I50" s="71"/>
      <c r="J50" s="71" t="s">
        <v>159</v>
      </c>
      <c r="K50" s="70" t="s">
        <v>437</v>
      </c>
      <c r="L50" s="74">
        <v>160.31003437201772</v>
      </c>
      <c r="M50" s="75">
        <v>6756.224609375</v>
      </c>
      <c r="N50" s="75">
        <v>7393.28759765625</v>
      </c>
      <c r="O50" s="76"/>
      <c r="P50" s="77"/>
      <c r="Q50" s="77"/>
      <c r="R50" s="82"/>
      <c r="S50" s="49">
        <v>1</v>
      </c>
      <c r="T50" s="49">
        <v>0</v>
      </c>
      <c r="U50" s="50">
        <v>0</v>
      </c>
      <c r="V50" s="50">
        <v>0.00134</v>
      </c>
      <c r="W50" s="50">
        <v>3.3E-05</v>
      </c>
      <c r="X50" s="50">
        <v>0.424867</v>
      </c>
      <c r="Y50" s="50">
        <v>0</v>
      </c>
      <c r="Z50" s="50">
        <v>0</v>
      </c>
      <c r="AA50" s="72">
        <v>50</v>
      </c>
      <c r="AB50" s="72"/>
      <c r="AC50" s="73"/>
      <c r="AD50" s="80" t="s">
        <v>437</v>
      </c>
      <c r="AE50" s="80" t="s">
        <v>617</v>
      </c>
      <c r="AF50" s="80" t="s">
        <v>775</v>
      </c>
      <c r="AG50" s="80" t="s">
        <v>915</v>
      </c>
      <c r="AH50" s="80" t="s">
        <v>1021</v>
      </c>
      <c r="AI50" s="80">
        <v>109016</v>
      </c>
      <c r="AJ50" s="80">
        <v>36</v>
      </c>
      <c r="AK50" s="80">
        <v>908</v>
      </c>
      <c r="AL50" s="80">
        <v>49</v>
      </c>
      <c r="AM50" s="80" t="s">
        <v>1155</v>
      </c>
      <c r="AN50" s="98" t="str">
        <f>HYPERLINK("https://www.youtube.com/watch?v=CSpyZor-Byk")</f>
        <v>https://www.youtube.com/watch?v=CSpyZor-Byk</v>
      </c>
      <c r="AO50" s="80" t="str">
        <f>REPLACE(INDEX(GroupVertices[Group],MATCH(Vertices[[#This Row],[Vertex]],GroupVertices[Vertex],0)),1,1,"")</f>
        <v>3</v>
      </c>
      <c r="AP50" s="49">
        <v>0</v>
      </c>
      <c r="AQ50" s="50">
        <v>0</v>
      </c>
      <c r="AR50" s="49">
        <v>0</v>
      </c>
      <c r="AS50" s="50">
        <v>0</v>
      </c>
      <c r="AT50" s="49">
        <v>0</v>
      </c>
      <c r="AU50" s="50">
        <v>0</v>
      </c>
      <c r="AV50" s="49">
        <v>7</v>
      </c>
      <c r="AW50" s="50">
        <v>100</v>
      </c>
      <c r="AX50" s="49">
        <v>7</v>
      </c>
      <c r="AY50" s="49"/>
      <c r="AZ50" s="49"/>
      <c r="BA50" s="49"/>
      <c r="BB50" s="49"/>
      <c r="BC50" s="2"/>
      <c r="BD50" s="3"/>
      <c r="BE50" s="3"/>
      <c r="BF50" s="3"/>
      <c r="BG50" s="3"/>
    </row>
    <row r="51" spans="1:59" ht="15">
      <c r="A51" s="65" t="s">
        <v>274</v>
      </c>
      <c r="B51" s="66" t="s">
        <v>1614</v>
      </c>
      <c r="C51" s="66"/>
      <c r="D51" s="67">
        <v>142.85714285714286</v>
      </c>
      <c r="E51" s="69">
        <v>56.25</v>
      </c>
      <c r="F51" s="96" t="str">
        <f>HYPERLINK("https://i.ytimg.com/vi/SqFhd-Igs6w/default.jpg")</f>
        <v>https://i.ytimg.com/vi/SqFhd-Igs6w/default.jpg</v>
      </c>
      <c r="G51" s="66"/>
      <c r="H51" s="70" t="s">
        <v>438</v>
      </c>
      <c r="I51" s="71"/>
      <c r="J51" s="71" t="s">
        <v>159</v>
      </c>
      <c r="K51" s="70" t="s">
        <v>438</v>
      </c>
      <c r="L51" s="74">
        <v>163.81641319398963</v>
      </c>
      <c r="M51" s="75">
        <v>7460.32958984375</v>
      </c>
      <c r="N51" s="75">
        <v>7393.28759765625</v>
      </c>
      <c r="O51" s="76"/>
      <c r="P51" s="77"/>
      <c r="Q51" s="77"/>
      <c r="R51" s="82"/>
      <c r="S51" s="49">
        <v>1</v>
      </c>
      <c r="T51" s="49">
        <v>0</v>
      </c>
      <c r="U51" s="50">
        <v>0</v>
      </c>
      <c r="V51" s="50">
        <v>0.00134</v>
      </c>
      <c r="W51" s="50">
        <v>3.3E-05</v>
      </c>
      <c r="X51" s="50">
        <v>0.424867</v>
      </c>
      <c r="Y51" s="50">
        <v>0</v>
      </c>
      <c r="Z51" s="50">
        <v>0</v>
      </c>
      <c r="AA51" s="72">
        <v>51</v>
      </c>
      <c r="AB51" s="72"/>
      <c r="AC51" s="73"/>
      <c r="AD51" s="80" t="s">
        <v>438</v>
      </c>
      <c r="AE51" s="80" t="s">
        <v>618</v>
      </c>
      <c r="AF51" s="80" t="s">
        <v>776</v>
      </c>
      <c r="AG51" s="80" t="s">
        <v>916</v>
      </c>
      <c r="AH51" s="80" t="s">
        <v>1022</v>
      </c>
      <c r="AI51" s="80">
        <v>111415</v>
      </c>
      <c r="AJ51" s="80">
        <v>111</v>
      </c>
      <c r="AK51" s="80">
        <v>1273</v>
      </c>
      <c r="AL51" s="80">
        <v>60</v>
      </c>
      <c r="AM51" s="80" t="s">
        <v>1155</v>
      </c>
      <c r="AN51" s="98" t="str">
        <f>HYPERLINK("https://www.youtube.com/watch?v=SqFhd-Igs6w")</f>
        <v>https://www.youtube.com/watch?v=SqFhd-Igs6w</v>
      </c>
      <c r="AO51" s="80" t="str">
        <f>REPLACE(INDEX(GroupVertices[Group],MATCH(Vertices[[#This Row],[Vertex]],GroupVertices[Vertex],0)),1,1,"")</f>
        <v>3</v>
      </c>
      <c r="AP51" s="49">
        <v>1</v>
      </c>
      <c r="AQ51" s="50">
        <v>20</v>
      </c>
      <c r="AR51" s="49">
        <v>0</v>
      </c>
      <c r="AS51" s="50">
        <v>0</v>
      </c>
      <c r="AT51" s="49">
        <v>0</v>
      </c>
      <c r="AU51" s="50">
        <v>0</v>
      </c>
      <c r="AV51" s="49">
        <v>4</v>
      </c>
      <c r="AW51" s="50">
        <v>80</v>
      </c>
      <c r="AX51" s="49">
        <v>5</v>
      </c>
      <c r="AY51" s="49"/>
      <c r="AZ51" s="49"/>
      <c r="BA51" s="49"/>
      <c r="BB51" s="49"/>
      <c r="BC51" s="2"/>
      <c r="BD51" s="3"/>
      <c r="BE51" s="3"/>
      <c r="BF51" s="3"/>
      <c r="BG51" s="3"/>
    </row>
    <row r="52" spans="1:59" ht="15">
      <c r="A52" s="65" t="s">
        <v>275</v>
      </c>
      <c r="B52" s="66" t="s">
        <v>1614</v>
      </c>
      <c r="C52" s="66"/>
      <c r="D52" s="67">
        <v>142.85714285714286</v>
      </c>
      <c r="E52" s="69">
        <v>56.25</v>
      </c>
      <c r="F52" s="96" t="str">
        <f>HYPERLINK("https://i.ytimg.com/vi/gWD6g9CV_sc/default.jpg")</f>
        <v>https://i.ytimg.com/vi/gWD6g9CV_sc/default.jpg</v>
      </c>
      <c r="G52" s="66"/>
      <c r="H52" s="70" t="s">
        <v>439</v>
      </c>
      <c r="I52" s="71"/>
      <c r="J52" s="71" t="s">
        <v>159</v>
      </c>
      <c r="K52" s="70" t="s">
        <v>439</v>
      </c>
      <c r="L52" s="74">
        <v>576.9303949098071</v>
      </c>
      <c r="M52" s="75">
        <v>6756.224609375</v>
      </c>
      <c r="N52" s="75">
        <v>5986.876953125</v>
      </c>
      <c r="O52" s="76"/>
      <c r="P52" s="77"/>
      <c r="Q52" s="77"/>
      <c r="R52" s="82"/>
      <c r="S52" s="49">
        <v>1</v>
      </c>
      <c r="T52" s="49">
        <v>0</v>
      </c>
      <c r="U52" s="50">
        <v>0</v>
      </c>
      <c r="V52" s="50">
        <v>0.00134</v>
      </c>
      <c r="W52" s="50">
        <v>3.3E-05</v>
      </c>
      <c r="X52" s="50">
        <v>0.424867</v>
      </c>
      <c r="Y52" s="50">
        <v>0</v>
      </c>
      <c r="Z52" s="50">
        <v>0</v>
      </c>
      <c r="AA52" s="72">
        <v>52</v>
      </c>
      <c r="AB52" s="72"/>
      <c r="AC52" s="73"/>
      <c r="AD52" s="80" t="s">
        <v>439</v>
      </c>
      <c r="AE52" s="80" t="s">
        <v>619</v>
      </c>
      <c r="AF52" s="80" t="s">
        <v>777</v>
      </c>
      <c r="AG52" s="80" t="s">
        <v>915</v>
      </c>
      <c r="AH52" s="80" t="s">
        <v>1023</v>
      </c>
      <c r="AI52" s="80">
        <v>394060</v>
      </c>
      <c r="AJ52" s="80">
        <v>350</v>
      </c>
      <c r="AK52" s="80">
        <v>4027</v>
      </c>
      <c r="AL52" s="80">
        <v>338</v>
      </c>
      <c r="AM52" s="80" t="s">
        <v>1155</v>
      </c>
      <c r="AN52" s="98" t="str">
        <f>HYPERLINK("https://www.youtube.com/watch?v=gWD6g9CV_sc")</f>
        <v>https://www.youtube.com/watch?v=gWD6g9CV_sc</v>
      </c>
      <c r="AO52" s="80" t="str">
        <f>REPLACE(INDEX(GroupVertices[Group],MATCH(Vertices[[#This Row],[Vertex]],GroupVertices[Vertex],0)),1,1,"")</f>
        <v>3</v>
      </c>
      <c r="AP52" s="49">
        <v>0</v>
      </c>
      <c r="AQ52" s="50">
        <v>0</v>
      </c>
      <c r="AR52" s="49">
        <v>0</v>
      </c>
      <c r="AS52" s="50">
        <v>0</v>
      </c>
      <c r="AT52" s="49">
        <v>0</v>
      </c>
      <c r="AU52" s="50">
        <v>0</v>
      </c>
      <c r="AV52" s="49">
        <v>38</v>
      </c>
      <c r="AW52" s="50">
        <v>100</v>
      </c>
      <c r="AX52" s="49">
        <v>38</v>
      </c>
      <c r="AY52" s="49"/>
      <c r="AZ52" s="49"/>
      <c r="BA52" s="49"/>
      <c r="BB52" s="49"/>
      <c r="BC52" s="2"/>
      <c r="BD52" s="3"/>
      <c r="BE52" s="3"/>
      <c r="BF52" s="3"/>
      <c r="BG52" s="3"/>
    </row>
    <row r="53" spans="1:59" ht="15">
      <c r="A53" s="65" t="s">
        <v>276</v>
      </c>
      <c r="B53" s="66" t="s">
        <v>1614</v>
      </c>
      <c r="C53" s="66"/>
      <c r="D53" s="67">
        <v>142.85714285714286</v>
      </c>
      <c r="E53" s="69">
        <v>56.25</v>
      </c>
      <c r="F53" s="96" t="str">
        <f>HYPERLINK("https://i.ytimg.com/vi/oqkzp9C2VyI/default.jpg")</f>
        <v>https://i.ytimg.com/vi/oqkzp9C2VyI/default.jpg</v>
      </c>
      <c r="G53" s="66"/>
      <c r="H53" s="70" t="s">
        <v>440</v>
      </c>
      <c r="I53" s="71"/>
      <c r="J53" s="71" t="s">
        <v>159</v>
      </c>
      <c r="K53" s="70" t="s">
        <v>440</v>
      </c>
      <c r="L53" s="74">
        <v>97.0066691538332</v>
      </c>
      <c r="M53" s="75">
        <v>7460.32958984375</v>
      </c>
      <c r="N53" s="75">
        <v>8096.49267578125</v>
      </c>
      <c r="O53" s="76"/>
      <c r="P53" s="77"/>
      <c r="Q53" s="77"/>
      <c r="R53" s="82"/>
      <c r="S53" s="49">
        <v>1</v>
      </c>
      <c r="T53" s="49">
        <v>0</v>
      </c>
      <c r="U53" s="50">
        <v>0</v>
      </c>
      <c r="V53" s="50">
        <v>0.00134</v>
      </c>
      <c r="W53" s="50">
        <v>3.3E-05</v>
      </c>
      <c r="X53" s="50">
        <v>0.424867</v>
      </c>
      <c r="Y53" s="50">
        <v>0</v>
      </c>
      <c r="Z53" s="50">
        <v>0</v>
      </c>
      <c r="AA53" s="72">
        <v>53</v>
      </c>
      <c r="AB53" s="72"/>
      <c r="AC53" s="73"/>
      <c r="AD53" s="80" t="s">
        <v>440</v>
      </c>
      <c r="AE53" s="80" t="s">
        <v>620</v>
      </c>
      <c r="AF53" s="80" t="s">
        <v>778</v>
      </c>
      <c r="AG53" s="80" t="s">
        <v>915</v>
      </c>
      <c r="AH53" s="80" t="s">
        <v>1024</v>
      </c>
      <c r="AI53" s="80">
        <v>65705</v>
      </c>
      <c r="AJ53" s="80">
        <v>131</v>
      </c>
      <c r="AK53" s="80">
        <v>1591</v>
      </c>
      <c r="AL53" s="80">
        <v>78</v>
      </c>
      <c r="AM53" s="80" t="s">
        <v>1155</v>
      </c>
      <c r="AN53" s="98" t="str">
        <f>HYPERLINK("https://www.youtube.com/watch?v=oqkzp9C2VyI")</f>
        <v>https://www.youtube.com/watch?v=oqkzp9C2VyI</v>
      </c>
      <c r="AO53" s="80" t="str">
        <f>REPLACE(INDEX(GroupVertices[Group],MATCH(Vertices[[#This Row],[Vertex]],GroupVertices[Vertex],0)),1,1,"")</f>
        <v>3</v>
      </c>
      <c r="AP53" s="49">
        <v>1</v>
      </c>
      <c r="AQ53" s="50">
        <v>6.25</v>
      </c>
      <c r="AR53" s="49">
        <v>1</v>
      </c>
      <c r="AS53" s="50">
        <v>6.25</v>
      </c>
      <c r="AT53" s="49">
        <v>0</v>
      </c>
      <c r="AU53" s="50">
        <v>0</v>
      </c>
      <c r="AV53" s="49">
        <v>14</v>
      </c>
      <c r="AW53" s="50">
        <v>87.5</v>
      </c>
      <c r="AX53" s="49">
        <v>16</v>
      </c>
      <c r="AY53" s="49"/>
      <c r="AZ53" s="49"/>
      <c r="BA53" s="49"/>
      <c r="BB53" s="49"/>
      <c r="BC53" s="2"/>
      <c r="BD53" s="3"/>
      <c r="BE53" s="3"/>
      <c r="BF53" s="3"/>
      <c r="BG53" s="3"/>
    </row>
    <row r="54" spans="1:59" ht="15">
      <c r="A54" s="65" t="s">
        <v>277</v>
      </c>
      <c r="B54" s="66" t="s">
        <v>1614</v>
      </c>
      <c r="C54" s="66"/>
      <c r="D54" s="67">
        <v>142.85714285714286</v>
      </c>
      <c r="E54" s="69">
        <v>56.25</v>
      </c>
      <c r="F54" s="96" t="str">
        <f>HYPERLINK("https://i.ytimg.com/vi/cVLpdzhcU0g/default.jpg")</f>
        <v>https://i.ytimg.com/vi/cVLpdzhcU0g/default.jpg</v>
      </c>
      <c r="G54" s="66"/>
      <c r="H54" s="70" t="s">
        <v>441</v>
      </c>
      <c r="I54" s="71"/>
      <c r="J54" s="71" t="s">
        <v>159</v>
      </c>
      <c r="K54" s="70" t="s">
        <v>441</v>
      </c>
      <c r="L54" s="74">
        <v>363.9635564805112</v>
      </c>
      <c r="M54" s="75">
        <v>6052.11962890625</v>
      </c>
      <c r="N54" s="75">
        <v>6690.08251953125</v>
      </c>
      <c r="O54" s="76"/>
      <c r="P54" s="77"/>
      <c r="Q54" s="77"/>
      <c r="R54" s="82"/>
      <c r="S54" s="49">
        <v>1</v>
      </c>
      <c r="T54" s="49">
        <v>0</v>
      </c>
      <c r="U54" s="50">
        <v>0</v>
      </c>
      <c r="V54" s="50">
        <v>0.00134</v>
      </c>
      <c r="W54" s="50">
        <v>3.3E-05</v>
      </c>
      <c r="X54" s="50">
        <v>0.424867</v>
      </c>
      <c r="Y54" s="50">
        <v>0</v>
      </c>
      <c r="Z54" s="50">
        <v>0</v>
      </c>
      <c r="AA54" s="72">
        <v>54</v>
      </c>
      <c r="AB54" s="72"/>
      <c r="AC54" s="73"/>
      <c r="AD54" s="80" t="s">
        <v>441</v>
      </c>
      <c r="AE54" s="80" t="s">
        <v>621</v>
      </c>
      <c r="AF54" s="80" t="s">
        <v>779</v>
      </c>
      <c r="AG54" s="80" t="s">
        <v>914</v>
      </c>
      <c r="AH54" s="80" t="s">
        <v>1025</v>
      </c>
      <c r="AI54" s="80">
        <v>248352</v>
      </c>
      <c r="AJ54" s="80">
        <v>625</v>
      </c>
      <c r="AK54" s="80">
        <v>6308</v>
      </c>
      <c r="AL54" s="80">
        <v>137</v>
      </c>
      <c r="AM54" s="80" t="s">
        <v>1155</v>
      </c>
      <c r="AN54" s="98" t="str">
        <f>HYPERLINK("https://www.youtube.com/watch?v=cVLpdzhcU0g")</f>
        <v>https://www.youtube.com/watch?v=cVLpdzhcU0g</v>
      </c>
      <c r="AO54" s="80" t="str">
        <f>REPLACE(INDEX(GroupVertices[Group],MATCH(Vertices[[#This Row],[Vertex]],GroupVertices[Vertex],0)),1,1,"")</f>
        <v>3</v>
      </c>
      <c r="AP54" s="49">
        <v>2</v>
      </c>
      <c r="AQ54" s="50">
        <v>3.389830508474576</v>
      </c>
      <c r="AR54" s="49">
        <v>0</v>
      </c>
      <c r="AS54" s="50">
        <v>0</v>
      </c>
      <c r="AT54" s="49">
        <v>0</v>
      </c>
      <c r="AU54" s="50">
        <v>0</v>
      </c>
      <c r="AV54" s="49">
        <v>57</v>
      </c>
      <c r="AW54" s="50">
        <v>96.61016949152543</v>
      </c>
      <c r="AX54" s="49">
        <v>59</v>
      </c>
      <c r="AY54" s="49"/>
      <c r="AZ54" s="49"/>
      <c r="BA54" s="49"/>
      <c r="BB54" s="49"/>
      <c r="BC54" s="2"/>
      <c r="BD54" s="3"/>
      <c r="BE54" s="3"/>
      <c r="BF54" s="3"/>
      <c r="BG54" s="3"/>
    </row>
    <row r="55" spans="1:59" ht="15">
      <c r="A55" s="65" t="s">
        <v>278</v>
      </c>
      <c r="B55" s="66" t="s">
        <v>1614</v>
      </c>
      <c r="C55" s="66"/>
      <c r="D55" s="67">
        <v>142.85714285714286</v>
      </c>
      <c r="E55" s="69">
        <v>56.25</v>
      </c>
      <c r="F55" s="96" t="str">
        <f>HYPERLINK("https://i.ytimg.com/vi/Q-B_ONJIEcE/default.jpg")</f>
        <v>https://i.ytimg.com/vi/Q-B_ONJIEcE/default.jpg</v>
      </c>
      <c r="G55" s="66"/>
      <c r="H55" s="70" t="s">
        <v>442</v>
      </c>
      <c r="I55" s="71"/>
      <c r="J55" s="71" t="s">
        <v>159</v>
      </c>
      <c r="K55" s="70" t="s">
        <v>442</v>
      </c>
      <c r="L55" s="74">
        <v>2165.986490943283</v>
      </c>
      <c r="M55" s="75">
        <v>7460.32958984375</v>
      </c>
      <c r="N55" s="75">
        <v>5986.876953125</v>
      </c>
      <c r="O55" s="76"/>
      <c r="P55" s="77"/>
      <c r="Q55" s="77"/>
      <c r="R55" s="82"/>
      <c r="S55" s="49">
        <v>1</v>
      </c>
      <c r="T55" s="49">
        <v>0</v>
      </c>
      <c r="U55" s="50">
        <v>0</v>
      </c>
      <c r="V55" s="50">
        <v>0.00134</v>
      </c>
      <c r="W55" s="50">
        <v>3.3E-05</v>
      </c>
      <c r="X55" s="50">
        <v>0.424867</v>
      </c>
      <c r="Y55" s="50">
        <v>0</v>
      </c>
      <c r="Z55" s="50">
        <v>0</v>
      </c>
      <c r="AA55" s="72">
        <v>55</v>
      </c>
      <c r="AB55" s="72"/>
      <c r="AC55" s="73"/>
      <c r="AD55" s="80" t="s">
        <v>442</v>
      </c>
      <c r="AE55" s="80" t="s">
        <v>622</v>
      </c>
      <c r="AF55" s="80" t="s">
        <v>780</v>
      </c>
      <c r="AG55" s="80" t="s">
        <v>914</v>
      </c>
      <c r="AH55" s="80" t="s">
        <v>1026</v>
      </c>
      <c r="AI55" s="80">
        <v>1481263</v>
      </c>
      <c r="AJ55" s="80">
        <v>2224</v>
      </c>
      <c r="AK55" s="80">
        <v>30016</v>
      </c>
      <c r="AL55" s="80">
        <v>587</v>
      </c>
      <c r="AM55" s="80" t="s">
        <v>1155</v>
      </c>
      <c r="AN55" s="98" t="str">
        <f>HYPERLINK("https://www.youtube.com/watch?v=Q-B_ONJIEcE")</f>
        <v>https://www.youtube.com/watch?v=Q-B_ONJIEcE</v>
      </c>
      <c r="AO55" s="80" t="str">
        <f>REPLACE(INDEX(GroupVertices[Group],MATCH(Vertices[[#This Row],[Vertex]],GroupVertices[Vertex],0)),1,1,"")</f>
        <v>3</v>
      </c>
      <c r="AP55" s="49">
        <v>0</v>
      </c>
      <c r="AQ55" s="50">
        <v>0</v>
      </c>
      <c r="AR55" s="49">
        <v>0</v>
      </c>
      <c r="AS55" s="50">
        <v>0</v>
      </c>
      <c r="AT55" s="49">
        <v>0</v>
      </c>
      <c r="AU55" s="50">
        <v>0</v>
      </c>
      <c r="AV55" s="49">
        <v>58</v>
      </c>
      <c r="AW55" s="50">
        <v>100</v>
      </c>
      <c r="AX55" s="49">
        <v>58</v>
      </c>
      <c r="AY55" s="49"/>
      <c r="AZ55" s="49"/>
      <c r="BA55" s="49"/>
      <c r="BB55" s="49"/>
      <c r="BC55" s="2"/>
      <c r="BD55" s="3"/>
      <c r="BE55" s="3"/>
      <c r="BF55" s="3"/>
      <c r="BG55" s="3"/>
    </row>
    <row r="56" spans="1:59" ht="15">
      <c r="A56" s="65" t="s">
        <v>279</v>
      </c>
      <c r="B56" s="66" t="s">
        <v>1614</v>
      </c>
      <c r="C56" s="66"/>
      <c r="D56" s="67">
        <v>142.85714285714286</v>
      </c>
      <c r="E56" s="69">
        <v>56.25</v>
      </c>
      <c r="F56" s="96" t="str">
        <f>HYPERLINK("https://i.ytimg.com/vi/2U-tOghblfE/default.jpg")</f>
        <v>https://i.ytimg.com/vi/2U-tOghblfE/default.jpg</v>
      </c>
      <c r="G56" s="66"/>
      <c r="H56" s="70" t="s">
        <v>443</v>
      </c>
      <c r="I56" s="71"/>
      <c r="J56" s="71" t="s">
        <v>159</v>
      </c>
      <c r="K56" s="70" t="s">
        <v>443</v>
      </c>
      <c r="L56" s="74">
        <v>473.60549367526806</v>
      </c>
      <c r="M56" s="75">
        <v>6052.11962890625</v>
      </c>
      <c r="N56" s="75">
        <v>5986.876953125</v>
      </c>
      <c r="O56" s="76"/>
      <c r="P56" s="77"/>
      <c r="Q56" s="77"/>
      <c r="R56" s="82"/>
      <c r="S56" s="49">
        <v>1</v>
      </c>
      <c r="T56" s="49">
        <v>0</v>
      </c>
      <c r="U56" s="50">
        <v>0</v>
      </c>
      <c r="V56" s="50">
        <v>0.00134</v>
      </c>
      <c r="W56" s="50">
        <v>3.3E-05</v>
      </c>
      <c r="X56" s="50">
        <v>0.424867</v>
      </c>
      <c r="Y56" s="50">
        <v>0</v>
      </c>
      <c r="Z56" s="50">
        <v>0</v>
      </c>
      <c r="AA56" s="72">
        <v>56</v>
      </c>
      <c r="AB56" s="72"/>
      <c r="AC56" s="73"/>
      <c r="AD56" s="80" t="s">
        <v>443</v>
      </c>
      <c r="AE56" s="80" t="s">
        <v>623</v>
      </c>
      <c r="AF56" s="80" t="s">
        <v>781</v>
      </c>
      <c r="AG56" s="80" t="s">
        <v>917</v>
      </c>
      <c r="AH56" s="80" t="s">
        <v>1027</v>
      </c>
      <c r="AI56" s="80">
        <v>323367</v>
      </c>
      <c r="AJ56" s="80">
        <v>212</v>
      </c>
      <c r="AK56" s="80">
        <v>2837</v>
      </c>
      <c r="AL56" s="80">
        <v>119</v>
      </c>
      <c r="AM56" s="80" t="s">
        <v>1155</v>
      </c>
      <c r="AN56" s="98" t="str">
        <f>HYPERLINK("https://www.youtube.com/watch?v=2U-tOghblfE")</f>
        <v>https://www.youtube.com/watch?v=2U-tOghblfE</v>
      </c>
      <c r="AO56" s="80" t="str">
        <f>REPLACE(INDEX(GroupVertices[Group],MATCH(Vertices[[#This Row],[Vertex]],GroupVertices[Vertex],0)),1,1,"")</f>
        <v>3</v>
      </c>
      <c r="AP56" s="49">
        <v>1</v>
      </c>
      <c r="AQ56" s="50">
        <v>7.142857142857143</v>
      </c>
      <c r="AR56" s="49">
        <v>1</v>
      </c>
      <c r="AS56" s="50">
        <v>7.142857142857143</v>
      </c>
      <c r="AT56" s="49">
        <v>0</v>
      </c>
      <c r="AU56" s="50">
        <v>0</v>
      </c>
      <c r="AV56" s="49">
        <v>12</v>
      </c>
      <c r="AW56" s="50">
        <v>85.71428571428571</v>
      </c>
      <c r="AX56" s="49">
        <v>14</v>
      </c>
      <c r="AY56" s="49"/>
      <c r="AZ56" s="49"/>
      <c r="BA56" s="49"/>
      <c r="BB56" s="49"/>
      <c r="BC56" s="2"/>
      <c r="BD56" s="3"/>
      <c r="BE56" s="3"/>
      <c r="BF56" s="3"/>
      <c r="BG56" s="3"/>
    </row>
    <row r="57" spans="1:59" ht="15">
      <c r="A57" s="65" t="s">
        <v>280</v>
      </c>
      <c r="B57" s="66" t="s">
        <v>1614</v>
      </c>
      <c r="C57" s="66"/>
      <c r="D57" s="67">
        <v>142.85714285714286</v>
      </c>
      <c r="E57" s="69">
        <v>56.25</v>
      </c>
      <c r="F57" s="96" t="str">
        <f>HYPERLINK("https://i.ytimg.com/vi/mm8asJxdcds/default.jpg")</f>
        <v>https://i.ytimg.com/vi/mm8asJxdcds/default.jpg</v>
      </c>
      <c r="G57" s="66"/>
      <c r="H57" s="70" t="s">
        <v>444</v>
      </c>
      <c r="I57" s="71"/>
      <c r="J57" s="71" t="s">
        <v>159</v>
      </c>
      <c r="K57" s="70" t="s">
        <v>444</v>
      </c>
      <c r="L57" s="74">
        <v>433.01831839084224</v>
      </c>
      <c r="M57" s="75">
        <v>7460.32958984375</v>
      </c>
      <c r="N57" s="75">
        <v>6690.08251953125</v>
      </c>
      <c r="O57" s="76"/>
      <c r="P57" s="77"/>
      <c r="Q57" s="77"/>
      <c r="R57" s="82"/>
      <c r="S57" s="49">
        <v>1</v>
      </c>
      <c r="T57" s="49">
        <v>0</v>
      </c>
      <c r="U57" s="50">
        <v>0</v>
      </c>
      <c r="V57" s="50">
        <v>0.00134</v>
      </c>
      <c r="W57" s="50">
        <v>3.3E-05</v>
      </c>
      <c r="X57" s="50">
        <v>0.424867</v>
      </c>
      <c r="Y57" s="50">
        <v>0</v>
      </c>
      <c r="Z57" s="50">
        <v>0</v>
      </c>
      <c r="AA57" s="72">
        <v>57</v>
      </c>
      <c r="AB57" s="72"/>
      <c r="AC57" s="73"/>
      <c r="AD57" s="80" t="s">
        <v>444</v>
      </c>
      <c r="AE57" s="80" t="s">
        <v>624</v>
      </c>
      <c r="AF57" s="80" t="s">
        <v>782</v>
      </c>
      <c r="AG57" s="80" t="s">
        <v>914</v>
      </c>
      <c r="AH57" s="80" t="s">
        <v>1028</v>
      </c>
      <c r="AI57" s="80">
        <v>295598</v>
      </c>
      <c r="AJ57" s="80">
        <v>862</v>
      </c>
      <c r="AK57" s="80">
        <v>5917</v>
      </c>
      <c r="AL57" s="80">
        <v>175</v>
      </c>
      <c r="AM57" s="80" t="s">
        <v>1155</v>
      </c>
      <c r="AN57" s="98" t="str">
        <f>HYPERLINK("https://www.youtube.com/watch?v=mm8asJxdcds")</f>
        <v>https://www.youtube.com/watch?v=mm8asJxdcds</v>
      </c>
      <c r="AO57" s="80" t="str">
        <f>REPLACE(INDEX(GroupVertices[Group],MATCH(Vertices[[#This Row],[Vertex]],GroupVertices[Vertex],0)),1,1,"")</f>
        <v>3</v>
      </c>
      <c r="AP57" s="49">
        <v>3</v>
      </c>
      <c r="AQ57" s="50">
        <v>5.172413793103448</v>
      </c>
      <c r="AR57" s="49">
        <v>3</v>
      </c>
      <c r="AS57" s="50">
        <v>5.172413793103448</v>
      </c>
      <c r="AT57" s="49">
        <v>0</v>
      </c>
      <c r="AU57" s="50">
        <v>0</v>
      </c>
      <c r="AV57" s="49">
        <v>52</v>
      </c>
      <c r="AW57" s="50">
        <v>89.65517241379311</v>
      </c>
      <c r="AX57" s="49">
        <v>58</v>
      </c>
      <c r="AY57" s="49"/>
      <c r="AZ57" s="49"/>
      <c r="BA57" s="49"/>
      <c r="BB57" s="49"/>
      <c r="BC57" s="2"/>
      <c r="BD57" s="3"/>
      <c r="BE57" s="3"/>
      <c r="BF57" s="3"/>
      <c r="BG57" s="3"/>
    </row>
    <row r="58" spans="1:59" ht="15">
      <c r="A58" s="65" t="s">
        <v>203</v>
      </c>
      <c r="B58" s="66" t="s">
        <v>1616</v>
      </c>
      <c r="C58" s="66"/>
      <c r="D58" s="67">
        <v>914.2857142857143</v>
      </c>
      <c r="E58" s="69">
        <v>100</v>
      </c>
      <c r="F58" s="96" t="str">
        <f>HYPERLINK("https://i.ytimg.com/vi/yknqOhpUtzQ/default.jpg")</f>
        <v>https://i.ytimg.com/vi/yknqOhpUtzQ/default.jpg</v>
      </c>
      <c r="G58" s="66"/>
      <c r="H58" s="70" t="s">
        <v>445</v>
      </c>
      <c r="I58" s="71"/>
      <c r="J58" s="71" t="s">
        <v>75</v>
      </c>
      <c r="K58" s="70" t="s">
        <v>445</v>
      </c>
      <c r="L58" s="74">
        <v>4.532687625138003</v>
      </c>
      <c r="M58" s="75">
        <v>1630.528076171875</v>
      </c>
      <c r="N58" s="75">
        <v>7058.54248046875</v>
      </c>
      <c r="O58" s="76"/>
      <c r="P58" s="77"/>
      <c r="Q58" s="77"/>
      <c r="R58" s="82"/>
      <c r="S58" s="49">
        <v>19</v>
      </c>
      <c r="T58" s="49">
        <v>12</v>
      </c>
      <c r="U58" s="50">
        <v>866.307428</v>
      </c>
      <c r="V58" s="50">
        <v>0.002222</v>
      </c>
      <c r="W58" s="50">
        <v>0.029496</v>
      </c>
      <c r="X58" s="50">
        <v>3.001513</v>
      </c>
      <c r="Y58" s="50">
        <v>0.4307692307692308</v>
      </c>
      <c r="Z58" s="50">
        <v>0.19230769230769232</v>
      </c>
      <c r="AA58" s="72">
        <v>58</v>
      </c>
      <c r="AB58" s="72"/>
      <c r="AC58" s="73"/>
      <c r="AD58" s="80" t="s">
        <v>445</v>
      </c>
      <c r="AE58" s="80"/>
      <c r="AF58" s="80"/>
      <c r="AG58" s="80" t="s">
        <v>918</v>
      </c>
      <c r="AH58" s="80" t="s">
        <v>1029</v>
      </c>
      <c r="AI58" s="80">
        <v>2436</v>
      </c>
      <c r="AJ58" s="80">
        <v>6</v>
      </c>
      <c r="AK58" s="80">
        <v>7</v>
      </c>
      <c r="AL58" s="80">
        <v>1</v>
      </c>
      <c r="AM58" s="80" t="s">
        <v>1155</v>
      </c>
      <c r="AN58" s="98" t="str">
        <f>HYPERLINK("https://www.youtube.com/watch?v=yknqOhpUtzQ")</f>
        <v>https://www.youtube.com/watch?v=yknqOhpUtzQ</v>
      </c>
      <c r="AO58" s="80" t="str">
        <f>REPLACE(INDEX(GroupVertices[Group],MATCH(Vertices[[#This Row],[Vertex]],GroupVertices[Vertex],0)),1,1,"")</f>
        <v>1</v>
      </c>
      <c r="AP58" s="49"/>
      <c r="AQ58" s="50"/>
      <c r="AR58" s="49"/>
      <c r="AS58" s="50"/>
      <c r="AT58" s="49"/>
      <c r="AU58" s="50"/>
      <c r="AV58" s="49"/>
      <c r="AW58" s="50"/>
      <c r="AX58" s="49"/>
      <c r="AY58" s="111" t="s">
        <v>1608</v>
      </c>
      <c r="AZ58" s="111" t="s">
        <v>1608</v>
      </c>
      <c r="BA58" s="111" t="s">
        <v>1608</v>
      </c>
      <c r="BB58" s="111" t="s">
        <v>1608</v>
      </c>
      <c r="BC58" s="2"/>
      <c r="BD58" s="3"/>
      <c r="BE58" s="3"/>
      <c r="BF58" s="3"/>
      <c r="BG58" s="3"/>
    </row>
    <row r="59" spans="1:59" ht="15">
      <c r="A59" s="65" t="s">
        <v>281</v>
      </c>
      <c r="B59" s="66" t="s">
        <v>1614</v>
      </c>
      <c r="C59" s="66"/>
      <c r="D59" s="67">
        <v>142.85714285714286</v>
      </c>
      <c r="E59" s="69">
        <v>56.25</v>
      </c>
      <c r="F59" s="96" t="str">
        <f>HYPERLINK("https://i.ytimg.com/vi/i08CLBnv4vA/default.jpg")</f>
        <v>https://i.ytimg.com/vi/i08CLBnv4vA/default.jpg</v>
      </c>
      <c r="G59" s="66"/>
      <c r="H59" s="70" t="s">
        <v>446</v>
      </c>
      <c r="I59" s="71"/>
      <c r="J59" s="71" t="s">
        <v>159</v>
      </c>
      <c r="K59" s="70" t="s">
        <v>446</v>
      </c>
      <c r="L59" s="74">
        <v>1.3449376415111993</v>
      </c>
      <c r="M59" s="75">
        <v>2240.28076171875</v>
      </c>
      <c r="N59" s="75">
        <v>8656.2353515625</v>
      </c>
      <c r="O59" s="76"/>
      <c r="P59" s="77"/>
      <c r="Q59" s="77"/>
      <c r="R59" s="82"/>
      <c r="S59" s="49">
        <v>1</v>
      </c>
      <c r="T59" s="49">
        <v>0</v>
      </c>
      <c r="U59" s="50">
        <v>0</v>
      </c>
      <c r="V59" s="50">
        <v>0.001587</v>
      </c>
      <c r="W59" s="50">
        <v>0.001285</v>
      </c>
      <c r="X59" s="50">
        <v>0.248126</v>
      </c>
      <c r="Y59" s="50">
        <v>0</v>
      </c>
      <c r="Z59" s="50">
        <v>0</v>
      </c>
      <c r="AA59" s="72">
        <v>59</v>
      </c>
      <c r="AB59" s="72"/>
      <c r="AC59" s="73"/>
      <c r="AD59" s="80" t="s">
        <v>446</v>
      </c>
      <c r="AE59" s="80" t="s">
        <v>625</v>
      </c>
      <c r="AF59" s="80"/>
      <c r="AG59" s="80" t="s">
        <v>918</v>
      </c>
      <c r="AH59" s="80" t="s">
        <v>1030</v>
      </c>
      <c r="AI59" s="80">
        <v>255</v>
      </c>
      <c r="AJ59" s="80">
        <v>0</v>
      </c>
      <c r="AK59" s="80">
        <v>4</v>
      </c>
      <c r="AL59" s="80">
        <v>0</v>
      </c>
      <c r="AM59" s="80" t="s">
        <v>1155</v>
      </c>
      <c r="AN59" s="98" t="str">
        <f>HYPERLINK("https://www.youtube.com/watch?v=i08CLBnv4vA")</f>
        <v>https://www.youtube.com/watch?v=i08CLBnv4vA</v>
      </c>
      <c r="AO59" s="80" t="str">
        <f>REPLACE(INDEX(GroupVertices[Group],MATCH(Vertices[[#This Row],[Vertex]],GroupVertices[Vertex],0)),1,1,"")</f>
        <v>1</v>
      </c>
      <c r="AP59" s="49"/>
      <c r="AQ59" s="50"/>
      <c r="AR59" s="49"/>
      <c r="AS59" s="50"/>
      <c r="AT59" s="49"/>
      <c r="AU59" s="50"/>
      <c r="AV59" s="49"/>
      <c r="AW59" s="50"/>
      <c r="AX59" s="49"/>
      <c r="AY59" s="49"/>
      <c r="AZ59" s="49"/>
      <c r="BA59" s="49"/>
      <c r="BB59" s="49"/>
      <c r="BC59" s="2"/>
      <c r="BD59" s="3"/>
      <c r="BE59" s="3"/>
      <c r="BF59" s="3"/>
      <c r="BG59" s="3"/>
    </row>
    <row r="60" spans="1:59" ht="15">
      <c r="A60" s="65" t="s">
        <v>282</v>
      </c>
      <c r="B60" s="66" t="s">
        <v>1614</v>
      </c>
      <c r="C60" s="66"/>
      <c r="D60" s="67">
        <v>142.85714285714286</v>
      </c>
      <c r="E60" s="69">
        <v>56.25</v>
      </c>
      <c r="F60" s="96" t="str">
        <f>HYPERLINK("https://i.ytimg.com/vi/TaCRec7KBMc/default.jpg")</f>
        <v>https://i.ytimg.com/vi/TaCRec7KBMc/default.jpg</v>
      </c>
      <c r="G60" s="66"/>
      <c r="H60" s="70" t="s">
        <v>447</v>
      </c>
      <c r="I60" s="71"/>
      <c r="J60" s="71" t="s">
        <v>159</v>
      </c>
      <c r="K60" s="70" t="s">
        <v>447</v>
      </c>
      <c r="L60" s="74">
        <v>1.2426256291985553</v>
      </c>
      <c r="M60" s="75">
        <v>1630.528076171875</v>
      </c>
      <c r="N60" s="75">
        <v>8656.2353515625</v>
      </c>
      <c r="O60" s="76"/>
      <c r="P60" s="77"/>
      <c r="Q60" s="77"/>
      <c r="R60" s="82"/>
      <c r="S60" s="49">
        <v>1</v>
      </c>
      <c r="T60" s="49">
        <v>0</v>
      </c>
      <c r="U60" s="50">
        <v>0</v>
      </c>
      <c r="V60" s="50">
        <v>0.001587</v>
      </c>
      <c r="W60" s="50">
        <v>0.001285</v>
      </c>
      <c r="X60" s="50">
        <v>0.248126</v>
      </c>
      <c r="Y60" s="50">
        <v>0</v>
      </c>
      <c r="Z60" s="50">
        <v>0</v>
      </c>
      <c r="AA60" s="72">
        <v>60</v>
      </c>
      <c r="AB60" s="72"/>
      <c r="AC60" s="73"/>
      <c r="AD60" s="80" t="s">
        <v>447</v>
      </c>
      <c r="AE60" s="80" t="s">
        <v>626</v>
      </c>
      <c r="AF60" s="80"/>
      <c r="AG60" s="80" t="s">
        <v>918</v>
      </c>
      <c r="AH60" s="80" t="s">
        <v>1031</v>
      </c>
      <c r="AI60" s="80">
        <v>185</v>
      </c>
      <c r="AJ60" s="80">
        <v>0</v>
      </c>
      <c r="AK60" s="80">
        <v>2</v>
      </c>
      <c r="AL60" s="80">
        <v>0</v>
      </c>
      <c r="AM60" s="80" t="s">
        <v>1155</v>
      </c>
      <c r="AN60" s="98" t="str">
        <f>HYPERLINK("https://www.youtube.com/watch?v=TaCRec7KBMc")</f>
        <v>https://www.youtube.com/watch?v=TaCRec7KBMc</v>
      </c>
      <c r="AO60" s="80" t="str">
        <f>REPLACE(INDEX(GroupVertices[Group],MATCH(Vertices[[#This Row],[Vertex]],GroupVertices[Vertex],0)),1,1,"")</f>
        <v>1</v>
      </c>
      <c r="AP60" s="49"/>
      <c r="AQ60" s="50"/>
      <c r="AR60" s="49"/>
      <c r="AS60" s="50"/>
      <c r="AT60" s="49"/>
      <c r="AU60" s="50"/>
      <c r="AV60" s="49"/>
      <c r="AW60" s="50"/>
      <c r="AX60" s="49"/>
      <c r="AY60" s="49"/>
      <c r="AZ60" s="49"/>
      <c r="BA60" s="49"/>
      <c r="BB60" s="49"/>
      <c r="BC60" s="2"/>
      <c r="BD60" s="3"/>
      <c r="BE60" s="3"/>
      <c r="BF60" s="3"/>
      <c r="BG60" s="3"/>
    </row>
    <row r="61" spans="1:59" ht="15">
      <c r="A61" s="65" t="s">
        <v>204</v>
      </c>
      <c r="B61" s="66" t="s">
        <v>1617</v>
      </c>
      <c r="C61" s="66"/>
      <c r="D61" s="67">
        <v>1000</v>
      </c>
      <c r="E61" s="69">
        <v>100</v>
      </c>
      <c r="F61" s="96" t="str">
        <f>HYPERLINK("https://i.ytimg.com/vi/9YcbpzQ3f8I/default.jpg")</f>
        <v>https://i.ytimg.com/vi/9YcbpzQ3f8I/default.jpg</v>
      </c>
      <c r="G61" s="66"/>
      <c r="H61" s="70" t="s">
        <v>448</v>
      </c>
      <c r="I61" s="71"/>
      <c r="J61" s="71" t="s">
        <v>75</v>
      </c>
      <c r="K61" s="70" t="s">
        <v>448</v>
      </c>
      <c r="L61" s="74">
        <v>4.898087669111731</v>
      </c>
      <c r="M61" s="75">
        <v>2240.28076171875</v>
      </c>
      <c r="N61" s="75">
        <v>7058.54248046875</v>
      </c>
      <c r="O61" s="76"/>
      <c r="P61" s="77"/>
      <c r="Q61" s="77"/>
      <c r="R61" s="82"/>
      <c r="S61" s="49">
        <v>21</v>
      </c>
      <c r="T61" s="49">
        <v>13</v>
      </c>
      <c r="U61" s="50">
        <v>715.776062</v>
      </c>
      <c r="V61" s="50">
        <v>0.002299</v>
      </c>
      <c r="W61" s="50">
        <v>0.03147</v>
      </c>
      <c r="X61" s="50">
        <v>3.188694</v>
      </c>
      <c r="Y61" s="50">
        <v>0.4166666666666667</v>
      </c>
      <c r="Z61" s="50">
        <v>0.21428571428571427</v>
      </c>
      <c r="AA61" s="72">
        <v>61</v>
      </c>
      <c r="AB61" s="72"/>
      <c r="AC61" s="73"/>
      <c r="AD61" s="80" t="s">
        <v>448</v>
      </c>
      <c r="AE61" s="80"/>
      <c r="AF61" s="80"/>
      <c r="AG61" s="80" t="s">
        <v>918</v>
      </c>
      <c r="AH61" s="80" t="s">
        <v>1032</v>
      </c>
      <c r="AI61" s="80">
        <v>2686</v>
      </c>
      <c r="AJ61" s="80">
        <v>0</v>
      </c>
      <c r="AK61" s="80">
        <v>14</v>
      </c>
      <c r="AL61" s="80">
        <v>0</v>
      </c>
      <c r="AM61" s="80" t="s">
        <v>1155</v>
      </c>
      <c r="AN61" s="98" t="str">
        <f>HYPERLINK("https://www.youtube.com/watch?v=9YcbpzQ3f8I")</f>
        <v>https://www.youtube.com/watch?v=9YcbpzQ3f8I</v>
      </c>
      <c r="AO61" s="80" t="str">
        <f>REPLACE(INDEX(GroupVertices[Group],MATCH(Vertices[[#This Row],[Vertex]],GroupVertices[Vertex],0)),1,1,"")</f>
        <v>1</v>
      </c>
      <c r="AP61" s="49"/>
      <c r="AQ61" s="50"/>
      <c r="AR61" s="49"/>
      <c r="AS61" s="50"/>
      <c r="AT61" s="49"/>
      <c r="AU61" s="50"/>
      <c r="AV61" s="49"/>
      <c r="AW61" s="50"/>
      <c r="AX61" s="49"/>
      <c r="AY61" s="111" t="s">
        <v>1608</v>
      </c>
      <c r="AZ61" s="111" t="s">
        <v>1608</v>
      </c>
      <c r="BA61" s="111" t="s">
        <v>1608</v>
      </c>
      <c r="BB61" s="111" t="s">
        <v>1608</v>
      </c>
      <c r="BC61" s="2"/>
      <c r="BD61" s="3"/>
      <c r="BE61" s="3"/>
      <c r="BF61" s="3"/>
      <c r="BG61" s="3"/>
    </row>
    <row r="62" spans="1:59" ht="15">
      <c r="A62" s="65" t="s">
        <v>283</v>
      </c>
      <c r="B62" s="66" t="s">
        <v>1614</v>
      </c>
      <c r="C62" s="66"/>
      <c r="D62" s="67">
        <v>142.85714285714286</v>
      </c>
      <c r="E62" s="69">
        <v>56.25</v>
      </c>
      <c r="F62" s="96" t="str">
        <f>HYPERLINK("https://i.ytimg.com/vi/qmWCn-y58ls/default.jpg")</f>
        <v>https://i.ytimg.com/vi/qmWCn-y58ls/default.jpg</v>
      </c>
      <c r="G62" s="66"/>
      <c r="H62" s="70" t="s">
        <v>449</v>
      </c>
      <c r="I62" s="71"/>
      <c r="J62" s="71" t="s">
        <v>159</v>
      </c>
      <c r="K62" s="70" t="s">
        <v>449</v>
      </c>
      <c r="L62" s="74">
        <v>1.847728102019049</v>
      </c>
      <c r="M62" s="75">
        <v>4679.29150390625</v>
      </c>
      <c r="N62" s="75">
        <v>8656.2353515625</v>
      </c>
      <c r="O62" s="76"/>
      <c r="P62" s="77"/>
      <c r="Q62" s="77"/>
      <c r="R62" s="82"/>
      <c r="S62" s="49">
        <v>1</v>
      </c>
      <c r="T62" s="49">
        <v>0</v>
      </c>
      <c r="U62" s="50">
        <v>0</v>
      </c>
      <c r="V62" s="50">
        <v>0.001626</v>
      </c>
      <c r="W62" s="50">
        <v>0.001371</v>
      </c>
      <c r="X62" s="50">
        <v>0.2468</v>
      </c>
      <c r="Y62" s="50">
        <v>0</v>
      </c>
      <c r="Z62" s="50">
        <v>0</v>
      </c>
      <c r="AA62" s="72">
        <v>62</v>
      </c>
      <c r="AB62" s="72"/>
      <c r="AC62" s="73"/>
      <c r="AD62" s="80" t="s">
        <v>449</v>
      </c>
      <c r="AE62" s="80"/>
      <c r="AF62" s="80"/>
      <c r="AG62" s="80" t="s">
        <v>918</v>
      </c>
      <c r="AH62" s="80" t="s">
        <v>1033</v>
      </c>
      <c r="AI62" s="80">
        <v>599</v>
      </c>
      <c r="AJ62" s="80">
        <v>0</v>
      </c>
      <c r="AK62" s="80">
        <v>13</v>
      </c>
      <c r="AL62" s="80">
        <v>0</v>
      </c>
      <c r="AM62" s="80" t="s">
        <v>1155</v>
      </c>
      <c r="AN62" s="98" t="str">
        <f>HYPERLINK("https://www.youtube.com/watch?v=qmWCn-y58ls")</f>
        <v>https://www.youtube.com/watch?v=qmWCn-y58ls</v>
      </c>
      <c r="AO62" s="80" t="str">
        <f>REPLACE(INDEX(GroupVertices[Group],MATCH(Vertices[[#This Row],[Vertex]],GroupVertices[Vertex],0)),1,1,"")</f>
        <v>1</v>
      </c>
      <c r="AP62" s="49"/>
      <c r="AQ62" s="50"/>
      <c r="AR62" s="49"/>
      <c r="AS62" s="50"/>
      <c r="AT62" s="49"/>
      <c r="AU62" s="50"/>
      <c r="AV62" s="49"/>
      <c r="AW62" s="50"/>
      <c r="AX62" s="49"/>
      <c r="AY62" s="49"/>
      <c r="AZ62" s="49"/>
      <c r="BA62" s="49"/>
      <c r="BB62" s="49"/>
      <c r="BC62" s="2"/>
      <c r="BD62" s="3"/>
      <c r="BE62" s="3"/>
      <c r="BF62" s="3"/>
      <c r="BG62" s="3"/>
    </row>
    <row r="63" spans="1:59" ht="15">
      <c r="A63" s="65" t="s">
        <v>205</v>
      </c>
      <c r="B63" s="66" t="s">
        <v>1615</v>
      </c>
      <c r="C63" s="66"/>
      <c r="D63" s="67">
        <v>1000</v>
      </c>
      <c r="E63" s="69">
        <v>100</v>
      </c>
      <c r="F63" s="96" t="str">
        <f>HYPERLINK("https://i.ytimg.com/vi/0snyC8fNhXo/default.jpg")</f>
        <v>https://i.ytimg.com/vi/0snyC8fNhXo/default.jpg</v>
      </c>
      <c r="G63" s="66"/>
      <c r="H63" s="70" t="s">
        <v>450</v>
      </c>
      <c r="I63" s="71"/>
      <c r="J63" s="71" t="s">
        <v>75</v>
      </c>
      <c r="K63" s="70" t="s">
        <v>450</v>
      </c>
      <c r="L63" s="74">
        <v>7.363807165846447</v>
      </c>
      <c r="M63" s="75">
        <v>3459.786376953125</v>
      </c>
      <c r="N63" s="75">
        <v>7058.54248046875</v>
      </c>
      <c r="O63" s="76"/>
      <c r="P63" s="77"/>
      <c r="Q63" s="77"/>
      <c r="R63" s="82"/>
      <c r="S63" s="49">
        <v>21</v>
      </c>
      <c r="T63" s="49">
        <v>11</v>
      </c>
      <c r="U63" s="50">
        <v>160.174498</v>
      </c>
      <c r="V63" s="50">
        <v>0.002232</v>
      </c>
      <c r="W63" s="50">
        <v>0.030004</v>
      </c>
      <c r="X63" s="50">
        <v>2.603422</v>
      </c>
      <c r="Y63" s="50">
        <v>0.5235507246376812</v>
      </c>
      <c r="Z63" s="50">
        <v>0.3333333333333333</v>
      </c>
      <c r="AA63" s="72">
        <v>63</v>
      </c>
      <c r="AB63" s="72"/>
      <c r="AC63" s="73"/>
      <c r="AD63" s="80" t="s">
        <v>450</v>
      </c>
      <c r="AE63" s="80"/>
      <c r="AF63" s="80"/>
      <c r="AG63" s="80" t="s">
        <v>918</v>
      </c>
      <c r="AH63" s="80" t="s">
        <v>1034</v>
      </c>
      <c r="AI63" s="80">
        <v>4373</v>
      </c>
      <c r="AJ63" s="80">
        <v>4</v>
      </c>
      <c r="AK63" s="80">
        <v>17</v>
      </c>
      <c r="AL63" s="80">
        <v>0</v>
      </c>
      <c r="AM63" s="80" t="s">
        <v>1155</v>
      </c>
      <c r="AN63" s="98" t="str">
        <f>HYPERLINK("https://www.youtube.com/watch?v=0snyC8fNhXo")</f>
        <v>https://www.youtube.com/watch?v=0snyC8fNhXo</v>
      </c>
      <c r="AO63" s="80" t="str">
        <f>REPLACE(INDEX(GroupVertices[Group],MATCH(Vertices[[#This Row],[Vertex]],GroupVertices[Vertex],0)),1,1,"")</f>
        <v>1</v>
      </c>
      <c r="AP63" s="49"/>
      <c r="AQ63" s="50"/>
      <c r="AR63" s="49"/>
      <c r="AS63" s="50"/>
      <c r="AT63" s="49"/>
      <c r="AU63" s="50"/>
      <c r="AV63" s="49"/>
      <c r="AW63" s="50"/>
      <c r="AX63" s="49"/>
      <c r="AY63" s="111" t="s">
        <v>1608</v>
      </c>
      <c r="AZ63" s="111" t="s">
        <v>1608</v>
      </c>
      <c r="BA63" s="111" t="s">
        <v>1608</v>
      </c>
      <c r="BB63" s="111" t="s">
        <v>1608</v>
      </c>
      <c r="BC63" s="2"/>
      <c r="BD63" s="3"/>
      <c r="BE63" s="3"/>
      <c r="BF63" s="3"/>
      <c r="BG63" s="3"/>
    </row>
    <row r="64" spans="1:59" ht="15">
      <c r="A64" s="65" t="s">
        <v>284</v>
      </c>
      <c r="B64" s="66" t="s">
        <v>1614</v>
      </c>
      <c r="C64" s="66"/>
      <c r="D64" s="67">
        <v>271.42857142857144</v>
      </c>
      <c r="E64" s="69">
        <v>75</v>
      </c>
      <c r="F64" s="96" t="str">
        <f>HYPERLINK("https://i.ytimg.com/vi/77Sq1DeXoyI/default.jpg")</f>
        <v>https://i.ytimg.com/vi/77Sq1DeXoyI/default.jpg</v>
      </c>
      <c r="G64" s="66"/>
      <c r="H64" s="70" t="s">
        <v>451</v>
      </c>
      <c r="I64" s="71"/>
      <c r="J64" s="71" t="s">
        <v>159</v>
      </c>
      <c r="K64" s="70" t="s">
        <v>451</v>
      </c>
      <c r="L64" s="74">
        <v>1.2090088251529725</v>
      </c>
      <c r="M64" s="75">
        <v>5289.0439453125</v>
      </c>
      <c r="N64" s="75">
        <v>9455.08203125</v>
      </c>
      <c r="O64" s="76"/>
      <c r="P64" s="77"/>
      <c r="Q64" s="77"/>
      <c r="R64" s="82"/>
      <c r="S64" s="49">
        <v>4</v>
      </c>
      <c r="T64" s="49">
        <v>0</v>
      </c>
      <c r="U64" s="50">
        <v>0</v>
      </c>
      <c r="V64" s="50">
        <v>0.001658</v>
      </c>
      <c r="W64" s="50">
        <v>0.00529</v>
      </c>
      <c r="X64" s="50">
        <v>0.529491</v>
      </c>
      <c r="Y64" s="50">
        <v>1</v>
      </c>
      <c r="Z64" s="50">
        <v>0</v>
      </c>
      <c r="AA64" s="72">
        <v>64</v>
      </c>
      <c r="AB64" s="72"/>
      <c r="AC64" s="73"/>
      <c r="AD64" s="80" t="s">
        <v>451</v>
      </c>
      <c r="AE64" s="80" t="s">
        <v>627</v>
      </c>
      <c r="AF64" s="80"/>
      <c r="AG64" s="80" t="s">
        <v>918</v>
      </c>
      <c r="AH64" s="80" t="s">
        <v>1035</v>
      </c>
      <c r="AI64" s="80">
        <v>162</v>
      </c>
      <c r="AJ64" s="80">
        <v>0</v>
      </c>
      <c r="AK64" s="80">
        <v>4</v>
      </c>
      <c r="AL64" s="80">
        <v>0</v>
      </c>
      <c r="AM64" s="80" t="s">
        <v>1155</v>
      </c>
      <c r="AN64" s="98" t="str">
        <f>HYPERLINK("https://www.youtube.com/watch?v=77Sq1DeXoyI")</f>
        <v>https://www.youtube.com/watch?v=77Sq1DeXoyI</v>
      </c>
      <c r="AO64" s="80" t="str">
        <f>REPLACE(INDEX(GroupVertices[Group],MATCH(Vertices[[#This Row],[Vertex]],GroupVertices[Vertex],0)),1,1,"")</f>
        <v>1</v>
      </c>
      <c r="AP64" s="49"/>
      <c r="AQ64" s="50"/>
      <c r="AR64" s="49"/>
      <c r="AS64" s="50"/>
      <c r="AT64" s="49"/>
      <c r="AU64" s="50"/>
      <c r="AV64" s="49"/>
      <c r="AW64" s="50"/>
      <c r="AX64" s="49"/>
      <c r="AY64" s="49"/>
      <c r="AZ64" s="49"/>
      <c r="BA64" s="49"/>
      <c r="BB64" s="49"/>
      <c r="BC64" s="2"/>
      <c r="BD64" s="3"/>
      <c r="BE64" s="3"/>
      <c r="BF64" s="3"/>
      <c r="BG64" s="3"/>
    </row>
    <row r="65" spans="1:59" ht="15">
      <c r="A65" s="65" t="s">
        <v>206</v>
      </c>
      <c r="B65" s="66" t="s">
        <v>1617</v>
      </c>
      <c r="C65" s="66"/>
      <c r="D65" s="67">
        <v>957.1428571428571</v>
      </c>
      <c r="E65" s="69">
        <v>100</v>
      </c>
      <c r="F65" s="96" t="str">
        <f>HYPERLINK("https://i.ytimg.com/vi/GDEZBIXOz_c/default.jpg")</f>
        <v>https://i.ytimg.com/vi/GDEZBIXOz_c/default.jpg</v>
      </c>
      <c r="G65" s="66"/>
      <c r="H65" s="70" t="s">
        <v>452</v>
      </c>
      <c r="I65" s="71"/>
      <c r="J65" s="71" t="s">
        <v>75</v>
      </c>
      <c r="K65" s="70" t="s">
        <v>452</v>
      </c>
      <c r="L65" s="74">
        <v>3.0886266513538296</v>
      </c>
      <c r="M65" s="75">
        <v>4069.538818359375</v>
      </c>
      <c r="N65" s="75">
        <v>7857.3896484375</v>
      </c>
      <c r="O65" s="76"/>
      <c r="P65" s="77"/>
      <c r="Q65" s="77"/>
      <c r="R65" s="82"/>
      <c r="S65" s="49">
        <v>20</v>
      </c>
      <c r="T65" s="49">
        <v>13</v>
      </c>
      <c r="U65" s="50">
        <v>192.442694</v>
      </c>
      <c r="V65" s="50">
        <v>0.002252</v>
      </c>
      <c r="W65" s="50">
        <v>0.030447</v>
      </c>
      <c r="X65" s="50">
        <v>2.716491</v>
      </c>
      <c r="Y65" s="50">
        <v>0.49166666666666664</v>
      </c>
      <c r="Z65" s="50">
        <v>0.32</v>
      </c>
      <c r="AA65" s="72">
        <v>65</v>
      </c>
      <c r="AB65" s="72"/>
      <c r="AC65" s="73"/>
      <c r="AD65" s="80" t="s">
        <v>452</v>
      </c>
      <c r="AE65" s="80"/>
      <c r="AF65" s="80"/>
      <c r="AG65" s="80" t="s">
        <v>918</v>
      </c>
      <c r="AH65" s="80" t="s">
        <v>1036</v>
      </c>
      <c r="AI65" s="80">
        <v>1448</v>
      </c>
      <c r="AJ65" s="80">
        <v>0</v>
      </c>
      <c r="AK65" s="80">
        <v>11</v>
      </c>
      <c r="AL65" s="80">
        <v>1</v>
      </c>
      <c r="AM65" s="80" t="s">
        <v>1155</v>
      </c>
      <c r="AN65" s="98" t="str">
        <f>HYPERLINK("https://www.youtube.com/watch?v=GDEZBIXOz_c")</f>
        <v>https://www.youtube.com/watch?v=GDEZBIXOz_c</v>
      </c>
      <c r="AO65" s="80" t="str">
        <f>REPLACE(INDEX(GroupVertices[Group],MATCH(Vertices[[#This Row],[Vertex]],GroupVertices[Vertex],0)),1,1,"")</f>
        <v>1</v>
      </c>
      <c r="AP65" s="49"/>
      <c r="AQ65" s="50"/>
      <c r="AR65" s="49"/>
      <c r="AS65" s="50"/>
      <c r="AT65" s="49"/>
      <c r="AU65" s="50"/>
      <c r="AV65" s="49"/>
      <c r="AW65" s="50"/>
      <c r="AX65" s="49"/>
      <c r="AY65" s="111" t="s">
        <v>1608</v>
      </c>
      <c r="AZ65" s="111" t="s">
        <v>1608</v>
      </c>
      <c r="BA65" s="111" t="s">
        <v>1608</v>
      </c>
      <c r="BB65" s="111" t="s">
        <v>1608</v>
      </c>
      <c r="BC65" s="2"/>
      <c r="BD65" s="3"/>
      <c r="BE65" s="3"/>
      <c r="BF65" s="3"/>
      <c r="BG65" s="3"/>
    </row>
    <row r="66" spans="1:59" ht="15">
      <c r="A66" s="65" t="s">
        <v>207</v>
      </c>
      <c r="B66" s="66" t="s">
        <v>1618</v>
      </c>
      <c r="C66" s="66"/>
      <c r="D66" s="67">
        <v>528.5714285714286</v>
      </c>
      <c r="E66" s="69">
        <v>100</v>
      </c>
      <c r="F66" s="96" t="str">
        <f>HYPERLINK("https://i.ytimg.com/vi/kCApYWeu-kE/default.jpg")</f>
        <v>https://i.ytimg.com/vi/kCApYWeu-kE/default.jpg</v>
      </c>
      <c r="G66" s="66"/>
      <c r="H66" s="70" t="s">
        <v>453</v>
      </c>
      <c r="I66" s="71"/>
      <c r="J66" s="71" t="s">
        <v>75</v>
      </c>
      <c r="K66" s="70" t="s">
        <v>453</v>
      </c>
      <c r="L66" s="74">
        <v>1.0467712056286371</v>
      </c>
      <c r="M66" s="75">
        <v>8247.5830078125</v>
      </c>
      <c r="N66" s="75">
        <v>9502.9033203125</v>
      </c>
      <c r="O66" s="76"/>
      <c r="P66" s="77"/>
      <c r="Q66" s="77"/>
      <c r="R66" s="82"/>
      <c r="S66" s="49">
        <v>10</v>
      </c>
      <c r="T66" s="49">
        <v>14</v>
      </c>
      <c r="U66" s="50">
        <v>2169.102225</v>
      </c>
      <c r="V66" s="50">
        <v>0.002198</v>
      </c>
      <c r="W66" s="50">
        <v>0.0228</v>
      </c>
      <c r="X66" s="50">
        <v>3.299151</v>
      </c>
      <c r="Y66" s="50">
        <v>0.34189723320158105</v>
      </c>
      <c r="Z66" s="50">
        <v>0.043478260869565216</v>
      </c>
      <c r="AA66" s="72">
        <v>66</v>
      </c>
      <c r="AB66" s="72"/>
      <c r="AC66" s="73"/>
      <c r="AD66" s="80" t="s">
        <v>453</v>
      </c>
      <c r="AE66" s="80" t="s">
        <v>628</v>
      </c>
      <c r="AF66" s="80" t="s">
        <v>783</v>
      </c>
      <c r="AG66" s="80" t="s">
        <v>919</v>
      </c>
      <c r="AH66" s="80" t="s">
        <v>1037</v>
      </c>
      <c r="AI66" s="80">
        <v>51</v>
      </c>
      <c r="AJ66" s="80">
        <v>0</v>
      </c>
      <c r="AK66" s="80">
        <v>0</v>
      </c>
      <c r="AL66" s="80">
        <v>0</v>
      </c>
      <c r="AM66" s="80" t="s">
        <v>1155</v>
      </c>
      <c r="AN66" s="98" t="str">
        <f>HYPERLINK("https://www.youtube.com/watch?v=kCApYWeu-kE")</f>
        <v>https://www.youtube.com/watch?v=kCApYWeu-kE</v>
      </c>
      <c r="AO66" s="80" t="str">
        <f>REPLACE(INDEX(GroupVertices[Group],MATCH(Vertices[[#This Row],[Vertex]],GroupVertices[Vertex],0)),1,1,"")</f>
        <v>4</v>
      </c>
      <c r="AP66" s="49">
        <v>0</v>
      </c>
      <c r="AQ66" s="50">
        <v>0</v>
      </c>
      <c r="AR66" s="49">
        <v>0</v>
      </c>
      <c r="AS66" s="50">
        <v>0</v>
      </c>
      <c r="AT66" s="49">
        <v>0</v>
      </c>
      <c r="AU66" s="50">
        <v>0</v>
      </c>
      <c r="AV66" s="49">
        <v>8</v>
      </c>
      <c r="AW66" s="50">
        <v>100</v>
      </c>
      <c r="AX66" s="49">
        <v>8</v>
      </c>
      <c r="AY66" s="111" t="s">
        <v>1608</v>
      </c>
      <c r="AZ66" s="111" t="s">
        <v>1608</v>
      </c>
      <c r="BA66" s="111" t="s">
        <v>1608</v>
      </c>
      <c r="BB66" s="111" t="s">
        <v>1608</v>
      </c>
      <c r="BC66" s="2"/>
      <c r="BD66" s="3"/>
      <c r="BE66" s="3"/>
      <c r="BF66" s="3"/>
      <c r="BG66" s="3"/>
    </row>
    <row r="67" spans="1:59" ht="15">
      <c r="A67" s="65" t="s">
        <v>285</v>
      </c>
      <c r="B67" s="66" t="s">
        <v>1614</v>
      </c>
      <c r="C67" s="66"/>
      <c r="D67" s="67">
        <v>142.85714285714286</v>
      </c>
      <c r="E67" s="69">
        <v>56.25</v>
      </c>
      <c r="F67" s="96" t="str">
        <f>HYPERLINK("https://i.ytimg.com/vi/i9Fx-BIbzCE/default.jpg")</f>
        <v>https://i.ytimg.com/vi/i9Fx-BIbzCE/default.jpg</v>
      </c>
      <c r="G67" s="66"/>
      <c r="H67" s="70" t="s">
        <v>454</v>
      </c>
      <c r="I67" s="71"/>
      <c r="J67" s="71" t="s">
        <v>159</v>
      </c>
      <c r="K67" s="70" t="s">
        <v>454</v>
      </c>
      <c r="L67" s="74">
        <v>3.49641310042851</v>
      </c>
      <c r="M67" s="75">
        <v>9563.7998046875</v>
      </c>
      <c r="N67" s="75">
        <v>8799.6982421875</v>
      </c>
      <c r="O67" s="76"/>
      <c r="P67" s="77"/>
      <c r="Q67" s="77"/>
      <c r="R67" s="82"/>
      <c r="S67" s="49">
        <v>1</v>
      </c>
      <c r="T67" s="49">
        <v>0</v>
      </c>
      <c r="U67" s="50">
        <v>0</v>
      </c>
      <c r="V67" s="50">
        <v>0.001575</v>
      </c>
      <c r="W67" s="50">
        <v>0.000993</v>
      </c>
      <c r="X67" s="50">
        <v>0.271925</v>
      </c>
      <c r="Y67" s="50">
        <v>0</v>
      </c>
      <c r="Z67" s="50">
        <v>0</v>
      </c>
      <c r="AA67" s="72">
        <v>67</v>
      </c>
      <c r="AB67" s="72"/>
      <c r="AC67" s="73"/>
      <c r="AD67" s="80" t="s">
        <v>454</v>
      </c>
      <c r="AE67" s="80"/>
      <c r="AF67" s="80" t="s">
        <v>784</v>
      </c>
      <c r="AG67" s="80" t="s">
        <v>920</v>
      </c>
      <c r="AH67" s="80" t="s">
        <v>1038</v>
      </c>
      <c r="AI67" s="80">
        <v>1727</v>
      </c>
      <c r="AJ67" s="80">
        <v>0</v>
      </c>
      <c r="AK67" s="80">
        <v>5</v>
      </c>
      <c r="AL67" s="80">
        <v>0</v>
      </c>
      <c r="AM67" s="80" t="s">
        <v>1155</v>
      </c>
      <c r="AN67" s="98" t="str">
        <f>HYPERLINK("https://www.youtube.com/watch?v=i9Fx-BIbzCE")</f>
        <v>https://www.youtube.com/watch?v=i9Fx-BIbzCE</v>
      </c>
      <c r="AO67" s="80" t="str">
        <f>REPLACE(INDEX(GroupVertices[Group],MATCH(Vertices[[#This Row],[Vertex]],GroupVertices[Vertex],0)),1,1,"")</f>
        <v>4</v>
      </c>
      <c r="AP67" s="49">
        <v>0</v>
      </c>
      <c r="AQ67" s="50">
        <v>0</v>
      </c>
      <c r="AR67" s="49">
        <v>0</v>
      </c>
      <c r="AS67" s="50">
        <v>0</v>
      </c>
      <c r="AT67" s="49">
        <v>0</v>
      </c>
      <c r="AU67" s="50">
        <v>0</v>
      </c>
      <c r="AV67" s="49">
        <v>6</v>
      </c>
      <c r="AW67" s="50">
        <v>100</v>
      </c>
      <c r="AX67" s="49">
        <v>6</v>
      </c>
      <c r="AY67" s="49"/>
      <c r="AZ67" s="49"/>
      <c r="BA67" s="49"/>
      <c r="BB67" s="49"/>
      <c r="BC67" s="2"/>
      <c r="BD67" s="3"/>
      <c r="BE67" s="3"/>
      <c r="BF67" s="3"/>
      <c r="BG67" s="3"/>
    </row>
    <row r="68" spans="1:59" ht="15">
      <c r="A68" s="65" t="s">
        <v>286</v>
      </c>
      <c r="B68" s="66" t="s">
        <v>1614</v>
      </c>
      <c r="C68" s="66"/>
      <c r="D68" s="67">
        <v>142.85714285714286</v>
      </c>
      <c r="E68" s="69">
        <v>56.25</v>
      </c>
      <c r="F68" s="96" t="str">
        <f>HYPERLINK("https://i.ytimg.com/vi/Q2JBLuQDUvI/default.jpg")</f>
        <v>https://i.ytimg.com/vi/Q2JBLuQDUvI/default.jpg</v>
      </c>
      <c r="G68" s="66"/>
      <c r="H68" s="70" t="s">
        <v>455</v>
      </c>
      <c r="I68" s="71"/>
      <c r="J68" s="71" t="s">
        <v>159</v>
      </c>
      <c r="K68" s="70" t="s">
        <v>455</v>
      </c>
      <c r="L68" s="74">
        <v>164.88338132239292</v>
      </c>
      <c r="M68" s="75">
        <v>8905.69140625</v>
      </c>
      <c r="N68" s="75">
        <v>5986.876953125</v>
      </c>
      <c r="O68" s="76"/>
      <c r="P68" s="77"/>
      <c r="Q68" s="77"/>
      <c r="R68" s="82"/>
      <c r="S68" s="49">
        <v>1</v>
      </c>
      <c r="T68" s="49">
        <v>0</v>
      </c>
      <c r="U68" s="50">
        <v>0</v>
      </c>
      <c r="V68" s="50">
        <v>0.001575</v>
      </c>
      <c r="W68" s="50">
        <v>0.000993</v>
      </c>
      <c r="X68" s="50">
        <v>0.271925</v>
      </c>
      <c r="Y68" s="50">
        <v>0</v>
      </c>
      <c r="Z68" s="50">
        <v>0</v>
      </c>
      <c r="AA68" s="72">
        <v>68</v>
      </c>
      <c r="AB68" s="72"/>
      <c r="AC68" s="73"/>
      <c r="AD68" s="80" t="s">
        <v>455</v>
      </c>
      <c r="AE68" s="80" t="s">
        <v>629</v>
      </c>
      <c r="AF68" s="80" t="s">
        <v>785</v>
      </c>
      <c r="AG68" s="80" t="s">
        <v>921</v>
      </c>
      <c r="AH68" s="80" t="s">
        <v>1039</v>
      </c>
      <c r="AI68" s="80">
        <v>112145</v>
      </c>
      <c r="AJ68" s="80">
        <v>94</v>
      </c>
      <c r="AK68" s="80">
        <v>1212</v>
      </c>
      <c r="AL68" s="80">
        <v>25</v>
      </c>
      <c r="AM68" s="80" t="s">
        <v>1155</v>
      </c>
      <c r="AN68" s="98" t="str">
        <f>HYPERLINK("https://www.youtube.com/watch?v=Q2JBLuQDUvI")</f>
        <v>https://www.youtube.com/watch?v=Q2JBLuQDUvI</v>
      </c>
      <c r="AO68" s="80" t="str">
        <f>REPLACE(INDEX(GroupVertices[Group],MATCH(Vertices[[#This Row],[Vertex]],GroupVertices[Vertex],0)),1,1,"")</f>
        <v>4</v>
      </c>
      <c r="AP68" s="49">
        <v>0</v>
      </c>
      <c r="AQ68" s="50">
        <v>0</v>
      </c>
      <c r="AR68" s="49">
        <v>0</v>
      </c>
      <c r="AS68" s="50">
        <v>0</v>
      </c>
      <c r="AT68" s="49">
        <v>0</v>
      </c>
      <c r="AU68" s="50">
        <v>0</v>
      </c>
      <c r="AV68" s="49">
        <v>6</v>
      </c>
      <c r="AW68" s="50">
        <v>100</v>
      </c>
      <c r="AX68" s="49">
        <v>6</v>
      </c>
      <c r="AY68" s="49"/>
      <c r="AZ68" s="49"/>
      <c r="BA68" s="49"/>
      <c r="BB68" s="49"/>
      <c r="BC68" s="2"/>
      <c r="BD68" s="3"/>
      <c r="BE68" s="3"/>
      <c r="BF68" s="3"/>
      <c r="BG68" s="3"/>
    </row>
    <row r="69" spans="1:59" ht="15">
      <c r="A69" s="65" t="s">
        <v>287</v>
      </c>
      <c r="B69" s="66" t="s">
        <v>1614</v>
      </c>
      <c r="C69" s="66"/>
      <c r="D69" s="67">
        <v>142.85714285714286</v>
      </c>
      <c r="E69" s="69">
        <v>56.25</v>
      </c>
      <c r="F69" s="96" t="str">
        <f>HYPERLINK("https://i.ytimg.com/vi/_rqGCAgIzX4/default.jpg")</f>
        <v>https://i.ytimg.com/vi/_rqGCAgIzX4/default.jpg</v>
      </c>
      <c r="G69" s="66"/>
      <c r="H69" s="70" t="s">
        <v>456</v>
      </c>
      <c r="I69" s="71"/>
      <c r="J69" s="71" t="s">
        <v>159</v>
      </c>
      <c r="K69" s="70" t="s">
        <v>456</v>
      </c>
      <c r="L69" s="74">
        <v>10.430244334873974</v>
      </c>
      <c r="M69" s="75">
        <v>8905.69140625</v>
      </c>
      <c r="N69" s="75">
        <v>7393.28759765625</v>
      </c>
      <c r="O69" s="76"/>
      <c r="P69" s="77"/>
      <c r="Q69" s="77"/>
      <c r="R69" s="82"/>
      <c r="S69" s="49">
        <v>1</v>
      </c>
      <c r="T69" s="49">
        <v>0</v>
      </c>
      <c r="U69" s="50">
        <v>0</v>
      </c>
      <c r="V69" s="50">
        <v>0.001575</v>
      </c>
      <c r="W69" s="50">
        <v>0.000993</v>
      </c>
      <c r="X69" s="50">
        <v>0.271925</v>
      </c>
      <c r="Y69" s="50">
        <v>0</v>
      </c>
      <c r="Z69" s="50">
        <v>0</v>
      </c>
      <c r="AA69" s="72">
        <v>69</v>
      </c>
      <c r="AB69" s="72"/>
      <c r="AC69" s="73"/>
      <c r="AD69" s="80" t="s">
        <v>456</v>
      </c>
      <c r="AE69" s="80" t="s">
        <v>630</v>
      </c>
      <c r="AF69" s="80" t="s">
        <v>786</v>
      </c>
      <c r="AG69" s="80" t="s">
        <v>922</v>
      </c>
      <c r="AH69" s="80" t="s">
        <v>1040</v>
      </c>
      <c r="AI69" s="80">
        <v>6471</v>
      </c>
      <c r="AJ69" s="80">
        <v>22</v>
      </c>
      <c r="AK69" s="80">
        <v>165</v>
      </c>
      <c r="AL69" s="80">
        <v>6</v>
      </c>
      <c r="AM69" s="80" t="s">
        <v>1155</v>
      </c>
      <c r="AN69" s="98" t="str">
        <f>HYPERLINK("https://www.youtube.com/watch?v=_rqGCAgIzX4")</f>
        <v>https://www.youtube.com/watch?v=_rqGCAgIzX4</v>
      </c>
      <c r="AO69" s="80" t="str">
        <f>REPLACE(INDEX(GroupVertices[Group],MATCH(Vertices[[#This Row],[Vertex]],GroupVertices[Vertex],0)),1,1,"")</f>
        <v>4</v>
      </c>
      <c r="AP69" s="49">
        <v>0</v>
      </c>
      <c r="AQ69" s="50">
        <v>0</v>
      </c>
      <c r="AR69" s="49">
        <v>0</v>
      </c>
      <c r="AS69" s="50">
        <v>0</v>
      </c>
      <c r="AT69" s="49">
        <v>0</v>
      </c>
      <c r="AU69" s="50">
        <v>0</v>
      </c>
      <c r="AV69" s="49">
        <v>37</v>
      </c>
      <c r="AW69" s="50">
        <v>100</v>
      </c>
      <c r="AX69" s="49">
        <v>37</v>
      </c>
      <c r="AY69" s="49"/>
      <c r="AZ69" s="49"/>
      <c r="BA69" s="49"/>
      <c r="BB69" s="49"/>
      <c r="BC69" s="2"/>
      <c r="BD69" s="3"/>
      <c r="BE69" s="3"/>
      <c r="BF69" s="3"/>
      <c r="BG69" s="3"/>
    </row>
    <row r="70" spans="1:59" ht="15">
      <c r="A70" s="65" t="s">
        <v>288</v>
      </c>
      <c r="B70" s="66" t="s">
        <v>1614</v>
      </c>
      <c r="C70" s="66"/>
      <c r="D70" s="67">
        <v>142.85714285714286</v>
      </c>
      <c r="E70" s="69">
        <v>56.25</v>
      </c>
      <c r="F70" s="96" t="str">
        <f>HYPERLINK("https://i.ytimg.com/vi/tBbGCQnxqys/default.jpg")</f>
        <v>https://i.ytimg.com/vi/tBbGCQnxqys/default.jpg</v>
      </c>
      <c r="G70" s="66"/>
      <c r="H70" s="70" t="s">
        <v>457</v>
      </c>
      <c r="I70" s="71"/>
      <c r="J70" s="71" t="s">
        <v>159</v>
      </c>
      <c r="K70" s="70" t="s">
        <v>457</v>
      </c>
      <c r="L70" s="74">
        <v>49.026720179730916</v>
      </c>
      <c r="M70" s="75">
        <v>9563.7998046875</v>
      </c>
      <c r="N70" s="75">
        <v>6690.08251953125</v>
      </c>
      <c r="O70" s="76"/>
      <c r="P70" s="77"/>
      <c r="Q70" s="77"/>
      <c r="R70" s="82"/>
      <c r="S70" s="49">
        <v>1</v>
      </c>
      <c r="T70" s="49">
        <v>0</v>
      </c>
      <c r="U70" s="50">
        <v>0</v>
      </c>
      <c r="V70" s="50">
        <v>0.001575</v>
      </c>
      <c r="W70" s="50">
        <v>0.000993</v>
      </c>
      <c r="X70" s="50">
        <v>0.271925</v>
      </c>
      <c r="Y70" s="50">
        <v>0</v>
      </c>
      <c r="Z70" s="50">
        <v>0</v>
      </c>
      <c r="AA70" s="72">
        <v>70</v>
      </c>
      <c r="AB70" s="72"/>
      <c r="AC70" s="73"/>
      <c r="AD70" s="80" t="s">
        <v>457</v>
      </c>
      <c r="AE70" s="80"/>
      <c r="AF70" s="80"/>
      <c r="AG70" s="80" t="s">
        <v>923</v>
      </c>
      <c r="AH70" s="80" t="s">
        <v>1041</v>
      </c>
      <c r="AI70" s="80">
        <v>32878</v>
      </c>
      <c r="AJ70" s="80">
        <v>9</v>
      </c>
      <c r="AK70" s="80">
        <v>297</v>
      </c>
      <c r="AL70" s="80">
        <v>13</v>
      </c>
      <c r="AM70" s="80" t="s">
        <v>1155</v>
      </c>
      <c r="AN70" s="98" t="str">
        <f>HYPERLINK("https://www.youtube.com/watch?v=tBbGCQnxqys")</f>
        <v>https://www.youtube.com/watch?v=tBbGCQnxqys</v>
      </c>
      <c r="AO70" s="80" t="str">
        <f>REPLACE(INDEX(GroupVertices[Group],MATCH(Vertices[[#This Row],[Vertex]],GroupVertices[Vertex],0)),1,1,"")</f>
        <v>4</v>
      </c>
      <c r="AP70" s="49"/>
      <c r="AQ70" s="50"/>
      <c r="AR70" s="49"/>
      <c r="AS70" s="50"/>
      <c r="AT70" s="49"/>
      <c r="AU70" s="50"/>
      <c r="AV70" s="49"/>
      <c r="AW70" s="50"/>
      <c r="AX70" s="49"/>
      <c r="AY70" s="49"/>
      <c r="AZ70" s="49"/>
      <c r="BA70" s="49"/>
      <c r="BB70" s="49"/>
      <c r="BC70" s="2"/>
      <c r="BD70" s="3"/>
      <c r="BE70" s="3"/>
      <c r="BF70" s="3"/>
      <c r="BG70" s="3"/>
    </row>
    <row r="71" spans="1:59" ht="15">
      <c r="A71" s="65" t="s">
        <v>289</v>
      </c>
      <c r="B71" s="66" t="s">
        <v>1614</v>
      </c>
      <c r="C71" s="66"/>
      <c r="D71" s="67">
        <v>142.85714285714286</v>
      </c>
      <c r="E71" s="69">
        <v>56.25</v>
      </c>
      <c r="F71" s="96" t="str">
        <f>HYPERLINK("https://i.ytimg.com/vi/a_5qZ786BDo/default.jpg")</f>
        <v>https://i.ytimg.com/vi/a_5qZ786BDo/default.jpg</v>
      </c>
      <c r="G71" s="66"/>
      <c r="H71" s="70" t="s">
        <v>458</v>
      </c>
      <c r="I71" s="71"/>
      <c r="J71" s="71" t="s">
        <v>159</v>
      </c>
      <c r="K71" s="70" t="s">
        <v>458</v>
      </c>
      <c r="L71" s="74">
        <v>10.802952379727175</v>
      </c>
      <c r="M71" s="75">
        <v>9563.7998046875</v>
      </c>
      <c r="N71" s="75">
        <v>7393.28759765625</v>
      </c>
      <c r="O71" s="76"/>
      <c r="P71" s="77"/>
      <c r="Q71" s="77"/>
      <c r="R71" s="82"/>
      <c r="S71" s="49">
        <v>1</v>
      </c>
      <c r="T71" s="49">
        <v>0</v>
      </c>
      <c r="U71" s="50">
        <v>0</v>
      </c>
      <c r="V71" s="50">
        <v>0.001575</v>
      </c>
      <c r="W71" s="50">
        <v>0.000993</v>
      </c>
      <c r="X71" s="50">
        <v>0.271925</v>
      </c>
      <c r="Y71" s="50">
        <v>0</v>
      </c>
      <c r="Z71" s="50">
        <v>0</v>
      </c>
      <c r="AA71" s="72">
        <v>71</v>
      </c>
      <c r="AB71" s="72"/>
      <c r="AC71" s="73"/>
      <c r="AD71" s="80" t="s">
        <v>458</v>
      </c>
      <c r="AE71" s="80" t="s">
        <v>631</v>
      </c>
      <c r="AF71" s="80"/>
      <c r="AG71" s="80" t="s">
        <v>924</v>
      </c>
      <c r="AH71" s="80" t="s">
        <v>1042</v>
      </c>
      <c r="AI71" s="80">
        <v>6726</v>
      </c>
      <c r="AJ71" s="80">
        <v>7</v>
      </c>
      <c r="AK71" s="80">
        <v>57</v>
      </c>
      <c r="AL71" s="80">
        <v>0</v>
      </c>
      <c r="AM71" s="80" t="s">
        <v>1155</v>
      </c>
      <c r="AN71" s="98" t="str">
        <f>HYPERLINK("https://www.youtube.com/watch?v=a_5qZ786BDo")</f>
        <v>https://www.youtube.com/watch?v=a_5qZ786BDo</v>
      </c>
      <c r="AO71" s="80" t="str">
        <f>REPLACE(INDEX(GroupVertices[Group],MATCH(Vertices[[#This Row],[Vertex]],GroupVertices[Vertex],0)),1,1,"")</f>
        <v>4</v>
      </c>
      <c r="AP71" s="49"/>
      <c r="AQ71" s="50"/>
      <c r="AR71" s="49"/>
      <c r="AS71" s="50"/>
      <c r="AT71" s="49"/>
      <c r="AU71" s="50"/>
      <c r="AV71" s="49"/>
      <c r="AW71" s="50"/>
      <c r="AX71" s="49"/>
      <c r="AY71" s="49"/>
      <c r="AZ71" s="49"/>
      <c r="BA71" s="49"/>
      <c r="BB71" s="49"/>
      <c r="BC71" s="2"/>
      <c r="BD71" s="3"/>
      <c r="BE71" s="3"/>
      <c r="BF71" s="3"/>
      <c r="BG71" s="3"/>
    </row>
    <row r="72" spans="1:59" ht="15">
      <c r="A72" s="65" t="s">
        <v>290</v>
      </c>
      <c r="B72" s="66" t="s">
        <v>1614</v>
      </c>
      <c r="C72" s="66"/>
      <c r="D72" s="67">
        <v>142.85714285714286</v>
      </c>
      <c r="E72" s="69">
        <v>56.25</v>
      </c>
      <c r="F72" s="96" t="str">
        <f>HYPERLINK("https://i.ytimg.com/vi/UyD6-wg9600/default.jpg")</f>
        <v>https://i.ytimg.com/vi/UyD6-wg9600/default.jpg</v>
      </c>
      <c r="G72" s="66"/>
      <c r="H72" s="70" t="s">
        <v>459</v>
      </c>
      <c r="I72" s="71"/>
      <c r="J72" s="71" t="s">
        <v>159</v>
      </c>
      <c r="K72" s="70" t="s">
        <v>459</v>
      </c>
      <c r="L72" s="74">
        <v>12.891579031081005</v>
      </c>
      <c r="M72" s="75">
        <v>8247.5830078125</v>
      </c>
      <c r="N72" s="75">
        <v>6690.08251953125</v>
      </c>
      <c r="O72" s="76"/>
      <c r="P72" s="77"/>
      <c r="Q72" s="77"/>
      <c r="R72" s="82"/>
      <c r="S72" s="49">
        <v>1</v>
      </c>
      <c r="T72" s="49">
        <v>0</v>
      </c>
      <c r="U72" s="50">
        <v>0</v>
      </c>
      <c r="V72" s="50">
        <v>0.001575</v>
      </c>
      <c r="W72" s="50">
        <v>0.000993</v>
      </c>
      <c r="X72" s="50">
        <v>0.271925</v>
      </c>
      <c r="Y72" s="50">
        <v>0</v>
      </c>
      <c r="Z72" s="50">
        <v>0</v>
      </c>
      <c r="AA72" s="72">
        <v>72</v>
      </c>
      <c r="AB72" s="72"/>
      <c r="AC72" s="73"/>
      <c r="AD72" s="80" t="s">
        <v>459</v>
      </c>
      <c r="AE72" s="80" t="s">
        <v>632</v>
      </c>
      <c r="AF72" s="80"/>
      <c r="AG72" s="80" t="s">
        <v>925</v>
      </c>
      <c r="AH72" s="80" t="s">
        <v>1043</v>
      </c>
      <c r="AI72" s="80">
        <v>8155</v>
      </c>
      <c r="AJ72" s="80">
        <v>3</v>
      </c>
      <c r="AK72" s="80">
        <v>85</v>
      </c>
      <c r="AL72" s="80">
        <v>0</v>
      </c>
      <c r="AM72" s="80" t="s">
        <v>1155</v>
      </c>
      <c r="AN72" s="98" t="str">
        <f>HYPERLINK("https://www.youtube.com/watch?v=UyD6-wg9600")</f>
        <v>https://www.youtube.com/watch?v=UyD6-wg9600</v>
      </c>
      <c r="AO72" s="80" t="str">
        <f>REPLACE(INDEX(GroupVertices[Group],MATCH(Vertices[[#This Row],[Vertex]],GroupVertices[Vertex],0)),1,1,"")</f>
        <v>4</v>
      </c>
      <c r="AP72" s="49"/>
      <c r="AQ72" s="50"/>
      <c r="AR72" s="49"/>
      <c r="AS72" s="50"/>
      <c r="AT72" s="49"/>
      <c r="AU72" s="50"/>
      <c r="AV72" s="49"/>
      <c r="AW72" s="50"/>
      <c r="AX72" s="49"/>
      <c r="AY72" s="49"/>
      <c r="AZ72" s="49"/>
      <c r="BA72" s="49"/>
      <c r="BB72" s="49"/>
      <c r="BC72" s="2"/>
      <c r="BD72" s="3"/>
      <c r="BE72" s="3"/>
      <c r="BF72" s="3"/>
      <c r="BG72" s="3"/>
    </row>
    <row r="73" spans="1:59" ht="15">
      <c r="A73" s="65" t="s">
        <v>208</v>
      </c>
      <c r="B73" s="66" t="s">
        <v>1613</v>
      </c>
      <c r="C73" s="66"/>
      <c r="D73" s="67">
        <v>357.14285714285717</v>
      </c>
      <c r="E73" s="69">
        <v>87.5</v>
      </c>
      <c r="F73" s="96" t="str">
        <f>HYPERLINK("https://i.ytimg.com/vi/SM08TsCldWI/default.jpg")</f>
        <v>https://i.ytimg.com/vi/SM08TsCldWI/default.jpg</v>
      </c>
      <c r="G73" s="66"/>
      <c r="H73" s="70" t="s">
        <v>460</v>
      </c>
      <c r="I73" s="71"/>
      <c r="J73" s="71" t="s">
        <v>75</v>
      </c>
      <c r="K73" s="70" t="s">
        <v>460</v>
      </c>
      <c r="L73" s="74">
        <v>8.001064842536628</v>
      </c>
      <c r="M73" s="75">
        <v>7460.32958984375</v>
      </c>
      <c r="N73" s="75">
        <v>8799.6982421875</v>
      </c>
      <c r="O73" s="76"/>
      <c r="P73" s="77"/>
      <c r="Q73" s="77"/>
      <c r="R73" s="82"/>
      <c r="S73" s="49">
        <v>6</v>
      </c>
      <c r="T73" s="49">
        <v>10</v>
      </c>
      <c r="U73" s="50">
        <v>3834.2131</v>
      </c>
      <c r="V73" s="50">
        <v>0.002062</v>
      </c>
      <c r="W73" s="50">
        <v>0.00859</v>
      </c>
      <c r="X73" s="50">
        <v>3.362764</v>
      </c>
      <c r="Y73" s="50">
        <v>0.10416666666666667</v>
      </c>
      <c r="Z73" s="50">
        <v>0</v>
      </c>
      <c r="AA73" s="72">
        <v>73</v>
      </c>
      <c r="AB73" s="72"/>
      <c r="AC73" s="73"/>
      <c r="AD73" s="80" t="s">
        <v>460</v>
      </c>
      <c r="AE73" s="80" t="s">
        <v>633</v>
      </c>
      <c r="AF73" s="80" t="s">
        <v>787</v>
      </c>
      <c r="AG73" s="80" t="s">
        <v>912</v>
      </c>
      <c r="AH73" s="80" t="s">
        <v>1044</v>
      </c>
      <c r="AI73" s="80">
        <v>4809</v>
      </c>
      <c r="AJ73" s="80">
        <v>3</v>
      </c>
      <c r="AK73" s="80">
        <v>45</v>
      </c>
      <c r="AL73" s="80">
        <v>2</v>
      </c>
      <c r="AM73" s="80" t="s">
        <v>1155</v>
      </c>
      <c r="AN73" s="98" t="str">
        <f>HYPERLINK("https://www.youtube.com/watch?v=SM08TsCldWI")</f>
        <v>https://www.youtube.com/watch?v=SM08TsCldWI</v>
      </c>
      <c r="AO73" s="80" t="str">
        <f>REPLACE(INDEX(GroupVertices[Group],MATCH(Vertices[[#This Row],[Vertex]],GroupVertices[Vertex],0)),1,1,"")</f>
        <v>3</v>
      </c>
      <c r="AP73" s="49">
        <v>0</v>
      </c>
      <c r="AQ73" s="50">
        <v>0</v>
      </c>
      <c r="AR73" s="49">
        <v>1</v>
      </c>
      <c r="AS73" s="50">
        <v>16.666666666666668</v>
      </c>
      <c r="AT73" s="49">
        <v>0</v>
      </c>
      <c r="AU73" s="50">
        <v>0</v>
      </c>
      <c r="AV73" s="49">
        <v>5</v>
      </c>
      <c r="AW73" s="50">
        <v>83.33333333333333</v>
      </c>
      <c r="AX73" s="49">
        <v>6</v>
      </c>
      <c r="AY73" s="111" t="s">
        <v>1608</v>
      </c>
      <c r="AZ73" s="111" t="s">
        <v>1608</v>
      </c>
      <c r="BA73" s="111" t="s">
        <v>1608</v>
      </c>
      <c r="BB73" s="111" t="s">
        <v>1608</v>
      </c>
      <c r="BC73" s="2"/>
      <c r="BD73" s="3"/>
      <c r="BE73" s="3"/>
      <c r="BF73" s="3"/>
      <c r="BG73" s="3"/>
    </row>
    <row r="74" spans="1:59" ht="15">
      <c r="A74" s="65" t="s">
        <v>291</v>
      </c>
      <c r="B74" s="66" t="s">
        <v>1614</v>
      </c>
      <c r="C74" s="66"/>
      <c r="D74" s="67">
        <v>142.85714285714286</v>
      </c>
      <c r="E74" s="69">
        <v>56.25</v>
      </c>
      <c r="F74" s="96" t="str">
        <f>HYPERLINK("https://i.ytimg.com/vi/1a0H9vnJMZs/default.jpg")</f>
        <v>https://i.ytimg.com/vi/1a0H9vnJMZs/default.jpg</v>
      </c>
      <c r="G74" s="66"/>
      <c r="H74" s="70" t="s">
        <v>461</v>
      </c>
      <c r="I74" s="71"/>
      <c r="J74" s="71" t="s">
        <v>159</v>
      </c>
      <c r="K74" s="70" t="s">
        <v>461</v>
      </c>
      <c r="L74" s="74">
        <v>3.744885130330645</v>
      </c>
      <c r="M74" s="75">
        <v>7460.32958984375</v>
      </c>
      <c r="N74" s="75">
        <v>9502.9033203125</v>
      </c>
      <c r="O74" s="76"/>
      <c r="P74" s="77"/>
      <c r="Q74" s="77"/>
      <c r="R74" s="82"/>
      <c r="S74" s="49">
        <v>1</v>
      </c>
      <c r="T74" s="49">
        <v>0</v>
      </c>
      <c r="U74" s="50">
        <v>0</v>
      </c>
      <c r="V74" s="50">
        <v>0.001504</v>
      </c>
      <c r="W74" s="50">
        <v>0.000374</v>
      </c>
      <c r="X74" s="50">
        <v>0.328647</v>
      </c>
      <c r="Y74" s="50">
        <v>0</v>
      </c>
      <c r="Z74" s="50">
        <v>0</v>
      </c>
      <c r="AA74" s="72">
        <v>74</v>
      </c>
      <c r="AB74" s="72"/>
      <c r="AC74" s="73"/>
      <c r="AD74" s="80" t="s">
        <v>461</v>
      </c>
      <c r="AE74" s="80" t="s">
        <v>634</v>
      </c>
      <c r="AF74" s="80" t="s">
        <v>788</v>
      </c>
      <c r="AG74" s="80" t="s">
        <v>926</v>
      </c>
      <c r="AH74" s="80" t="s">
        <v>1045</v>
      </c>
      <c r="AI74" s="80">
        <v>1897</v>
      </c>
      <c r="AJ74" s="80">
        <v>4</v>
      </c>
      <c r="AK74" s="80">
        <v>32</v>
      </c>
      <c r="AL74" s="80">
        <v>0</v>
      </c>
      <c r="AM74" s="80" t="s">
        <v>1155</v>
      </c>
      <c r="AN74" s="98" t="str">
        <f>HYPERLINK("https://www.youtube.com/watch?v=1a0H9vnJMZs")</f>
        <v>https://www.youtube.com/watch?v=1a0H9vnJMZs</v>
      </c>
      <c r="AO74" s="80" t="str">
        <f>REPLACE(INDEX(GroupVertices[Group],MATCH(Vertices[[#This Row],[Vertex]],GroupVertices[Vertex],0)),1,1,"")</f>
        <v>3</v>
      </c>
      <c r="AP74" s="49">
        <v>0</v>
      </c>
      <c r="AQ74" s="50">
        <v>0</v>
      </c>
      <c r="AR74" s="49">
        <v>0</v>
      </c>
      <c r="AS74" s="50">
        <v>0</v>
      </c>
      <c r="AT74" s="49">
        <v>0</v>
      </c>
      <c r="AU74" s="50">
        <v>0</v>
      </c>
      <c r="AV74" s="49">
        <v>9</v>
      </c>
      <c r="AW74" s="50">
        <v>100</v>
      </c>
      <c r="AX74" s="49">
        <v>9</v>
      </c>
      <c r="AY74" s="49"/>
      <c r="AZ74" s="49"/>
      <c r="BA74" s="49"/>
      <c r="BB74" s="49"/>
      <c r="BC74" s="2"/>
      <c r="BD74" s="3"/>
      <c r="BE74" s="3"/>
      <c r="BF74" s="3"/>
      <c r="BG74" s="3"/>
    </row>
    <row r="75" spans="1:59" ht="15">
      <c r="A75" s="65" t="s">
        <v>292</v>
      </c>
      <c r="B75" s="66" t="s">
        <v>1614</v>
      </c>
      <c r="C75" s="66"/>
      <c r="D75" s="67">
        <v>142.85714285714286</v>
      </c>
      <c r="E75" s="69">
        <v>56.25</v>
      </c>
      <c r="F75" s="96" t="str">
        <f>HYPERLINK("https://i.ytimg.com/vi/81VHpE3HXGI/default.jpg")</f>
        <v>https://i.ytimg.com/vi/81VHpE3HXGI/default.jpg</v>
      </c>
      <c r="G75" s="66"/>
      <c r="H75" s="70" t="s">
        <v>462</v>
      </c>
      <c r="I75" s="71"/>
      <c r="J75" s="71" t="s">
        <v>159</v>
      </c>
      <c r="K75" s="70" t="s">
        <v>462</v>
      </c>
      <c r="L75" s="74">
        <v>5.859820584850583</v>
      </c>
      <c r="M75" s="75">
        <v>6756.224609375</v>
      </c>
      <c r="N75" s="75">
        <v>8799.6982421875</v>
      </c>
      <c r="O75" s="76"/>
      <c r="P75" s="77"/>
      <c r="Q75" s="77"/>
      <c r="R75" s="82"/>
      <c r="S75" s="49">
        <v>1</v>
      </c>
      <c r="T75" s="49">
        <v>0</v>
      </c>
      <c r="U75" s="50">
        <v>0</v>
      </c>
      <c r="V75" s="50">
        <v>0.001504</v>
      </c>
      <c r="W75" s="50">
        <v>0.000374</v>
      </c>
      <c r="X75" s="50">
        <v>0.328647</v>
      </c>
      <c r="Y75" s="50">
        <v>0</v>
      </c>
      <c r="Z75" s="50">
        <v>0</v>
      </c>
      <c r="AA75" s="72">
        <v>75</v>
      </c>
      <c r="AB75" s="72"/>
      <c r="AC75" s="73"/>
      <c r="AD75" s="80" t="s">
        <v>462</v>
      </c>
      <c r="AE75" s="80" t="s">
        <v>635</v>
      </c>
      <c r="AF75" s="80" t="s">
        <v>789</v>
      </c>
      <c r="AG75" s="80" t="s">
        <v>927</v>
      </c>
      <c r="AH75" s="80" t="s">
        <v>1046</v>
      </c>
      <c r="AI75" s="80">
        <v>3344</v>
      </c>
      <c r="AJ75" s="80">
        <v>7</v>
      </c>
      <c r="AK75" s="80">
        <v>61</v>
      </c>
      <c r="AL75" s="80">
        <v>4</v>
      </c>
      <c r="AM75" s="80" t="s">
        <v>1155</v>
      </c>
      <c r="AN75" s="98" t="str">
        <f>HYPERLINK("https://www.youtube.com/watch?v=81VHpE3HXGI")</f>
        <v>https://www.youtube.com/watch?v=81VHpE3HXGI</v>
      </c>
      <c r="AO75" s="80" t="str">
        <f>REPLACE(INDEX(GroupVertices[Group],MATCH(Vertices[[#This Row],[Vertex]],GroupVertices[Vertex],0)),1,1,"")</f>
        <v>3</v>
      </c>
      <c r="AP75" s="49">
        <v>0</v>
      </c>
      <c r="AQ75" s="50">
        <v>0</v>
      </c>
      <c r="AR75" s="49">
        <v>0</v>
      </c>
      <c r="AS75" s="50">
        <v>0</v>
      </c>
      <c r="AT75" s="49">
        <v>0</v>
      </c>
      <c r="AU75" s="50">
        <v>0</v>
      </c>
      <c r="AV75" s="49">
        <v>9</v>
      </c>
      <c r="AW75" s="50">
        <v>100</v>
      </c>
      <c r="AX75" s="49">
        <v>9</v>
      </c>
      <c r="AY75" s="49"/>
      <c r="AZ75" s="49"/>
      <c r="BA75" s="49"/>
      <c r="BB75" s="49"/>
      <c r="BC75" s="2"/>
      <c r="BD75" s="3"/>
      <c r="BE75" s="3"/>
      <c r="BF75" s="3"/>
      <c r="BG75" s="3"/>
    </row>
    <row r="76" spans="1:59" ht="15">
      <c r="A76" s="65" t="s">
        <v>293</v>
      </c>
      <c r="B76" s="66" t="s">
        <v>1614</v>
      </c>
      <c r="C76" s="66"/>
      <c r="D76" s="67">
        <v>142.85714285714286</v>
      </c>
      <c r="E76" s="69">
        <v>56.25</v>
      </c>
      <c r="F76" s="96" t="str">
        <f>HYPERLINK("https://i.ytimg.com/vi/g1dVl8aFGVo/default.jpg")</f>
        <v>https://i.ytimg.com/vi/g1dVl8aFGVo/default.jpg</v>
      </c>
      <c r="G76" s="66"/>
      <c r="H76" s="70" t="s">
        <v>463</v>
      </c>
      <c r="I76" s="71"/>
      <c r="J76" s="71" t="s">
        <v>159</v>
      </c>
      <c r="K76" s="70" t="s">
        <v>463</v>
      </c>
      <c r="L76" s="74">
        <v>1.4852512583971107</v>
      </c>
      <c r="M76" s="75">
        <v>6052.11962890625</v>
      </c>
      <c r="N76" s="75">
        <v>9502.9033203125</v>
      </c>
      <c r="O76" s="76"/>
      <c r="P76" s="77"/>
      <c r="Q76" s="77"/>
      <c r="R76" s="82"/>
      <c r="S76" s="49">
        <v>1</v>
      </c>
      <c r="T76" s="49">
        <v>0</v>
      </c>
      <c r="U76" s="50">
        <v>0</v>
      </c>
      <c r="V76" s="50">
        <v>0.001504</v>
      </c>
      <c r="W76" s="50">
        <v>0.000374</v>
      </c>
      <c r="X76" s="50">
        <v>0.328647</v>
      </c>
      <c r="Y76" s="50">
        <v>0</v>
      </c>
      <c r="Z76" s="50">
        <v>0</v>
      </c>
      <c r="AA76" s="72">
        <v>76</v>
      </c>
      <c r="AB76" s="72"/>
      <c r="AC76" s="73"/>
      <c r="AD76" s="80" t="s">
        <v>463</v>
      </c>
      <c r="AE76" s="80" t="s">
        <v>636</v>
      </c>
      <c r="AF76" s="80" t="s">
        <v>790</v>
      </c>
      <c r="AG76" s="80" t="s">
        <v>928</v>
      </c>
      <c r="AH76" s="80" t="s">
        <v>1047</v>
      </c>
      <c r="AI76" s="80">
        <v>351</v>
      </c>
      <c r="AJ76" s="80">
        <v>0</v>
      </c>
      <c r="AK76" s="80">
        <v>4</v>
      </c>
      <c r="AL76" s="80">
        <v>0</v>
      </c>
      <c r="AM76" s="80" t="s">
        <v>1155</v>
      </c>
      <c r="AN76" s="98" t="str">
        <f>HYPERLINK("https://www.youtube.com/watch?v=g1dVl8aFGVo")</f>
        <v>https://www.youtube.com/watch?v=g1dVl8aFGVo</v>
      </c>
      <c r="AO76" s="80" t="str">
        <f>REPLACE(INDEX(GroupVertices[Group],MATCH(Vertices[[#This Row],[Vertex]],GroupVertices[Vertex],0)),1,1,"")</f>
        <v>3</v>
      </c>
      <c r="AP76" s="49">
        <v>0</v>
      </c>
      <c r="AQ76" s="50">
        <v>0</v>
      </c>
      <c r="AR76" s="49">
        <v>0</v>
      </c>
      <c r="AS76" s="50">
        <v>0</v>
      </c>
      <c r="AT76" s="49">
        <v>0</v>
      </c>
      <c r="AU76" s="50">
        <v>0</v>
      </c>
      <c r="AV76" s="49">
        <v>5</v>
      </c>
      <c r="AW76" s="50">
        <v>100</v>
      </c>
      <c r="AX76" s="49">
        <v>5</v>
      </c>
      <c r="AY76" s="49"/>
      <c r="AZ76" s="49"/>
      <c r="BA76" s="49"/>
      <c r="BB76" s="49"/>
      <c r="BC76" s="2"/>
      <c r="BD76" s="3"/>
      <c r="BE76" s="3"/>
      <c r="BF76" s="3"/>
      <c r="BG76" s="3"/>
    </row>
    <row r="77" spans="1:59" ht="15">
      <c r="A77" s="65" t="s">
        <v>294</v>
      </c>
      <c r="B77" s="66" t="s">
        <v>1614</v>
      </c>
      <c r="C77" s="66"/>
      <c r="D77" s="67">
        <v>185.71428571428572</v>
      </c>
      <c r="E77" s="69">
        <v>62.5</v>
      </c>
      <c r="F77" s="96" t="str">
        <f>HYPERLINK("https://i.ytimg.com/vi/L-dPxGLesE4/default.jpg")</f>
        <v>https://i.ytimg.com/vi/L-dPxGLesE4/default.jpg</v>
      </c>
      <c r="G77" s="66"/>
      <c r="H77" s="70" t="s">
        <v>464</v>
      </c>
      <c r="I77" s="71"/>
      <c r="J77" s="71" t="s">
        <v>159</v>
      </c>
      <c r="K77" s="70" t="s">
        <v>464</v>
      </c>
      <c r="L77" s="74">
        <v>116.15801625858424</v>
      </c>
      <c r="M77" s="75">
        <v>6052.11962890625</v>
      </c>
      <c r="N77" s="75">
        <v>7393.28759765625</v>
      </c>
      <c r="O77" s="76"/>
      <c r="P77" s="77"/>
      <c r="Q77" s="77"/>
      <c r="R77" s="82"/>
      <c r="S77" s="49">
        <v>2</v>
      </c>
      <c r="T77" s="49">
        <v>0</v>
      </c>
      <c r="U77" s="50">
        <v>0</v>
      </c>
      <c r="V77" s="50">
        <v>0.00158</v>
      </c>
      <c r="W77" s="50">
        <v>0.000408</v>
      </c>
      <c r="X77" s="50">
        <v>0.603514</v>
      </c>
      <c r="Y77" s="50">
        <v>0.5</v>
      </c>
      <c r="Z77" s="50">
        <v>0</v>
      </c>
      <c r="AA77" s="72">
        <v>77</v>
      </c>
      <c r="AB77" s="72"/>
      <c r="AC77" s="73"/>
      <c r="AD77" s="80" t="s">
        <v>464</v>
      </c>
      <c r="AE77" s="80" t="s">
        <v>637</v>
      </c>
      <c r="AF77" s="80" t="s">
        <v>791</v>
      </c>
      <c r="AG77" s="80" t="s">
        <v>917</v>
      </c>
      <c r="AH77" s="80" t="s">
        <v>1048</v>
      </c>
      <c r="AI77" s="80">
        <v>78808</v>
      </c>
      <c r="AJ77" s="80">
        <v>136</v>
      </c>
      <c r="AK77" s="80">
        <v>681</v>
      </c>
      <c r="AL77" s="80">
        <v>54</v>
      </c>
      <c r="AM77" s="80" t="s">
        <v>1155</v>
      </c>
      <c r="AN77" s="98" t="str">
        <f>HYPERLINK("https://www.youtube.com/watch?v=L-dPxGLesE4")</f>
        <v>https://www.youtube.com/watch?v=L-dPxGLesE4</v>
      </c>
      <c r="AO77" s="80" t="str">
        <f>REPLACE(INDEX(GroupVertices[Group],MATCH(Vertices[[#This Row],[Vertex]],GroupVertices[Vertex],0)),1,1,"")</f>
        <v>3</v>
      </c>
      <c r="AP77" s="49">
        <v>0</v>
      </c>
      <c r="AQ77" s="50">
        <v>0</v>
      </c>
      <c r="AR77" s="49">
        <v>0</v>
      </c>
      <c r="AS77" s="50">
        <v>0</v>
      </c>
      <c r="AT77" s="49">
        <v>0</v>
      </c>
      <c r="AU77" s="50">
        <v>0</v>
      </c>
      <c r="AV77" s="49">
        <v>10</v>
      </c>
      <c r="AW77" s="50">
        <v>100</v>
      </c>
      <c r="AX77" s="49">
        <v>10</v>
      </c>
      <c r="AY77" s="49"/>
      <c r="AZ77" s="49"/>
      <c r="BA77" s="49"/>
      <c r="BB77" s="49"/>
      <c r="BC77" s="2"/>
      <c r="BD77" s="3"/>
      <c r="BE77" s="3"/>
      <c r="BF77" s="3"/>
      <c r="BG77" s="3"/>
    </row>
    <row r="78" spans="1:59" ht="15">
      <c r="A78" s="65" t="s">
        <v>295</v>
      </c>
      <c r="B78" s="66" t="s">
        <v>1614</v>
      </c>
      <c r="C78" s="66"/>
      <c r="D78" s="67">
        <v>185.71428571428572</v>
      </c>
      <c r="E78" s="69">
        <v>62.5</v>
      </c>
      <c r="F78" s="96" t="str">
        <f>HYPERLINK("https://i.ytimg.com/vi/px7ff2_Jeqw/default.jpg")</f>
        <v>https://i.ytimg.com/vi/px7ff2_Jeqw/default.jpg</v>
      </c>
      <c r="G78" s="66"/>
      <c r="H78" s="70" t="s">
        <v>465</v>
      </c>
      <c r="I78" s="71"/>
      <c r="J78" s="71" t="s">
        <v>159</v>
      </c>
      <c r="K78" s="70" t="s">
        <v>465</v>
      </c>
      <c r="L78" s="74">
        <v>9.791525058007897</v>
      </c>
      <c r="M78" s="75">
        <v>6052.11962890625</v>
      </c>
      <c r="N78" s="75">
        <v>8096.49267578125</v>
      </c>
      <c r="O78" s="76"/>
      <c r="P78" s="77"/>
      <c r="Q78" s="77"/>
      <c r="R78" s="82"/>
      <c r="S78" s="49">
        <v>2</v>
      </c>
      <c r="T78" s="49">
        <v>0</v>
      </c>
      <c r="U78" s="50">
        <v>0</v>
      </c>
      <c r="V78" s="50">
        <v>0.00158</v>
      </c>
      <c r="W78" s="50">
        <v>0.000408</v>
      </c>
      <c r="X78" s="50">
        <v>0.603514</v>
      </c>
      <c r="Y78" s="50">
        <v>0.5</v>
      </c>
      <c r="Z78" s="50">
        <v>0</v>
      </c>
      <c r="AA78" s="72">
        <v>78</v>
      </c>
      <c r="AB78" s="72"/>
      <c r="AC78" s="73"/>
      <c r="AD78" s="80" t="s">
        <v>465</v>
      </c>
      <c r="AE78" s="80" t="s">
        <v>638</v>
      </c>
      <c r="AF78" s="80"/>
      <c r="AG78" s="80" t="s">
        <v>929</v>
      </c>
      <c r="AH78" s="80" t="s">
        <v>1049</v>
      </c>
      <c r="AI78" s="80">
        <v>6034</v>
      </c>
      <c r="AJ78" s="80">
        <v>0</v>
      </c>
      <c r="AK78" s="80">
        <v>142</v>
      </c>
      <c r="AL78" s="80">
        <v>0</v>
      </c>
      <c r="AM78" s="80" t="s">
        <v>1155</v>
      </c>
      <c r="AN78" s="98" t="str">
        <f>HYPERLINK("https://www.youtube.com/watch?v=px7ff2_Jeqw")</f>
        <v>https://www.youtube.com/watch?v=px7ff2_Jeqw</v>
      </c>
      <c r="AO78" s="80" t="str">
        <f>REPLACE(INDEX(GroupVertices[Group],MATCH(Vertices[[#This Row],[Vertex]],GroupVertices[Vertex],0)),1,1,"")</f>
        <v>3</v>
      </c>
      <c r="AP78" s="49"/>
      <c r="AQ78" s="50"/>
      <c r="AR78" s="49"/>
      <c r="AS78" s="50"/>
      <c r="AT78" s="49"/>
      <c r="AU78" s="50"/>
      <c r="AV78" s="49"/>
      <c r="AW78" s="50"/>
      <c r="AX78" s="49"/>
      <c r="AY78" s="49"/>
      <c r="AZ78" s="49"/>
      <c r="BA78" s="49"/>
      <c r="BB78" s="49"/>
      <c r="BC78" s="2"/>
      <c r="BD78" s="3"/>
      <c r="BE78" s="3"/>
      <c r="BF78" s="3"/>
      <c r="BG78" s="3"/>
    </row>
    <row r="79" spans="1:59" ht="15">
      <c r="A79" s="65" t="s">
        <v>296</v>
      </c>
      <c r="B79" s="66" t="s">
        <v>1614</v>
      </c>
      <c r="C79" s="66"/>
      <c r="D79" s="67">
        <v>142.85714285714286</v>
      </c>
      <c r="E79" s="69">
        <v>56.25</v>
      </c>
      <c r="F79" s="96" t="str">
        <f>HYPERLINK("https://i.ytimg.com/vi/IiUDKDxScxI/default.jpg")</f>
        <v>https://i.ytimg.com/vi/IiUDKDxScxI/default.jpg</v>
      </c>
      <c r="G79" s="66"/>
      <c r="H79" s="70" t="s">
        <v>466</v>
      </c>
      <c r="I79" s="71"/>
      <c r="J79" s="71" t="s">
        <v>159</v>
      </c>
      <c r="K79" s="70" t="s">
        <v>466</v>
      </c>
      <c r="L79" s="74">
        <v>17.176990746804886</v>
      </c>
      <c r="M79" s="75">
        <v>6756.224609375</v>
      </c>
      <c r="N79" s="75">
        <v>8096.49267578125</v>
      </c>
      <c r="O79" s="76"/>
      <c r="P79" s="77"/>
      <c r="Q79" s="77"/>
      <c r="R79" s="82"/>
      <c r="S79" s="49">
        <v>1</v>
      </c>
      <c r="T79" s="49">
        <v>0</v>
      </c>
      <c r="U79" s="50">
        <v>0</v>
      </c>
      <c r="V79" s="50">
        <v>0.001504</v>
      </c>
      <c r="W79" s="50">
        <v>0.000374</v>
      </c>
      <c r="X79" s="50">
        <v>0.328647</v>
      </c>
      <c r="Y79" s="50">
        <v>0</v>
      </c>
      <c r="Z79" s="50">
        <v>0</v>
      </c>
      <c r="AA79" s="72">
        <v>79</v>
      </c>
      <c r="AB79" s="72"/>
      <c r="AC79" s="73"/>
      <c r="AD79" s="80" t="s">
        <v>466</v>
      </c>
      <c r="AE79" s="80" t="s">
        <v>639</v>
      </c>
      <c r="AF79" s="80" t="s">
        <v>792</v>
      </c>
      <c r="AG79" s="80" t="s">
        <v>930</v>
      </c>
      <c r="AH79" s="80" t="s">
        <v>1050</v>
      </c>
      <c r="AI79" s="80">
        <v>11087</v>
      </c>
      <c r="AJ79" s="80">
        <v>0</v>
      </c>
      <c r="AK79" s="80">
        <v>160</v>
      </c>
      <c r="AL79" s="80">
        <v>3</v>
      </c>
      <c r="AM79" s="80" t="s">
        <v>1155</v>
      </c>
      <c r="AN79" s="98" t="str">
        <f>HYPERLINK("https://www.youtube.com/watch?v=IiUDKDxScxI")</f>
        <v>https://www.youtube.com/watch?v=IiUDKDxScxI</v>
      </c>
      <c r="AO79" s="80" t="str">
        <f>REPLACE(INDEX(GroupVertices[Group],MATCH(Vertices[[#This Row],[Vertex]],GroupVertices[Vertex],0)),1,1,"")</f>
        <v>3</v>
      </c>
      <c r="AP79" s="49">
        <v>0</v>
      </c>
      <c r="AQ79" s="50">
        <v>0</v>
      </c>
      <c r="AR79" s="49">
        <v>0</v>
      </c>
      <c r="AS79" s="50">
        <v>0</v>
      </c>
      <c r="AT79" s="49">
        <v>0</v>
      </c>
      <c r="AU79" s="50">
        <v>0</v>
      </c>
      <c r="AV79" s="49">
        <v>23</v>
      </c>
      <c r="AW79" s="50">
        <v>100</v>
      </c>
      <c r="AX79" s="49">
        <v>23</v>
      </c>
      <c r="AY79" s="49"/>
      <c r="AZ79" s="49"/>
      <c r="BA79" s="49"/>
      <c r="BB79" s="49"/>
      <c r="BC79" s="2"/>
      <c r="BD79" s="3"/>
      <c r="BE79" s="3"/>
      <c r="BF79" s="3"/>
      <c r="BG79" s="3"/>
    </row>
    <row r="80" spans="1:59" ht="15">
      <c r="A80" s="65" t="s">
        <v>297</v>
      </c>
      <c r="B80" s="66" t="s">
        <v>1614</v>
      </c>
      <c r="C80" s="66"/>
      <c r="D80" s="67">
        <v>142.85714285714286</v>
      </c>
      <c r="E80" s="69">
        <v>56.25</v>
      </c>
      <c r="F80" s="96" t="str">
        <f>HYPERLINK("https://i.ytimg.com/vi/9x9zUtxo7iY/default.jpg")</f>
        <v>https://i.ytimg.com/vi/9x9zUtxo7iY/default.jpg</v>
      </c>
      <c r="G80" s="66"/>
      <c r="H80" s="70" t="s">
        <v>467</v>
      </c>
      <c r="I80" s="71"/>
      <c r="J80" s="71" t="s">
        <v>159</v>
      </c>
      <c r="K80" s="70" t="s">
        <v>467</v>
      </c>
      <c r="L80" s="74">
        <v>2.560988987855766</v>
      </c>
      <c r="M80" s="75">
        <v>6756.224609375</v>
      </c>
      <c r="N80" s="75">
        <v>9502.9033203125</v>
      </c>
      <c r="O80" s="76"/>
      <c r="P80" s="77"/>
      <c r="Q80" s="77"/>
      <c r="R80" s="82"/>
      <c r="S80" s="49">
        <v>1</v>
      </c>
      <c r="T80" s="49">
        <v>0</v>
      </c>
      <c r="U80" s="50">
        <v>0</v>
      </c>
      <c r="V80" s="50">
        <v>0.001504</v>
      </c>
      <c r="W80" s="50">
        <v>0.000374</v>
      </c>
      <c r="X80" s="50">
        <v>0.328647</v>
      </c>
      <c r="Y80" s="50">
        <v>0</v>
      </c>
      <c r="Z80" s="50">
        <v>0</v>
      </c>
      <c r="AA80" s="72">
        <v>80</v>
      </c>
      <c r="AB80" s="72"/>
      <c r="AC80" s="73"/>
      <c r="AD80" s="80" t="s">
        <v>467</v>
      </c>
      <c r="AE80" s="80" t="s">
        <v>640</v>
      </c>
      <c r="AF80" s="80" t="s">
        <v>793</v>
      </c>
      <c r="AG80" s="80" t="s">
        <v>928</v>
      </c>
      <c r="AH80" s="80" t="s">
        <v>1051</v>
      </c>
      <c r="AI80" s="80">
        <v>1087</v>
      </c>
      <c r="AJ80" s="80">
        <v>0</v>
      </c>
      <c r="AK80" s="80">
        <v>14</v>
      </c>
      <c r="AL80" s="80">
        <v>0</v>
      </c>
      <c r="AM80" s="80" t="s">
        <v>1155</v>
      </c>
      <c r="AN80" s="98" t="str">
        <f>HYPERLINK("https://www.youtube.com/watch?v=9x9zUtxo7iY")</f>
        <v>https://www.youtube.com/watch?v=9x9zUtxo7iY</v>
      </c>
      <c r="AO80" s="80" t="str">
        <f>REPLACE(INDEX(GroupVertices[Group],MATCH(Vertices[[#This Row],[Vertex]],GroupVertices[Vertex],0)),1,1,"")</f>
        <v>3</v>
      </c>
      <c r="AP80" s="49">
        <v>0</v>
      </c>
      <c r="AQ80" s="50">
        <v>0</v>
      </c>
      <c r="AR80" s="49">
        <v>0</v>
      </c>
      <c r="AS80" s="50">
        <v>0</v>
      </c>
      <c r="AT80" s="49">
        <v>0</v>
      </c>
      <c r="AU80" s="50">
        <v>0</v>
      </c>
      <c r="AV80" s="49">
        <v>5</v>
      </c>
      <c r="AW80" s="50">
        <v>100</v>
      </c>
      <c r="AX80" s="49">
        <v>5</v>
      </c>
      <c r="AY80" s="49"/>
      <c r="AZ80" s="49"/>
      <c r="BA80" s="49"/>
      <c r="BB80" s="49"/>
      <c r="BC80" s="2"/>
      <c r="BD80" s="3"/>
      <c r="BE80" s="3"/>
      <c r="BF80" s="3"/>
      <c r="BG80" s="3"/>
    </row>
    <row r="81" spans="1:59" ht="15">
      <c r="A81" s="65" t="s">
        <v>298</v>
      </c>
      <c r="B81" s="66" t="s">
        <v>1614</v>
      </c>
      <c r="C81" s="66"/>
      <c r="D81" s="67">
        <v>142.85714285714286</v>
      </c>
      <c r="E81" s="69">
        <v>56.25</v>
      </c>
      <c r="F81" s="96" t="str">
        <f>HYPERLINK("https://i.ytimg.com/vi/sx9e3gc4c_w/default.jpg")</f>
        <v>https://i.ytimg.com/vi/sx9e3gc4c_w/default.jpg</v>
      </c>
      <c r="G81" s="66"/>
      <c r="H81" s="70" t="s">
        <v>468</v>
      </c>
      <c r="I81" s="71"/>
      <c r="J81" s="71" t="s">
        <v>159</v>
      </c>
      <c r="K81" s="70" t="s">
        <v>468</v>
      </c>
      <c r="L81" s="74">
        <v>4.776774854512453</v>
      </c>
      <c r="M81" s="75">
        <v>6052.11962890625</v>
      </c>
      <c r="N81" s="75">
        <v>8799.6982421875</v>
      </c>
      <c r="O81" s="76"/>
      <c r="P81" s="77"/>
      <c r="Q81" s="77"/>
      <c r="R81" s="82"/>
      <c r="S81" s="49">
        <v>1</v>
      </c>
      <c r="T81" s="49">
        <v>0</v>
      </c>
      <c r="U81" s="50">
        <v>0</v>
      </c>
      <c r="V81" s="50">
        <v>0.001504</v>
      </c>
      <c r="W81" s="50">
        <v>0.000374</v>
      </c>
      <c r="X81" s="50">
        <v>0.328647</v>
      </c>
      <c r="Y81" s="50">
        <v>0</v>
      </c>
      <c r="Z81" s="50">
        <v>0</v>
      </c>
      <c r="AA81" s="72">
        <v>81</v>
      </c>
      <c r="AB81" s="72"/>
      <c r="AC81" s="73"/>
      <c r="AD81" s="80" t="s">
        <v>468</v>
      </c>
      <c r="AE81" s="80" t="s">
        <v>641</v>
      </c>
      <c r="AF81" s="80" t="s">
        <v>794</v>
      </c>
      <c r="AG81" s="80" t="s">
        <v>912</v>
      </c>
      <c r="AH81" s="80" t="s">
        <v>1052</v>
      </c>
      <c r="AI81" s="80">
        <v>2603</v>
      </c>
      <c r="AJ81" s="80">
        <v>2</v>
      </c>
      <c r="AK81" s="80">
        <v>14</v>
      </c>
      <c r="AL81" s="80">
        <v>0</v>
      </c>
      <c r="AM81" s="80" t="s">
        <v>1155</v>
      </c>
      <c r="AN81" s="98" t="str">
        <f>HYPERLINK("https://www.youtube.com/watch?v=sx9e3gc4c_w")</f>
        <v>https://www.youtube.com/watch?v=sx9e3gc4c_w</v>
      </c>
      <c r="AO81" s="80" t="str">
        <f>REPLACE(INDEX(GroupVertices[Group],MATCH(Vertices[[#This Row],[Vertex]],GroupVertices[Vertex],0)),1,1,"")</f>
        <v>3</v>
      </c>
      <c r="AP81" s="49">
        <v>0</v>
      </c>
      <c r="AQ81" s="50">
        <v>0</v>
      </c>
      <c r="AR81" s="49">
        <v>0</v>
      </c>
      <c r="AS81" s="50">
        <v>0</v>
      </c>
      <c r="AT81" s="49">
        <v>0</v>
      </c>
      <c r="AU81" s="50">
        <v>0</v>
      </c>
      <c r="AV81" s="49">
        <v>5</v>
      </c>
      <c r="AW81" s="50">
        <v>100</v>
      </c>
      <c r="AX81" s="49">
        <v>5</v>
      </c>
      <c r="AY81" s="49"/>
      <c r="AZ81" s="49"/>
      <c r="BA81" s="49"/>
      <c r="BB81" s="49"/>
      <c r="BC81" s="2"/>
      <c r="BD81" s="3"/>
      <c r="BE81" s="3"/>
      <c r="BF81" s="3"/>
      <c r="BG81" s="3"/>
    </row>
    <row r="82" spans="1:59" ht="15">
      <c r="A82" s="65" t="s">
        <v>209</v>
      </c>
      <c r="B82" s="66" t="s">
        <v>1615</v>
      </c>
      <c r="C82" s="66"/>
      <c r="D82" s="67">
        <v>614.2857142857143</v>
      </c>
      <c r="E82" s="69">
        <v>100</v>
      </c>
      <c r="F82" s="96" t="str">
        <f>HYPERLINK("https://i.ytimg.com/vi/Axw0hU71zQw/default.jpg")</f>
        <v>https://i.ytimg.com/vi/Axw0hU71zQw/default.jpg</v>
      </c>
      <c r="G82" s="66"/>
      <c r="H82" s="70" t="s">
        <v>469</v>
      </c>
      <c r="I82" s="71"/>
      <c r="J82" s="71" t="s">
        <v>75</v>
      </c>
      <c r="K82" s="70" t="s">
        <v>469</v>
      </c>
      <c r="L82" s="74">
        <v>4.863009264890253</v>
      </c>
      <c r="M82" s="75">
        <v>4069.538818359375</v>
      </c>
      <c r="N82" s="75">
        <v>3720.72607421875</v>
      </c>
      <c r="O82" s="76"/>
      <c r="P82" s="77"/>
      <c r="Q82" s="77"/>
      <c r="R82" s="82"/>
      <c r="S82" s="49">
        <v>12</v>
      </c>
      <c r="T82" s="49">
        <v>11</v>
      </c>
      <c r="U82" s="50">
        <v>3080.155735</v>
      </c>
      <c r="V82" s="50">
        <v>0.002198</v>
      </c>
      <c r="W82" s="50">
        <v>0.013115</v>
      </c>
      <c r="X82" s="50">
        <v>3.775594</v>
      </c>
      <c r="Y82" s="50">
        <v>0.18398268398268397</v>
      </c>
      <c r="Z82" s="50">
        <v>0.045454545454545456</v>
      </c>
      <c r="AA82" s="72">
        <v>82</v>
      </c>
      <c r="AB82" s="72"/>
      <c r="AC82" s="73"/>
      <c r="AD82" s="80" t="s">
        <v>469</v>
      </c>
      <c r="AE82" s="80" t="s">
        <v>642</v>
      </c>
      <c r="AF82" s="80" t="s">
        <v>795</v>
      </c>
      <c r="AG82" s="80" t="s">
        <v>931</v>
      </c>
      <c r="AH82" s="80" t="s">
        <v>1053</v>
      </c>
      <c r="AI82" s="80">
        <v>2662</v>
      </c>
      <c r="AJ82" s="80">
        <v>0</v>
      </c>
      <c r="AK82" s="80">
        <v>15</v>
      </c>
      <c r="AL82" s="80">
        <v>0</v>
      </c>
      <c r="AM82" s="80" t="s">
        <v>1155</v>
      </c>
      <c r="AN82" s="98" t="str">
        <f>HYPERLINK("https://www.youtube.com/watch?v=Axw0hU71zQw")</f>
        <v>https://www.youtube.com/watch?v=Axw0hU71zQw</v>
      </c>
      <c r="AO82" s="80" t="str">
        <f>REPLACE(INDEX(GroupVertices[Group],MATCH(Vertices[[#This Row],[Vertex]],GroupVertices[Vertex],0)),1,1,"")</f>
        <v>2</v>
      </c>
      <c r="AP82" s="49">
        <v>5</v>
      </c>
      <c r="AQ82" s="50">
        <v>9.615384615384615</v>
      </c>
      <c r="AR82" s="49">
        <v>0</v>
      </c>
      <c r="AS82" s="50">
        <v>0</v>
      </c>
      <c r="AT82" s="49">
        <v>0</v>
      </c>
      <c r="AU82" s="50">
        <v>0</v>
      </c>
      <c r="AV82" s="49">
        <v>47</v>
      </c>
      <c r="AW82" s="50">
        <v>90.38461538461539</v>
      </c>
      <c r="AX82" s="49">
        <v>52</v>
      </c>
      <c r="AY82" s="111" t="s">
        <v>1608</v>
      </c>
      <c r="AZ82" s="111" t="s">
        <v>1608</v>
      </c>
      <c r="BA82" s="111" t="s">
        <v>1608</v>
      </c>
      <c r="BB82" s="111" t="s">
        <v>1608</v>
      </c>
      <c r="BC82" s="2"/>
      <c r="BD82" s="3"/>
      <c r="BE82" s="3"/>
      <c r="BF82" s="3"/>
      <c r="BG82" s="3"/>
    </row>
    <row r="83" spans="1:59" ht="15">
      <c r="A83" s="65" t="s">
        <v>299</v>
      </c>
      <c r="B83" s="66" t="s">
        <v>1614</v>
      </c>
      <c r="C83" s="66"/>
      <c r="D83" s="67">
        <v>142.85714285714286</v>
      </c>
      <c r="E83" s="69">
        <v>56.25</v>
      </c>
      <c r="F83" s="96" t="str">
        <f>HYPERLINK("https://i.ytimg.com/vi/zkWS268c64M/default.jpg")</f>
        <v>https://i.ytimg.com/vi/zkWS268c64M/default.jpg</v>
      </c>
      <c r="G83" s="66"/>
      <c r="H83" s="70" t="s">
        <v>470</v>
      </c>
      <c r="I83" s="71"/>
      <c r="J83" s="71" t="s">
        <v>159</v>
      </c>
      <c r="K83" s="70" t="s">
        <v>470</v>
      </c>
      <c r="L83" s="74">
        <v>5.40672453032316</v>
      </c>
      <c r="M83" s="75">
        <v>411.0228271484375</v>
      </c>
      <c r="N83" s="75">
        <v>2926.008056640625</v>
      </c>
      <c r="O83" s="76"/>
      <c r="P83" s="77"/>
      <c r="Q83" s="77"/>
      <c r="R83" s="82"/>
      <c r="S83" s="49">
        <v>1</v>
      </c>
      <c r="T83" s="49">
        <v>0</v>
      </c>
      <c r="U83" s="50">
        <v>0</v>
      </c>
      <c r="V83" s="50">
        <v>0.001575</v>
      </c>
      <c r="W83" s="50">
        <v>0.000571</v>
      </c>
      <c r="X83" s="50">
        <v>0.295875</v>
      </c>
      <c r="Y83" s="50">
        <v>0</v>
      </c>
      <c r="Z83" s="50">
        <v>0</v>
      </c>
      <c r="AA83" s="72">
        <v>83</v>
      </c>
      <c r="AB83" s="72"/>
      <c r="AC83" s="73"/>
      <c r="AD83" s="80" t="s">
        <v>470</v>
      </c>
      <c r="AE83" s="80" t="s">
        <v>643</v>
      </c>
      <c r="AF83" s="80" t="s">
        <v>796</v>
      </c>
      <c r="AG83" s="80" t="s">
        <v>931</v>
      </c>
      <c r="AH83" s="80" t="s">
        <v>1054</v>
      </c>
      <c r="AI83" s="80">
        <v>3034</v>
      </c>
      <c r="AJ83" s="80">
        <v>0</v>
      </c>
      <c r="AK83" s="80">
        <v>19</v>
      </c>
      <c r="AL83" s="80">
        <v>1</v>
      </c>
      <c r="AM83" s="80" t="s">
        <v>1155</v>
      </c>
      <c r="AN83" s="98" t="str">
        <f>HYPERLINK("https://www.youtube.com/watch?v=zkWS268c64M")</f>
        <v>https://www.youtube.com/watch?v=zkWS268c64M</v>
      </c>
      <c r="AO83" s="80" t="str">
        <f>REPLACE(INDEX(GroupVertices[Group],MATCH(Vertices[[#This Row],[Vertex]],GroupVertices[Vertex],0)),1,1,"")</f>
        <v>2</v>
      </c>
      <c r="AP83" s="49">
        <v>7</v>
      </c>
      <c r="AQ83" s="50">
        <v>11.864406779661017</v>
      </c>
      <c r="AR83" s="49">
        <v>0</v>
      </c>
      <c r="AS83" s="50">
        <v>0</v>
      </c>
      <c r="AT83" s="49">
        <v>0</v>
      </c>
      <c r="AU83" s="50">
        <v>0</v>
      </c>
      <c r="AV83" s="49">
        <v>52</v>
      </c>
      <c r="AW83" s="50">
        <v>88.13559322033899</v>
      </c>
      <c r="AX83" s="49">
        <v>59</v>
      </c>
      <c r="AY83" s="49"/>
      <c r="AZ83" s="49"/>
      <c r="BA83" s="49"/>
      <c r="BB83" s="49"/>
      <c r="BC83" s="2"/>
      <c r="BD83" s="3"/>
      <c r="BE83" s="3"/>
      <c r="BF83" s="3"/>
      <c r="BG83" s="3"/>
    </row>
    <row r="84" spans="1:59" ht="15">
      <c r="A84" s="65" t="s">
        <v>300</v>
      </c>
      <c r="B84" s="66" t="s">
        <v>1614</v>
      </c>
      <c r="C84" s="66"/>
      <c r="D84" s="67">
        <v>142.85714285714286</v>
      </c>
      <c r="E84" s="69">
        <v>56.25</v>
      </c>
      <c r="F84" s="96" t="str">
        <f>HYPERLINK("https://i.ytimg.com/vi/G9qAbLnsMAE/default.jpg")</f>
        <v>https://i.ytimg.com/vi/G9qAbLnsMAE/default.jpg</v>
      </c>
      <c r="G84" s="66"/>
      <c r="H84" s="70" t="s">
        <v>471</v>
      </c>
      <c r="I84" s="71"/>
      <c r="J84" s="71" t="s">
        <v>159</v>
      </c>
      <c r="K84" s="70" t="s">
        <v>471</v>
      </c>
      <c r="L84" s="74">
        <v>1.334706440279935</v>
      </c>
      <c r="M84" s="75">
        <v>411.0228271484375</v>
      </c>
      <c r="N84" s="75">
        <v>3720.72607421875</v>
      </c>
      <c r="O84" s="76"/>
      <c r="P84" s="77"/>
      <c r="Q84" s="77"/>
      <c r="R84" s="82"/>
      <c r="S84" s="49">
        <v>1</v>
      </c>
      <c r="T84" s="49">
        <v>0</v>
      </c>
      <c r="U84" s="50">
        <v>0</v>
      </c>
      <c r="V84" s="50">
        <v>0.001575</v>
      </c>
      <c r="W84" s="50">
        <v>0.000571</v>
      </c>
      <c r="X84" s="50">
        <v>0.295875</v>
      </c>
      <c r="Y84" s="50">
        <v>0</v>
      </c>
      <c r="Z84" s="50">
        <v>0</v>
      </c>
      <c r="AA84" s="72">
        <v>84</v>
      </c>
      <c r="AB84" s="72"/>
      <c r="AC84" s="73"/>
      <c r="AD84" s="80" t="s">
        <v>471</v>
      </c>
      <c r="AE84" s="80" t="s">
        <v>644</v>
      </c>
      <c r="AF84" s="80" t="s">
        <v>797</v>
      </c>
      <c r="AG84" s="80" t="s">
        <v>932</v>
      </c>
      <c r="AH84" s="80" t="s">
        <v>1055</v>
      </c>
      <c r="AI84" s="80">
        <v>248</v>
      </c>
      <c r="AJ84" s="80">
        <v>1</v>
      </c>
      <c r="AK84" s="80">
        <v>6</v>
      </c>
      <c r="AL84" s="80">
        <v>0</v>
      </c>
      <c r="AM84" s="80" t="s">
        <v>1155</v>
      </c>
      <c r="AN84" s="98" t="str">
        <f>HYPERLINK("https://www.youtube.com/watch?v=G9qAbLnsMAE")</f>
        <v>https://www.youtube.com/watch?v=G9qAbLnsMAE</v>
      </c>
      <c r="AO84" s="80" t="str">
        <f>REPLACE(INDEX(GroupVertices[Group],MATCH(Vertices[[#This Row],[Vertex]],GroupVertices[Vertex],0)),1,1,"")</f>
        <v>2</v>
      </c>
      <c r="AP84" s="49">
        <v>0</v>
      </c>
      <c r="AQ84" s="50">
        <v>0</v>
      </c>
      <c r="AR84" s="49">
        <v>1</v>
      </c>
      <c r="AS84" s="50">
        <v>12.5</v>
      </c>
      <c r="AT84" s="49">
        <v>0</v>
      </c>
      <c r="AU84" s="50">
        <v>0</v>
      </c>
      <c r="AV84" s="49">
        <v>7</v>
      </c>
      <c r="AW84" s="50">
        <v>87.5</v>
      </c>
      <c r="AX84" s="49">
        <v>8</v>
      </c>
      <c r="AY84" s="49"/>
      <c r="AZ84" s="49"/>
      <c r="BA84" s="49"/>
      <c r="BB84" s="49"/>
      <c r="BC84" s="2"/>
      <c r="BD84" s="3"/>
      <c r="BE84" s="3"/>
      <c r="BF84" s="3"/>
      <c r="BG84" s="3"/>
    </row>
    <row r="85" spans="1:59" ht="15">
      <c r="A85" s="65" t="s">
        <v>301</v>
      </c>
      <c r="B85" s="66" t="s">
        <v>1614</v>
      </c>
      <c r="C85" s="66"/>
      <c r="D85" s="67">
        <v>142.85714285714286</v>
      </c>
      <c r="E85" s="69">
        <v>56.25</v>
      </c>
      <c r="F85" s="96" t="str">
        <f>HYPERLINK("https://i.ytimg.com/vi/Cr_Q-GQKmmM/default.jpg")</f>
        <v>https://i.ytimg.com/vi/Cr_Q-GQKmmM/default.jpg</v>
      </c>
      <c r="G85" s="66"/>
      <c r="H85" s="70" t="s">
        <v>472</v>
      </c>
      <c r="I85" s="71"/>
      <c r="J85" s="71" t="s">
        <v>159</v>
      </c>
      <c r="K85" s="70" t="s">
        <v>472</v>
      </c>
      <c r="L85" s="74">
        <v>9.461203418255646</v>
      </c>
      <c r="M85" s="75">
        <v>2240.28076171875</v>
      </c>
      <c r="N85" s="75">
        <v>2926.008056640625</v>
      </c>
      <c r="O85" s="76"/>
      <c r="P85" s="77"/>
      <c r="Q85" s="77"/>
      <c r="R85" s="82"/>
      <c r="S85" s="49">
        <v>1</v>
      </c>
      <c r="T85" s="49">
        <v>0</v>
      </c>
      <c r="U85" s="50">
        <v>0</v>
      </c>
      <c r="V85" s="50">
        <v>0.001575</v>
      </c>
      <c r="W85" s="50">
        <v>0.000571</v>
      </c>
      <c r="X85" s="50">
        <v>0.295875</v>
      </c>
      <c r="Y85" s="50">
        <v>0</v>
      </c>
      <c r="Z85" s="50">
        <v>0</v>
      </c>
      <c r="AA85" s="72">
        <v>85</v>
      </c>
      <c r="AB85" s="72"/>
      <c r="AC85" s="73"/>
      <c r="AD85" s="80" t="s">
        <v>472</v>
      </c>
      <c r="AE85" s="80" t="s">
        <v>645</v>
      </c>
      <c r="AF85" s="80" t="s">
        <v>798</v>
      </c>
      <c r="AG85" s="80" t="s">
        <v>931</v>
      </c>
      <c r="AH85" s="80" t="s">
        <v>1056</v>
      </c>
      <c r="AI85" s="80">
        <v>5808</v>
      </c>
      <c r="AJ85" s="80">
        <v>0</v>
      </c>
      <c r="AK85" s="80">
        <v>27</v>
      </c>
      <c r="AL85" s="80">
        <v>9</v>
      </c>
      <c r="AM85" s="80" t="s">
        <v>1155</v>
      </c>
      <c r="AN85" s="98" t="str">
        <f>HYPERLINK("https://www.youtube.com/watch?v=Cr_Q-GQKmmM")</f>
        <v>https://www.youtube.com/watch?v=Cr_Q-GQKmmM</v>
      </c>
      <c r="AO85" s="80" t="str">
        <f>REPLACE(INDEX(GroupVertices[Group],MATCH(Vertices[[#This Row],[Vertex]],GroupVertices[Vertex],0)),1,1,"")</f>
        <v>2</v>
      </c>
      <c r="AP85" s="49">
        <v>6</v>
      </c>
      <c r="AQ85" s="50">
        <v>10</v>
      </c>
      <c r="AR85" s="49">
        <v>0</v>
      </c>
      <c r="AS85" s="50">
        <v>0</v>
      </c>
      <c r="AT85" s="49">
        <v>0</v>
      </c>
      <c r="AU85" s="50">
        <v>0</v>
      </c>
      <c r="AV85" s="49">
        <v>54</v>
      </c>
      <c r="AW85" s="50">
        <v>90</v>
      </c>
      <c r="AX85" s="49">
        <v>60</v>
      </c>
      <c r="AY85" s="49"/>
      <c r="AZ85" s="49"/>
      <c r="BA85" s="49"/>
      <c r="BB85" s="49"/>
      <c r="BC85" s="2"/>
      <c r="BD85" s="3"/>
      <c r="BE85" s="3"/>
      <c r="BF85" s="3"/>
      <c r="BG85" s="3"/>
    </row>
    <row r="86" spans="1:59" ht="15">
      <c r="A86" s="65" t="s">
        <v>302</v>
      </c>
      <c r="B86" s="66" t="s">
        <v>1614</v>
      </c>
      <c r="C86" s="66"/>
      <c r="D86" s="67">
        <v>142.85714285714286</v>
      </c>
      <c r="E86" s="69">
        <v>56.25</v>
      </c>
      <c r="F86" s="96" t="str">
        <f>HYPERLINK("https://i.ytimg.com/vi/2ZHuj8uBinM/default.jpg")</f>
        <v>https://i.ytimg.com/vi/2ZHuj8uBinM/default.jpg</v>
      </c>
      <c r="G86" s="66"/>
      <c r="H86" s="70" t="s">
        <v>473</v>
      </c>
      <c r="I86" s="71"/>
      <c r="J86" s="71" t="s">
        <v>159</v>
      </c>
      <c r="K86" s="70" t="s">
        <v>473</v>
      </c>
      <c r="L86" s="74">
        <v>12.21485814964166</v>
      </c>
      <c r="M86" s="75">
        <v>3459.786376953125</v>
      </c>
      <c r="N86" s="75">
        <v>2926.008056640625</v>
      </c>
      <c r="O86" s="76"/>
      <c r="P86" s="77"/>
      <c r="Q86" s="77"/>
      <c r="R86" s="82"/>
      <c r="S86" s="49">
        <v>1</v>
      </c>
      <c r="T86" s="49">
        <v>0</v>
      </c>
      <c r="U86" s="50">
        <v>0</v>
      </c>
      <c r="V86" s="50">
        <v>0.001575</v>
      </c>
      <c r="W86" s="50">
        <v>0.000571</v>
      </c>
      <c r="X86" s="50">
        <v>0.295875</v>
      </c>
      <c r="Y86" s="50">
        <v>0</v>
      </c>
      <c r="Z86" s="50">
        <v>0</v>
      </c>
      <c r="AA86" s="72">
        <v>86</v>
      </c>
      <c r="AB86" s="72"/>
      <c r="AC86" s="73"/>
      <c r="AD86" s="80" t="s">
        <v>473</v>
      </c>
      <c r="AE86" s="80" t="s">
        <v>646</v>
      </c>
      <c r="AF86" s="80" t="s">
        <v>799</v>
      </c>
      <c r="AG86" s="80" t="s">
        <v>933</v>
      </c>
      <c r="AH86" s="80" t="s">
        <v>1057</v>
      </c>
      <c r="AI86" s="80">
        <v>7692</v>
      </c>
      <c r="AJ86" s="80">
        <v>1</v>
      </c>
      <c r="AK86" s="80">
        <v>162</v>
      </c>
      <c r="AL86" s="80">
        <v>0</v>
      </c>
      <c r="AM86" s="80" t="s">
        <v>1155</v>
      </c>
      <c r="AN86" s="98" t="str">
        <f>HYPERLINK("https://www.youtube.com/watch?v=2ZHuj8uBinM")</f>
        <v>https://www.youtube.com/watch?v=2ZHuj8uBinM</v>
      </c>
      <c r="AO86" s="80" t="str">
        <f>REPLACE(INDEX(GroupVertices[Group],MATCH(Vertices[[#This Row],[Vertex]],GroupVertices[Vertex],0)),1,1,"")</f>
        <v>2</v>
      </c>
      <c r="AP86" s="49">
        <v>0</v>
      </c>
      <c r="AQ86" s="50">
        <v>0</v>
      </c>
      <c r="AR86" s="49">
        <v>0</v>
      </c>
      <c r="AS86" s="50">
        <v>0</v>
      </c>
      <c r="AT86" s="49">
        <v>0</v>
      </c>
      <c r="AU86" s="50">
        <v>0</v>
      </c>
      <c r="AV86" s="49">
        <v>19</v>
      </c>
      <c r="AW86" s="50">
        <v>100</v>
      </c>
      <c r="AX86" s="49">
        <v>19</v>
      </c>
      <c r="AY86" s="49"/>
      <c r="AZ86" s="49"/>
      <c r="BA86" s="49"/>
      <c r="BB86" s="49"/>
      <c r="BC86" s="2"/>
      <c r="BD86" s="3"/>
      <c r="BE86" s="3"/>
      <c r="BF86" s="3"/>
      <c r="BG86" s="3"/>
    </row>
    <row r="87" spans="1:59" ht="15">
      <c r="A87" s="65" t="s">
        <v>303</v>
      </c>
      <c r="B87" s="66" t="s">
        <v>1614</v>
      </c>
      <c r="C87" s="66"/>
      <c r="D87" s="67">
        <v>142.85714285714286</v>
      </c>
      <c r="E87" s="69">
        <v>56.25</v>
      </c>
      <c r="F87" s="96" t="str">
        <f>HYPERLINK("https://i.ytimg.com/vi/Y5-5uAC8L4Q/default.jpg")</f>
        <v>https://i.ytimg.com/vi/Y5-5uAC8L4Q/default.jpg</v>
      </c>
      <c r="G87" s="66"/>
      <c r="H87" s="70" t="s">
        <v>474</v>
      </c>
      <c r="I87" s="71"/>
      <c r="J87" s="71" t="s">
        <v>159</v>
      </c>
      <c r="K87" s="70" t="s">
        <v>474</v>
      </c>
      <c r="L87" s="74">
        <v>22.41682737738815</v>
      </c>
      <c r="M87" s="75">
        <v>4069.538818359375</v>
      </c>
      <c r="N87" s="75">
        <v>2131.289794921875</v>
      </c>
      <c r="O87" s="76"/>
      <c r="P87" s="77"/>
      <c r="Q87" s="77"/>
      <c r="R87" s="82"/>
      <c r="S87" s="49">
        <v>1</v>
      </c>
      <c r="T87" s="49">
        <v>0</v>
      </c>
      <c r="U87" s="50">
        <v>0</v>
      </c>
      <c r="V87" s="50">
        <v>0.001575</v>
      </c>
      <c r="W87" s="50">
        <v>0.000571</v>
      </c>
      <c r="X87" s="50">
        <v>0.295875</v>
      </c>
      <c r="Y87" s="50">
        <v>0</v>
      </c>
      <c r="Z87" s="50">
        <v>0</v>
      </c>
      <c r="AA87" s="72">
        <v>87</v>
      </c>
      <c r="AB87" s="72"/>
      <c r="AC87" s="73"/>
      <c r="AD87" s="80" t="s">
        <v>474</v>
      </c>
      <c r="AE87" s="80" t="s">
        <v>647</v>
      </c>
      <c r="AF87" s="80" t="s">
        <v>800</v>
      </c>
      <c r="AG87" s="80" t="s">
        <v>934</v>
      </c>
      <c r="AH87" s="80" t="s">
        <v>1058</v>
      </c>
      <c r="AI87" s="80">
        <v>14672</v>
      </c>
      <c r="AJ87" s="80">
        <v>3</v>
      </c>
      <c r="AK87" s="80">
        <v>87</v>
      </c>
      <c r="AL87" s="80">
        <v>0</v>
      </c>
      <c r="AM87" s="80" t="s">
        <v>1155</v>
      </c>
      <c r="AN87" s="98" t="str">
        <f>HYPERLINK("https://www.youtube.com/watch?v=Y5-5uAC8L4Q")</f>
        <v>https://www.youtube.com/watch?v=Y5-5uAC8L4Q</v>
      </c>
      <c r="AO87" s="80" t="str">
        <f>REPLACE(INDEX(GroupVertices[Group],MATCH(Vertices[[#This Row],[Vertex]],GroupVertices[Vertex],0)),1,1,"")</f>
        <v>2</v>
      </c>
      <c r="AP87" s="49">
        <v>0</v>
      </c>
      <c r="AQ87" s="50">
        <v>0</v>
      </c>
      <c r="AR87" s="49">
        <v>3</v>
      </c>
      <c r="AS87" s="50">
        <v>10.344827586206897</v>
      </c>
      <c r="AT87" s="49">
        <v>0</v>
      </c>
      <c r="AU87" s="50">
        <v>0</v>
      </c>
      <c r="AV87" s="49">
        <v>26</v>
      </c>
      <c r="AW87" s="50">
        <v>89.65517241379311</v>
      </c>
      <c r="AX87" s="49">
        <v>29</v>
      </c>
      <c r="AY87" s="49"/>
      <c r="AZ87" s="49"/>
      <c r="BA87" s="49"/>
      <c r="BB87" s="49"/>
      <c r="BC87" s="2"/>
      <c r="BD87" s="3"/>
      <c r="BE87" s="3"/>
      <c r="BF87" s="3"/>
      <c r="BG87" s="3"/>
    </row>
    <row r="88" spans="1:59" ht="15">
      <c r="A88" s="65" t="s">
        <v>304</v>
      </c>
      <c r="B88" s="66" t="s">
        <v>1614</v>
      </c>
      <c r="C88" s="66"/>
      <c r="D88" s="67">
        <v>142.85714285714286</v>
      </c>
      <c r="E88" s="69">
        <v>56.25</v>
      </c>
      <c r="F88" s="96" t="str">
        <f>HYPERLINK("https://i.ytimg.com/vi/FE5u6jViz1Y/default.jpg")</f>
        <v>https://i.ytimg.com/vi/FE5u6jViz1Y/default.jpg</v>
      </c>
      <c r="G88" s="66"/>
      <c r="H88" s="70" t="s">
        <v>475</v>
      </c>
      <c r="I88" s="71"/>
      <c r="J88" s="71" t="s">
        <v>159</v>
      </c>
      <c r="K88" s="70" t="s">
        <v>475</v>
      </c>
      <c r="L88" s="74">
        <v>13.106434256937558</v>
      </c>
      <c r="M88" s="75">
        <v>4069.538818359375</v>
      </c>
      <c r="N88" s="75">
        <v>2926.008056640625</v>
      </c>
      <c r="O88" s="76"/>
      <c r="P88" s="77"/>
      <c r="Q88" s="77"/>
      <c r="R88" s="82"/>
      <c r="S88" s="49">
        <v>1</v>
      </c>
      <c r="T88" s="49">
        <v>0</v>
      </c>
      <c r="U88" s="50">
        <v>0</v>
      </c>
      <c r="V88" s="50">
        <v>0.001575</v>
      </c>
      <c r="W88" s="50">
        <v>0.000571</v>
      </c>
      <c r="X88" s="50">
        <v>0.295875</v>
      </c>
      <c r="Y88" s="50">
        <v>0</v>
      </c>
      <c r="Z88" s="50">
        <v>0</v>
      </c>
      <c r="AA88" s="72">
        <v>88</v>
      </c>
      <c r="AB88" s="72"/>
      <c r="AC88" s="73"/>
      <c r="AD88" s="80" t="s">
        <v>475</v>
      </c>
      <c r="AE88" s="80" t="s">
        <v>648</v>
      </c>
      <c r="AF88" s="80" t="s">
        <v>801</v>
      </c>
      <c r="AG88" s="80" t="s">
        <v>931</v>
      </c>
      <c r="AH88" s="80" t="s">
        <v>1059</v>
      </c>
      <c r="AI88" s="80">
        <v>8302</v>
      </c>
      <c r="AJ88" s="80">
        <v>2</v>
      </c>
      <c r="AK88" s="80">
        <v>74</v>
      </c>
      <c r="AL88" s="80">
        <v>3</v>
      </c>
      <c r="AM88" s="80" t="s">
        <v>1155</v>
      </c>
      <c r="AN88" s="98" t="str">
        <f>HYPERLINK("https://www.youtube.com/watch?v=FE5u6jViz1Y")</f>
        <v>https://www.youtube.com/watch?v=FE5u6jViz1Y</v>
      </c>
      <c r="AO88" s="80" t="str">
        <f>REPLACE(INDEX(GroupVertices[Group],MATCH(Vertices[[#This Row],[Vertex]],GroupVertices[Vertex],0)),1,1,"")</f>
        <v>2</v>
      </c>
      <c r="AP88" s="49">
        <v>5</v>
      </c>
      <c r="AQ88" s="50">
        <v>8.064516129032258</v>
      </c>
      <c r="AR88" s="49">
        <v>2</v>
      </c>
      <c r="AS88" s="50">
        <v>3.225806451612903</v>
      </c>
      <c r="AT88" s="49">
        <v>0</v>
      </c>
      <c r="AU88" s="50">
        <v>0</v>
      </c>
      <c r="AV88" s="49">
        <v>55</v>
      </c>
      <c r="AW88" s="50">
        <v>88.70967741935483</v>
      </c>
      <c r="AX88" s="49">
        <v>62</v>
      </c>
      <c r="AY88" s="49"/>
      <c r="AZ88" s="49"/>
      <c r="BA88" s="49"/>
      <c r="BB88" s="49"/>
      <c r="BC88" s="2"/>
      <c r="BD88" s="3"/>
      <c r="BE88" s="3"/>
      <c r="BF88" s="3"/>
      <c r="BG88" s="3"/>
    </row>
    <row r="89" spans="1:59" ht="15">
      <c r="A89" s="65" t="s">
        <v>305</v>
      </c>
      <c r="B89" s="66" t="s">
        <v>1614</v>
      </c>
      <c r="C89" s="66"/>
      <c r="D89" s="67">
        <v>142.85714285714286</v>
      </c>
      <c r="E89" s="69">
        <v>56.25</v>
      </c>
      <c r="F89" s="96" t="str">
        <f>HYPERLINK("https://i.ytimg.com/vi/WyybzNlLx2k/default.jpg")</f>
        <v>https://i.ytimg.com/vi/WyybzNlLx2k/default.jpg</v>
      </c>
      <c r="G89" s="66"/>
      <c r="H89" s="70" t="s">
        <v>476</v>
      </c>
      <c r="I89" s="71"/>
      <c r="J89" s="71" t="s">
        <v>159</v>
      </c>
      <c r="K89" s="70" t="s">
        <v>476</v>
      </c>
      <c r="L89" s="74">
        <v>2.0742761292827607</v>
      </c>
      <c r="M89" s="75">
        <v>1630.528076171875</v>
      </c>
      <c r="N89" s="75">
        <v>3720.72607421875</v>
      </c>
      <c r="O89" s="76"/>
      <c r="P89" s="77"/>
      <c r="Q89" s="77"/>
      <c r="R89" s="82"/>
      <c r="S89" s="49">
        <v>1</v>
      </c>
      <c r="T89" s="49">
        <v>0</v>
      </c>
      <c r="U89" s="50">
        <v>0</v>
      </c>
      <c r="V89" s="50">
        <v>0.001575</v>
      </c>
      <c r="W89" s="50">
        <v>0.000571</v>
      </c>
      <c r="X89" s="50">
        <v>0.295875</v>
      </c>
      <c r="Y89" s="50">
        <v>0</v>
      </c>
      <c r="Z89" s="50">
        <v>0</v>
      </c>
      <c r="AA89" s="72">
        <v>89</v>
      </c>
      <c r="AB89" s="72"/>
      <c r="AC89" s="73"/>
      <c r="AD89" s="80" t="s">
        <v>476</v>
      </c>
      <c r="AE89" s="80" t="s">
        <v>649</v>
      </c>
      <c r="AF89" s="80" t="s">
        <v>795</v>
      </c>
      <c r="AG89" s="80" t="s">
        <v>931</v>
      </c>
      <c r="AH89" s="80" t="s">
        <v>1060</v>
      </c>
      <c r="AI89" s="80">
        <v>754</v>
      </c>
      <c r="AJ89" s="80">
        <v>1</v>
      </c>
      <c r="AK89" s="80">
        <v>10</v>
      </c>
      <c r="AL89" s="80">
        <v>0</v>
      </c>
      <c r="AM89" s="80" t="s">
        <v>1155</v>
      </c>
      <c r="AN89" s="98" t="str">
        <f>HYPERLINK("https://www.youtube.com/watch?v=WyybzNlLx2k")</f>
        <v>https://www.youtube.com/watch?v=WyybzNlLx2k</v>
      </c>
      <c r="AO89" s="80" t="str">
        <f>REPLACE(INDEX(GroupVertices[Group],MATCH(Vertices[[#This Row],[Vertex]],GroupVertices[Vertex],0)),1,1,"")</f>
        <v>2</v>
      </c>
      <c r="AP89" s="49">
        <v>5</v>
      </c>
      <c r="AQ89" s="50">
        <v>9.615384615384615</v>
      </c>
      <c r="AR89" s="49">
        <v>0</v>
      </c>
      <c r="AS89" s="50">
        <v>0</v>
      </c>
      <c r="AT89" s="49">
        <v>0</v>
      </c>
      <c r="AU89" s="50">
        <v>0</v>
      </c>
      <c r="AV89" s="49">
        <v>47</v>
      </c>
      <c r="AW89" s="50">
        <v>90.38461538461539</v>
      </c>
      <c r="AX89" s="49">
        <v>52</v>
      </c>
      <c r="AY89" s="49"/>
      <c r="AZ89" s="49"/>
      <c r="BA89" s="49"/>
      <c r="BB89" s="49"/>
      <c r="BC89" s="2"/>
      <c r="BD89" s="3"/>
      <c r="BE89" s="3"/>
      <c r="BF89" s="3"/>
      <c r="BG89" s="3"/>
    </row>
    <row r="90" spans="1:59" ht="15">
      <c r="A90" s="65" t="s">
        <v>210</v>
      </c>
      <c r="B90" s="66" t="s">
        <v>1615</v>
      </c>
      <c r="C90" s="66"/>
      <c r="D90" s="67">
        <v>485.7142857142857</v>
      </c>
      <c r="E90" s="69">
        <v>100</v>
      </c>
      <c r="F90" s="96" t="str">
        <f>HYPERLINK("https://i.ytimg.com/vi/kbLFMObmLNQ/default.jpg")</f>
        <v>https://i.ytimg.com/vi/kbLFMObmLNQ/default.jpg</v>
      </c>
      <c r="G90" s="66"/>
      <c r="H90" s="70" t="s">
        <v>477</v>
      </c>
      <c r="I90" s="71"/>
      <c r="J90" s="71" t="s">
        <v>75</v>
      </c>
      <c r="K90" s="70" t="s">
        <v>477</v>
      </c>
      <c r="L90" s="74">
        <v>190.69377882852118</v>
      </c>
      <c r="M90" s="75">
        <v>3459.786376953125</v>
      </c>
      <c r="N90" s="75">
        <v>541.8533325195312</v>
      </c>
      <c r="O90" s="76"/>
      <c r="P90" s="77"/>
      <c r="Q90" s="77"/>
      <c r="R90" s="82"/>
      <c r="S90" s="49">
        <v>9</v>
      </c>
      <c r="T90" s="49">
        <v>11</v>
      </c>
      <c r="U90" s="50">
        <v>1278.043155</v>
      </c>
      <c r="V90" s="50">
        <v>0.002155</v>
      </c>
      <c r="W90" s="50">
        <v>0.011239</v>
      </c>
      <c r="X90" s="50">
        <v>2.58872</v>
      </c>
      <c r="Y90" s="50">
        <v>0.26143790849673204</v>
      </c>
      <c r="Z90" s="50">
        <v>0.1111111111111111</v>
      </c>
      <c r="AA90" s="72">
        <v>90</v>
      </c>
      <c r="AB90" s="72"/>
      <c r="AC90" s="73"/>
      <c r="AD90" s="80" t="s">
        <v>477</v>
      </c>
      <c r="AE90" s="80" t="s">
        <v>650</v>
      </c>
      <c r="AF90" s="80" t="s">
        <v>802</v>
      </c>
      <c r="AG90" s="80" t="s">
        <v>935</v>
      </c>
      <c r="AH90" s="80" t="s">
        <v>1061</v>
      </c>
      <c r="AI90" s="80">
        <v>129804</v>
      </c>
      <c r="AJ90" s="80">
        <v>49</v>
      </c>
      <c r="AK90" s="80">
        <v>602</v>
      </c>
      <c r="AL90" s="80">
        <v>15</v>
      </c>
      <c r="AM90" s="80" t="s">
        <v>1155</v>
      </c>
      <c r="AN90" s="98" t="str">
        <f>HYPERLINK("https://www.youtube.com/watch?v=kbLFMObmLNQ")</f>
        <v>https://www.youtube.com/watch?v=kbLFMObmLNQ</v>
      </c>
      <c r="AO90" s="80" t="str">
        <f>REPLACE(INDEX(GroupVertices[Group],MATCH(Vertices[[#This Row],[Vertex]],GroupVertices[Vertex],0)),1,1,"")</f>
        <v>2</v>
      </c>
      <c r="AP90" s="49">
        <v>0</v>
      </c>
      <c r="AQ90" s="50">
        <v>0</v>
      </c>
      <c r="AR90" s="49">
        <v>0</v>
      </c>
      <c r="AS90" s="50">
        <v>0</v>
      </c>
      <c r="AT90" s="49">
        <v>0</v>
      </c>
      <c r="AU90" s="50">
        <v>0</v>
      </c>
      <c r="AV90" s="49">
        <v>15</v>
      </c>
      <c r="AW90" s="50">
        <v>100</v>
      </c>
      <c r="AX90" s="49">
        <v>15</v>
      </c>
      <c r="AY90" s="111" t="s">
        <v>1608</v>
      </c>
      <c r="AZ90" s="111" t="s">
        <v>1608</v>
      </c>
      <c r="BA90" s="111" t="s">
        <v>1608</v>
      </c>
      <c r="BB90" s="111" t="s">
        <v>1608</v>
      </c>
      <c r="BC90" s="2"/>
      <c r="BD90" s="3"/>
      <c r="BE90" s="3"/>
      <c r="BF90" s="3"/>
      <c r="BG90" s="3"/>
    </row>
    <row r="91" spans="1:59" ht="15">
      <c r="A91" s="65" t="s">
        <v>306</v>
      </c>
      <c r="B91" s="66" t="s">
        <v>1614</v>
      </c>
      <c r="C91" s="66"/>
      <c r="D91" s="67">
        <v>142.85714285714286</v>
      </c>
      <c r="E91" s="69">
        <v>56.25</v>
      </c>
      <c r="F91" s="96" t="str">
        <f>HYPERLINK("https://i.ytimg.com/vi/N3yv5E-hjbc/default.jpg")</f>
        <v>https://i.ytimg.com/vi/N3yv5E-hjbc/default.jpg</v>
      </c>
      <c r="G91" s="66"/>
      <c r="H91" s="70" t="s">
        <v>478</v>
      </c>
      <c r="I91" s="71"/>
      <c r="J91" s="71" t="s">
        <v>159</v>
      </c>
      <c r="K91" s="70" t="s">
        <v>478</v>
      </c>
      <c r="L91" s="74">
        <v>26.02697981184858</v>
      </c>
      <c r="M91" s="75">
        <v>5289.0439453125</v>
      </c>
      <c r="N91" s="75">
        <v>2131.289794921875</v>
      </c>
      <c r="O91" s="76"/>
      <c r="P91" s="77"/>
      <c r="Q91" s="77"/>
      <c r="R91" s="82"/>
      <c r="S91" s="49">
        <v>1</v>
      </c>
      <c r="T91" s="49">
        <v>0</v>
      </c>
      <c r="U91" s="50">
        <v>0</v>
      </c>
      <c r="V91" s="50">
        <v>0.001553</v>
      </c>
      <c r="W91" s="50">
        <v>0.00049</v>
      </c>
      <c r="X91" s="50">
        <v>0.272245</v>
      </c>
      <c r="Y91" s="50">
        <v>0</v>
      </c>
      <c r="Z91" s="50">
        <v>0</v>
      </c>
      <c r="AA91" s="72">
        <v>91</v>
      </c>
      <c r="AB91" s="72"/>
      <c r="AC91" s="73"/>
      <c r="AD91" s="80" t="s">
        <v>478</v>
      </c>
      <c r="AE91" s="80" t="s">
        <v>651</v>
      </c>
      <c r="AF91" s="80" t="s">
        <v>803</v>
      </c>
      <c r="AG91" s="80" t="s">
        <v>936</v>
      </c>
      <c r="AH91" s="80" t="s">
        <v>1062</v>
      </c>
      <c r="AI91" s="80">
        <v>17142</v>
      </c>
      <c r="AJ91" s="80">
        <v>8</v>
      </c>
      <c r="AK91" s="80">
        <v>85</v>
      </c>
      <c r="AL91" s="80">
        <v>0</v>
      </c>
      <c r="AM91" s="80" t="s">
        <v>1155</v>
      </c>
      <c r="AN91" s="98" t="str">
        <f>HYPERLINK("https://www.youtube.com/watch?v=N3yv5E-hjbc")</f>
        <v>https://www.youtube.com/watch?v=N3yv5E-hjbc</v>
      </c>
      <c r="AO91" s="80" t="str">
        <f>REPLACE(INDEX(GroupVertices[Group],MATCH(Vertices[[#This Row],[Vertex]],GroupVertices[Vertex],0)),1,1,"")</f>
        <v>2</v>
      </c>
      <c r="AP91" s="49">
        <v>0</v>
      </c>
      <c r="AQ91" s="50">
        <v>0</v>
      </c>
      <c r="AR91" s="49">
        <v>0</v>
      </c>
      <c r="AS91" s="50">
        <v>0</v>
      </c>
      <c r="AT91" s="49">
        <v>0</v>
      </c>
      <c r="AU91" s="50">
        <v>0</v>
      </c>
      <c r="AV91" s="49">
        <v>16</v>
      </c>
      <c r="AW91" s="50">
        <v>100</v>
      </c>
      <c r="AX91" s="49">
        <v>16</v>
      </c>
      <c r="AY91" s="49"/>
      <c r="AZ91" s="49"/>
      <c r="BA91" s="49"/>
      <c r="BB91" s="49"/>
      <c r="BC91" s="2"/>
      <c r="BD91" s="3"/>
      <c r="BE91" s="3"/>
      <c r="BF91" s="3"/>
      <c r="BG91" s="3"/>
    </row>
    <row r="92" spans="1:59" ht="15">
      <c r="A92" s="65" t="s">
        <v>307</v>
      </c>
      <c r="B92" s="66" t="s">
        <v>1614</v>
      </c>
      <c r="C92" s="66"/>
      <c r="D92" s="67">
        <v>142.85714285714286</v>
      </c>
      <c r="E92" s="69">
        <v>56.25</v>
      </c>
      <c r="F92" s="96" t="str">
        <f>HYPERLINK("https://i.ytimg.com/vi/mLOSLYNWmBA/default.jpg")</f>
        <v>https://i.ytimg.com/vi/mLOSLYNWmBA/default.jpg</v>
      </c>
      <c r="G92" s="66"/>
      <c r="H92" s="70" t="s">
        <v>479</v>
      </c>
      <c r="I92" s="71"/>
      <c r="J92" s="71" t="s">
        <v>159</v>
      </c>
      <c r="K92" s="70" t="s">
        <v>479</v>
      </c>
      <c r="L92" s="74">
        <v>34.264558403192304</v>
      </c>
      <c r="M92" s="75">
        <v>1630.528076171875</v>
      </c>
      <c r="N92" s="75">
        <v>1336.571533203125</v>
      </c>
      <c r="O92" s="76"/>
      <c r="P92" s="77"/>
      <c r="Q92" s="77"/>
      <c r="R92" s="82"/>
      <c r="S92" s="49">
        <v>1</v>
      </c>
      <c r="T92" s="49">
        <v>0</v>
      </c>
      <c r="U92" s="50">
        <v>0</v>
      </c>
      <c r="V92" s="50">
        <v>0.001553</v>
      </c>
      <c r="W92" s="50">
        <v>0.00049</v>
      </c>
      <c r="X92" s="50">
        <v>0.272245</v>
      </c>
      <c r="Y92" s="50">
        <v>0</v>
      </c>
      <c r="Z92" s="50">
        <v>0</v>
      </c>
      <c r="AA92" s="72">
        <v>92</v>
      </c>
      <c r="AB92" s="72"/>
      <c r="AC92" s="73"/>
      <c r="AD92" s="80" t="s">
        <v>479</v>
      </c>
      <c r="AE92" s="80" t="s">
        <v>652</v>
      </c>
      <c r="AF92" s="80" t="s">
        <v>804</v>
      </c>
      <c r="AG92" s="80" t="s">
        <v>896</v>
      </c>
      <c r="AH92" s="80" t="s">
        <v>1063</v>
      </c>
      <c r="AI92" s="80">
        <v>22778</v>
      </c>
      <c r="AJ92" s="80">
        <v>5</v>
      </c>
      <c r="AK92" s="80">
        <v>153</v>
      </c>
      <c r="AL92" s="80">
        <v>9</v>
      </c>
      <c r="AM92" s="80" t="s">
        <v>1155</v>
      </c>
      <c r="AN92" s="98" t="str">
        <f>HYPERLINK("https://www.youtube.com/watch?v=mLOSLYNWmBA")</f>
        <v>https://www.youtube.com/watch?v=mLOSLYNWmBA</v>
      </c>
      <c r="AO92" s="80" t="str">
        <f>REPLACE(INDEX(GroupVertices[Group],MATCH(Vertices[[#This Row],[Vertex]],GroupVertices[Vertex],0)),1,1,"")</f>
        <v>2</v>
      </c>
      <c r="AP92" s="49">
        <v>0</v>
      </c>
      <c r="AQ92" s="50">
        <v>0</v>
      </c>
      <c r="AR92" s="49">
        <v>0</v>
      </c>
      <c r="AS92" s="50">
        <v>0</v>
      </c>
      <c r="AT92" s="49">
        <v>0</v>
      </c>
      <c r="AU92" s="50">
        <v>0</v>
      </c>
      <c r="AV92" s="49">
        <v>11</v>
      </c>
      <c r="AW92" s="50">
        <v>100</v>
      </c>
      <c r="AX92" s="49">
        <v>11</v>
      </c>
      <c r="AY92" s="49"/>
      <c r="AZ92" s="49"/>
      <c r="BA92" s="49"/>
      <c r="BB92" s="49"/>
      <c r="BC92" s="2"/>
      <c r="BD92" s="3"/>
      <c r="BE92" s="3"/>
      <c r="BF92" s="3"/>
      <c r="BG92" s="3"/>
    </row>
    <row r="93" spans="1:59" ht="15">
      <c r="A93" s="65" t="s">
        <v>211</v>
      </c>
      <c r="B93" s="66" t="s">
        <v>1613</v>
      </c>
      <c r="C93" s="66"/>
      <c r="D93" s="67">
        <v>142.85714285714286</v>
      </c>
      <c r="E93" s="69">
        <v>56.25</v>
      </c>
      <c r="F93" s="96" t="str">
        <f>HYPERLINK("https://i.ytimg.com/vi/6syIwTVbrt0/default.jpg")</f>
        <v>https://i.ytimg.com/vi/6syIwTVbrt0/default.jpg</v>
      </c>
      <c r="G93" s="66"/>
      <c r="H93" s="70" t="s">
        <v>480</v>
      </c>
      <c r="I93" s="71"/>
      <c r="J93" s="71" t="s">
        <v>159</v>
      </c>
      <c r="K93" s="70" t="s">
        <v>480</v>
      </c>
      <c r="L93" s="74">
        <v>2.57414338943882</v>
      </c>
      <c r="M93" s="75">
        <v>6005.23779296875</v>
      </c>
      <c r="N93" s="75">
        <v>1235.425537109375</v>
      </c>
      <c r="O93" s="76"/>
      <c r="P93" s="77"/>
      <c r="Q93" s="77"/>
      <c r="R93" s="82"/>
      <c r="S93" s="49">
        <v>1</v>
      </c>
      <c r="T93" s="49">
        <v>10</v>
      </c>
      <c r="U93" s="50">
        <v>3510</v>
      </c>
      <c r="V93" s="50">
        <v>0.001828</v>
      </c>
      <c r="W93" s="50">
        <v>0.001473</v>
      </c>
      <c r="X93" s="50">
        <v>4.454459</v>
      </c>
      <c r="Y93" s="50">
        <v>0</v>
      </c>
      <c r="Z93" s="50">
        <v>0</v>
      </c>
      <c r="AA93" s="72">
        <v>93</v>
      </c>
      <c r="AB93" s="72"/>
      <c r="AC93" s="73"/>
      <c r="AD93" s="80" t="s">
        <v>480</v>
      </c>
      <c r="AE93" s="80" t="s">
        <v>653</v>
      </c>
      <c r="AF93" s="80"/>
      <c r="AG93" s="80" t="s">
        <v>937</v>
      </c>
      <c r="AH93" s="80" t="s">
        <v>1064</v>
      </c>
      <c r="AI93" s="80">
        <v>1096</v>
      </c>
      <c r="AJ93" s="80">
        <v>0</v>
      </c>
      <c r="AK93" s="80">
        <v>8</v>
      </c>
      <c r="AL93" s="80">
        <v>0</v>
      </c>
      <c r="AM93" s="80" t="s">
        <v>1155</v>
      </c>
      <c r="AN93" s="98" t="str">
        <f>HYPERLINK("https://www.youtube.com/watch?v=6syIwTVbrt0")</f>
        <v>https://www.youtube.com/watch?v=6syIwTVbrt0</v>
      </c>
      <c r="AO93" s="80" t="str">
        <f>REPLACE(INDEX(GroupVertices[Group],MATCH(Vertices[[#This Row],[Vertex]],GroupVertices[Vertex],0)),1,1,"")</f>
        <v>7</v>
      </c>
      <c r="AP93" s="49"/>
      <c r="AQ93" s="50"/>
      <c r="AR93" s="49"/>
      <c r="AS93" s="50"/>
      <c r="AT93" s="49"/>
      <c r="AU93" s="50"/>
      <c r="AV93" s="49"/>
      <c r="AW93" s="50"/>
      <c r="AX93" s="49"/>
      <c r="AY93" s="111" t="s">
        <v>1608</v>
      </c>
      <c r="AZ93" s="111" t="s">
        <v>1608</v>
      </c>
      <c r="BA93" s="111" t="s">
        <v>1608</v>
      </c>
      <c r="BB93" s="111" t="s">
        <v>1608</v>
      </c>
      <c r="BC93" s="2"/>
      <c r="BD93" s="3"/>
      <c r="BE93" s="3"/>
      <c r="BF93" s="3"/>
      <c r="BG93" s="3"/>
    </row>
    <row r="94" spans="1:59" ht="15">
      <c r="A94" s="65" t="s">
        <v>308</v>
      </c>
      <c r="B94" s="66" t="s">
        <v>1614</v>
      </c>
      <c r="C94" s="66"/>
      <c r="D94" s="67">
        <v>142.85714285714286</v>
      </c>
      <c r="E94" s="69">
        <v>56.25</v>
      </c>
      <c r="F94" s="96" t="str">
        <f>HYPERLINK("https://i.ytimg.com/vi/mjAq8eA7uOM/default.jpg")</f>
        <v>https://i.ytimg.com/vi/mjAq8eA7uOM/default.jpg</v>
      </c>
      <c r="G94" s="66"/>
      <c r="H94" s="70" t="s">
        <v>481</v>
      </c>
      <c r="I94" s="71"/>
      <c r="J94" s="71" t="s">
        <v>159</v>
      </c>
      <c r="K94" s="70" t="s">
        <v>481</v>
      </c>
      <c r="L94" s="74">
        <v>4.121977975711532</v>
      </c>
      <c r="M94" s="75">
        <v>7836.265625</v>
      </c>
      <c r="N94" s="75">
        <v>1235.425537109375</v>
      </c>
      <c r="O94" s="76"/>
      <c r="P94" s="77"/>
      <c r="Q94" s="77"/>
      <c r="R94" s="82"/>
      <c r="S94" s="49">
        <v>1</v>
      </c>
      <c r="T94" s="49">
        <v>0</v>
      </c>
      <c r="U94" s="50">
        <v>0</v>
      </c>
      <c r="V94" s="50">
        <v>0.001376</v>
      </c>
      <c r="W94" s="50">
        <v>6.4E-05</v>
      </c>
      <c r="X94" s="50">
        <v>0.494208</v>
      </c>
      <c r="Y94" s="50">
        <v>0</v>
      </c>
      <c r="Z94" s="50">
        <v>0</v>
      </c>
      <c r="AA94" s="72">
        <v>94</v>
      </c>
      <c r="AB94" s="72"/>
      <c r="AC94" s="73"/>
      <c r="AD94" s="80" t="s">
        <v>481</v>
      </c>
      <c r="AE94" s="80" t="s">
        <v>654</v>
      </c>
      <c r="AF94" s="80" t="s">
        <v>805</v>
      </c>
      <c r="AG94" s="80" t="s">
        <v>938</v>
      </c>
      <c r="AH94" s="80" t="s">
        <v>1065</v>
      </c>
      <c r="AI94" s="80">
        <v>2155</v>
      </c>
      <c r="AJ94" s="80">
        <v>0</v>
      </c>
      <c r="AK94" s="80">
        <v>14</v>
      </c>
      <c r="AL94" s="80">
        <v>0</v>
      </c>
      <c r="AM94" s="80" t="s">
        <v>1155</v>
      </c>
      <c r="AN94" s="98" t="str">
        <f>HYPERLINK("https://www.youtube.com/watch?v=mjAq8eA7uOM")</f>
        <v>https://www.youtube.com/watch?v=mjAq8eA7uOM</v>
      </c>
      <c r="AO94" s="80" t="str">
        <f>REPLACE(INDEX(GroupVertices[Group],MATCH(Vertices[[#This Row],[Vertex]],GroupVertices[Vertex],0)),1,1,"")</f>
        <v>7</v>
      </c>
      <c r="AP94" s="49">
        <v>0</v>
      </c>
      <c r="AQ94" s="50">
        <v>0</v>
      </c>
      <c r="AR94" s="49">
        <v>0</v>
      </c>
      <c r="AS94" s="50">
        <v>0</v>
      </c>
      <c r="AT94" s="49">
        <v>0</v>
      </c>
      <c r="AU94" s="50">
        <v>0</v>
      </c>
      <c r="AV94" s="49">
        <v>5</v>
      </c>
      <c r="AW94" s="50">
        <v>100</v>
      </c>
      <c r="AX94" s="49">
        <v>5</v>
      </c>
      <c r="AY94" s="49"/>
      <c r="AZ94" s="49"/>
      <c r="BA94" s="49"/>
      <c r="BB94" s="49"/>
      <c r="BC94" s="2"/>
      <c r="BD94" s="3"/>
      <c r="BE94" s="3"/>
      <c r="BF94" s="3"/>
      <c r="BG94" s="3"/>
    </row>
    <row r="95" spans="1:59" ht="15">
      <c r="A95" s="65" t="s">
        <v>309</v>
      </c>
      <c r="B95" s="66" t="s">
        <v>1614</v>
      </c>
      <c r="C95" s="66"/>
      <c r="D95" s="67">
        <v>142.85714285714286</v>
      </c>
      <c r="E95" s="69">
        <v>56.25</v>
      </c>
      <c r="F95" s="96" t="str">
        <f>HYPERLINK("https://i.ytimg.com/vi/1A0yLJOm69Y/default_live.jpg")</f>
        <v>https://i.ytimg.com/vi/1A0yLJOm69Y/default_live.jpg</v>
      </c>
      <c r="G95" s="66"/>
      <c r="H95" s="70" t="s">
        <v>482</v>
      </c>
      <c r="I95" s="71"/>
      <c r="J95" s="71" t="s">
        <v>159</v>
      </c>
      <c r="K95" s="70" t="s">
        <v>482</v>
      </c>
      <c r="L95" s="74">
        <v>2.046505725940757</v>
      </c>
      <c r="M95" s="75">
        <v>7836.265625</v>
      </c>
      <c r="N95" s="75">
        <v>1962.7127685546875</v>
      </c>
      <c r="O95" s="76"/>
      <c r="P95" s="77"/>
      <c r="Q95" s="77"/>
      <c r="R95" s="82"/>
      <c r="S95" s="49">
        <v>1</v>
      </c>
      <c r="T95" s="49">
        <v>0</v>
      </c>
      <c r="U95" s="50">
        <v>0</v>
      </c>
      <c r="V95" s="50">
        <v>0.001376</v>
      </c>
      <c r="W95" s="50">
        <v>6.4E-05</v>
      </c>
      <c r="X95" s="50">
        <v>0.494208</v>
      </c>
      <c r="Y95" s="50">
        <v>0</v>
      </c>
      <c r="Z95" s="50">
        <v>0</v>
      </c>
      <c r="AA95" s="72">
        <v>95</v>
      </c>
      <c r="AB95" s="72"/>
      <c r="AC95" s="73"/>
      <c r="AD95" s="80" t="s">
        <v>482</v>
      </c>
      <c r="AE95" s="80" t="s">
        <v>655</v>
      </c>
      <c r="AF95" s="80" t="s">
        <v>806</v>
      </c>
      <c r="AG95" s="80" t="s">
        <v>939</v>
      </c>
      <c r="AH95" s="80" t="s">
        <v>1066</v>
      </c>
      <c r="AI95" s="80">
        <v>735</v>
      </c>
      <c r="AJ95" s="80">
        <v>0</v>
      </c>
      <c r="AK95" s="80">
        <v>112</v>
      </c>
      <c r="AL95" s="80">
        <v>1</v>
      </c>
      <c r="AM95" s="80" t="s">
        <v>1155</v>
      </c>
      <c r="AN95" s="98" t="str">
        <f>HYPERLINK("https://www.youtube.com/watch?v=1A0yLJOm69Y")</f>
        <v>https://www.youtube.com/watch?v=1A0yLJOm69Y</v>
      </c>
      <c r="AO95" s="80" t="str">
        <f>REPLACE(INDEX(GroupVertices[Group],MATCH(Vertices[[#This Row],[Vertex]],GroupVertices[Vertex],0)),1,1,"")</f>
        <v>7</v>
      </c>
      <c r="AP95" s="49">
        <v>1</v>
      </c>
      <c r="AQ95" s="50">
        <v>1.5625</v>
      </c>
      <c r="AR95" s="49">
        <v>1</v>
      </c>
      <c r="AS95" s="50">
        <v>1.5625</v>
      </c>
      <c r="AT95" s="49">
        <v>0</v>
      </c>
      <c r="AU95" s="50">
        <v>0</v>
      </c>
      <c r="AV95" s="49">
        <v>62</v>
      </c>
      <c r="AW95" s="50">
        <v>96.875</v>
      </c>
      <c r="AX95" s="49">
        <v>64</v>
      </c>
      <c r="AY95" s="49"/>
      <c r="AZ95" s="49"/>
      <c r="BA95" s="49"/>
      <c r="BB95" s="49"/>
      <c r="BC95" s="2"/>
      <c r="BD95" s="3"/>
      <c r="BE95" s="3"/>
      <c r="BF95" s="3"/>
      <c r="BG95" s="3"/>
    </row>
    <row r="96" spans="1:59" ht="15">
      <c r="A96" s="65" t="s">
        <v>310</v>
      </c>
      <c r="B96" s="66" t="s">
        <v>1614</v>
      </c>
      <c r="C96" s="66"/>
      <c r="D96" s="67">
        <v>142.85714285714286</v>
      </c>
      <c r="E96" s="69">
        <v>56.25</v>
      </c>
      <c r="F96" s="96" t="str">
        <f>HYPERLINK("https://i.ytimg.com/vi/C8k9mdb9NE8/default_live.jpg")</f>
        <v>https://i.ytimg.com/vi/C8k9mdb9NE8/default_live.jpg</v>
      </c>
      <c r="G96" s="66"/>
      <c r="H96" s="70" t="s">
        <v>483</v>
      </c>
      <c r="I96" s="71"/>
      <c r="J96" s="71" t="s">
        <v>159</v>
      </c>
      <c r="K96" s="70" t="s">
        <v>483</v>
      </c>
      <c r="L96" s="74">
        <v>24.677922849497577</v>
      </c>
      <c r="M96" s="75">
        <v>6615.58056640625</v>
      </c>
      <c r="N96" s="75">
        <v>508.1383361816406</v>
      </c>
      <c r="O96" s="76"/>
      <c r="P96" s="77"/>
      <c r="Q96" s="77"/>
      <c r="R96" s="82"/>
      <c r="S96" s="49">
        <v>1</v>
      </c>
      <c r="T96" s="49">
        <v>0</v>
      </c>
      <c r="U96" s="50">
        <v>0</v>
      </c>
      <c r="V96" s="50">
        <v>0.001376</v>
      </c>
      <c r="W96" s="50">
        <v>6.4E-05</v>
      </c>
      <c r="X96" s="50">
        <v>0.494208</v>
      </c>
      <c r="Y96" s="50">
        <v>0</v>
      </c>
      <c r="Z96" s="50">
        <v>0</v>
      </c>
      <c r="AA96" s="72">
        <v>96</v>
      </c>
      <c r="AB96" s="72"/>
      <c r="AC96" s="73"/>
      <c r="AD96" s="80" t="s">
        <v>483</v>
      </c>
      <c r="AE96" s="80" t="s">
        <v>656</v>
      </c>
      <c r="AF96" s="80" t="s">
        <v>807</v>
      </c>
      <c r="AG96" s="80" t="s">
        <v>940</v>
      </c>
      <c r="AH96" s="80" t="s">
        <v>1067</v>
      </c>
      <c r="AI96" s="80">
        <v>16219</v>
      </c>
      <c r="AJ96" s="80">
        <v>0</v>
      </c>
      <c r="AK96" s="80">
        <v>2222</v>
      </c>
      <c r="AL96" s="80">
        <v>84</v>
      </c>
      <c r="AM96" s="80" t="s">
        <v>1155</v>
      </c>
      <c r="AN96" s="98" t="str">
        <f>HYPERLINK("https://www.youtube.com/watch?v=C8k9mdb9NE8")</f>
        <v>https://www.youtube.com/watch?v=C8k9mdb9NE8</v>
      </c>
      <c r="AO96" s="80" t="str">
        <f>REPLACE(INDEX(GroupVertices[Group],MATCH(Vertices[[#This Row],[Vertex]],GroupVertices[Vertex],0)),1,1,"")</f>
        <v>7</v>
      </c>
      <c r="AP96" s="49">
        <v>0</v>
      </c>
      <c r="AQ96" s="50">
        <v>0</v>
      </c>
      <c r="AR96" s="49">
        <v>0</v>
      </c>
      <c r="AS96" s="50">
        <v>0</v>
      </c>
      <c r="AT96" s="49">
        <v>0</v>
      </c>
      <c r="AU96" s="50">
        <v>0</v>
      </c>
      <c r="AV96" s="49">
        <v>16</v>
      </c>
      <c r="AW96" s="50">
        <v>100</v>
      </c>
      <c r="AX96" s="49">
        <v>16</v>
      </c>
      <c r="AY96" s="49"/>
      <c r="AZ96" s="49"/>
      <c r="BA96" s="49"/>
      <c r="BB96" s="49"/>
      <c r="BC96" s="2"/>
      <c r="BD96" s="3"/>
      <c r="BE96" s="3"/>
      <c r="BF96" s="3"/>
      <c r="BG96" s="3"/>
    </row>
    <row r="97" spans="1:59" ht="15">
      <c r="A97" s="65" t="s">
        <v>311</v>
      </c>
      <c r="B97" s="66" t="s">
        <v>1614</v>
      </c>
      <c r="C97" s="66"/>
      <c r="D97" s="67">
        <v>142.85714285714286</v>
      </c>
      <c r="E97" s="69">
        <v>56.25</v>
      </c>
      <c r="F97" s="96" t="str">
        <f>HYPERLINK("https://i.ytimg.com/vi/prs0ht5KSmw/default_live.jpg")</f>
        <v>https://i.ytimg.com/vi/prs0ht5KSmw/default_live.jpg</v>
      </c>
      <c r="G97" s="66"/>
      <c r="H97" s="70" t="s">
        <v>484</v>
      </c>
      <c r="I97" s="71"/>
      <c r="J97" s="71" t="s">
        <v>159</v>
      </c>
      <c r="K97" s="70" t="s">
        <v>484</v>
      </c>
      <c r="L97" s="74">
        <v>1.1622376195243351</v>
      </c>
      <c r="M97" s="75">
        <v>6005.23779296875</v>
      </c>
      <c r="N97" s="75">
        <v>1962.7127685546875</v>
      </c>
      <c r="O97" s="76"/>
      <c r="P97" s="77"/>
      <c r="Q97" s="77"/>
      <c r="R97" s="82"/>
      <c r="S97" s="49">
        <v>1</v>
      </c>
      <c r="T97" s="49">
        <v>0</v>
      </c>
      <c r="U97" s="50">
        <v>0</v>
      </c>
      <c r="V97" s="50">
        <v>0.001376</v>
      </c>
      <c r="W97" s="50">
        <v>6.4E-05</v>
      </c>
      <c r="X97" s="50">
        <v>0.494208</v>
      </c>
      <c r="Y97" s="50">
        <v>0</v>
      </c>
      <c r="Z97" s="50">
        <v>0</v>
      </c>
      <c r="AA97" s="72">
        <v>97</v>
      </c>
      <c r="AB97" s="72"/>
      <c r="AC97" s="73"/>
      <c r="AD97" s="80" t="s">
        <v>484</v>
      </c>
      <c r="AE97" s="80"/>
      <c r="AF97" s="80"/>
      <c r="AG97" s="80" t="s">
        <v>941</v>
      </c>
      <c r="AH97" s="80" t="s">
        <v>1068</v>
      </c>
      <c r="AI97" s="80">
        <v>130</v>
      </c>
      <c r="AJ97" s="80">
        <v>0</v>
      </c>
      <c r="AK97" s="80">
        <v>9</v>
      </c>
      <c r="AL97" s="80">
        <v>0</v>
      </c>
      <c r="AM97" s="80" t="s">
        <v>1155</v>
      </c>
      <c r="AN97" s="98" t="str">
        <f>HYPERLINK("https://www.youtube.com/watch?v=prs0ht5KSmw")</f>
        <v>https://www.youtube.com/watch?v=prs0ht5KSmw</v>
      </c>
      <c r="AO97" s="80" t="str">
        <f>REPLACE(INDEX(GroupVertices[Group],MATCH(Vertices[[#This Row],[Vertex]],GroupVertices[Vertex],0)),1,1,"")</f>
        <v>7</v>
      </c>
      <c r="AP97" s="49"/>
      <c r="AQ97" s="50"/>
      <c r="AR97" s="49"/>
      <c r="AS97" s="50"/>
      <c r="AT97" s="49"/>
      <c r="AU97" s="50"/>
      <c r="AV97" s="49"/>
      <c r="AW97" s="50"/>
      <c r="AX97" s="49"/>
      <c r="AY97" s="49"/>
      <c r="AZ97" s="49"/>
      <c r="BA97" s="49"/>
      <c r="BB97" s="49"/>
      <c r="BC97" s="2"/>
      <c r="BD97" s="3"/>
      <c r="BE97" s="3"/>
      <c r="BF97" s="3"/>
      <c r="BG97" s="3"/>
    </row>
    <row r="98" spans="1:59" ht="15">
      <c r="A98" s="65" t="s">
        <v>312</v>
      </c>
      <c r="B98" s="66" t="s">
        <v>1614</v>
      </c>
      <c r="C98" s="66"/>
      <c r="D98" s="67">
        <v>142.85714285714286</v>
      </c>
      <c r="E98" s="69">
        <v>56.25</v>
      </c>
      <c r="F98" s="96" t="str">
        <f>HYPERLINK("https://i.ytimg.com/vi/vEXe6QNXsaU/default.jpg")</f>
        <v>https://i.ytimg.com/vi/vEXe6QNXsaU/default.jpg</v>
      </c>
      <c r="G98" s="66"/>
      <c r="H98" s="70" t="s">
        <v>485</v>
      </c>
      <c r="I98" s="71"/>
      <c r="J98" s="71" t="s">
        <v>159</v>
      </c>
      <c r="K98" s="70" t="s">
        <v>485</v>
      </c>
      <c r="L98" s="74">
        <v>1.74980089023409</v>
      </c>
      <c r="M98" s="75">
        <v>6615.58056640625</v>
      </c>
      <c r="N98" s="75">
        <v>1962.7127685546875</v>
      </c>
      <c r="O98" s="76"/>
      <c r="P98" s="77"/>
      <c r="Q98" s="77"/>
      <c r="R98" s="82"/>
      <c r="S98" s="49">
        <v>1</v>
      </c>
      <c r="T98" s="49">
        <v>0</v>
      </c>
      <c r="U98" s="50">
        <v>0</v>
      </c>
      <c r="V98" s="50">
        <v>0.001376</v>
      </c>
      <c r="W98" s="50">
        <v>6.4E-05</v>
      </c>
      <c r="X98" s="50">
        <v>0.494208</v>
      </c>
      <c r="Y98" s="50">
        <v>0</v>
      </c>
      <c r="Z98" s="50">
        <v>0</v>
      </c>
      <c r="AA98" s="72">
        <v>98</v>
      </c>
      <c r="AB98" s="72"/>
      <c r="AC98" s="73"/>
      <c r="AD98" s="80" t="s">
        <v>485</v>
      </c>
      <c r="AE98" s="80" t="s">
        <v>657</v>
      </c>
      <c r="AF98" s="80" t="s">
        <v>808</v>
      </c>
      <c r="AG98" s="80" t="s">
        <v>937</v>
      </c>
      <c r="AH98" s="80" t="s">
        <v>1069</v>
      </c>
      <c r="AI98" s="80">
        <v>532</v>
      </c>
      <c r="AJ98" s="80">
        <v>0</v>
      </c>
      <c r="AK98" s="80">
        <v>2</v>
      </c>
      <c r="AL98" s="80">
        <v>0</v>
      </c>
      <c r="AM98" s="80" t="s">
        <v>1155</v>
      </c>
      <c r="AN98" s="98" t="str">
        <f>HYPERLINK("https://www.youtube.com/watch?v=vEXe6QNXsaU")</f>
        <v>https://www.youtube.com/watch?v=vEXe6QNXsaU</v>
      </c>
      <c r="AO98" s="80" t="str">
        <f>REPLACE(INDEX(GroupVertices[Group],MATCH(Vertices[[#This Row],[Vertex]],GroupVertices[Vertex],0)),1,1,"")</f>
        <v>7</v>
      </c>
      <c r="AP98" s="49">
        <v>0</v>
      </c>
      <c r="AQ98" s="50">
        <v>0</v>
      </c>
      <c r="AR98" s="49">
        <v>0</v>
      </c>
      <c r="AS98" s="50">
        <v>0</v>
      </c>
      <c r="AT98" s="49">
        <v>0</v>
      </c>
      <c r="AU98" s="50">
        <v>0</v>
      </c>
      <c r="AV98" s="49">
        <v>5</v>
      </c>
      <c r="AW98" s="50">
        <v>100</v>
      </c>
      <c r="AX98" s="49">
        <v>5</v>
      </c>
      <c r="AY98" s="49"/>
      <c r="AZ98" s="49"/>
      <c r="BA98" s="49"/>
      <c r="BB98" s="49"/>
      <c r="BC98" s="2"/>
      <c r="BD98" s="3"/>
      <c r="BE98" s="3"/>
      <c r="BF98" s="3"/>
      <c r="BG98" s="3"/>
    </row>
    <row r="99" spans="1:59" ht="15">
      <c r="A99" s="65" t="s">
        <v>313</v>
      </c>
      <c r="B99" s="66" t="s">
        <v>1614</v>
      </c>
      <c r="C99" s="66"/>
      <c r="D99" s="67">
        <v>142.85714285714286</v>
      </c>
      <c r="E99" s="69">
        <v>56.25</v>
      </c>
      <c r="F99" s="96" t="str">
        <f>HYPERLINK("https://i.ytimg.com/vi/rU6dZwHhf4Y/default.jpg")</f>
        <v>https://i.ytimg.com/vi/rU6dZwHhf4Y/default.jpg</v>
      </c>
      <c r="G99" s="66"/>
      <c r="H99" s="70" t="s">
        <v>486</v>
      </c>
      <c r="I99" s="71"/>
      <c r="J99" s="71" t="s">
        <v>159</v>
      </c>
      <c r="K99" s="70" t="s">
        <v>486</v>
      </c>
      <c r="L99" s="74">
        <v>35.93809060459198</v>
      </c>
      <c r="M99" s="75">
        <v>7225.92236328125</v>
      </c>
      <c r="N99" s="75">
        <v>508.1383361816406</v>
      </c>
      <c r="O99" s="76"/>
      <c r="P99" s="77"/>
      <c r="Q99" s="77"/>
      <c r="R99" s="82"/>
      <c r="S99" s="49">
        <v>1</v>
      </c>
      <c r="T99" s="49">
        <v>0</v>
      </c>
      <c r="U99" s="50">
        <v>0</v>
      </c>
      <c r="V99" s="50">
        <v>0.001376</v>
      </c>
      <c r="W99" s="50">
        <v>6.4E-05</v>
      </c>
      <c r="X99" s="50">
        <v>0.494208</v>
      </c>
      <c r="Y99" s="50">
        <v>0</v>
      </c>
      <c r="Z99" s="50">
        <v>0</v>
      </c>
      <c r="AA99" s="72">
        <v>99</v>
      </c>
      <c r="AB99" s="72"/>
      <c r="AC99" s="73"/>
      <c r="AD99" s="80" t="s">
        <v>486</v>
      </c>
      <c r="AE99" s="80" t="s">
        <v>658</v>
      </c>
      <c r="AF99" s="80" t="s">
        <v>809</v>
      </c>
      <c r="AG99" s="80" t="s">
        <v>942</v>
      </c>
      <c r="AH99" s="80" t="s">
        <v>1070</v>
      </c>
      <c r="AI99" s="80">
        <v>23923</v>
      </c>
      <c r="AJ99" s="80">
        <v>137</v>
      </c>
      <c r="AK99" s="80">
        <v>837</v>
      </c>
      <c r="AL99" s="80">
        <v>7</v>
      </c>
      <c r="AM99" s="80" t="s">
        <v>1155</v>
      </c>
      <c r="AN99" s="98" t="str">
        <f>HYPERLINK("https://www.youtube.com/watch?v=rU6dZwHhf4Y")</f>
        <v>https://www.youtube.com/watch?v=rU6dZwHhf4Y</v>
      </c>
      <c r="AO99" s="80" t="str">
        <f>REPLACE(INDEX(GroupVertices[Group],MATCH(Vertices[[#This Row],[Vertex]],GroupVertices[Vertex],0)),1,1,"")</f>
        <v>7</v>
      </c>
      <c r="AP99" s="49">
        <v>0</v>
      </c>
      <c r="AQ99" s="50">
        <v>0</v>
      </c>
      <c r="AR99" s="49">
        <v>0</v>
      </c>
      <c r="AS99" s="50">
        <v>0</v>
      </c>
      <c r="AT99" s="49">
        <v>0</v>
      </c>
      <c r="AU99" s="50">
        <v>0</v>
      </c>
      <c r="AV99" s="49">
        <v>52</v>
      </c>
      <c r="AW99" s="50">
        <v>100</v>
      </c>
      <c r="AX99" s="49">
        <v>52</v>
      </c>
      <c r="AY99" s="49"/>
      <c r="AZ99" s="49"/>
      <c r="BA99" s="49"/>
      <c r="BB99" s="49"/>
      <c r="BC99" s="2"/>
      <c r="BD99" s="3"/>
      <c r="BE99" s="3"/>
      <c r="BF99" s="3"/>
      <c r="BG99" s="3"/>
    </row>
    <row r="100" spans="1:59" ht="15">
      <c r="A100" s="65" t="s">
        <v>314</v>
      </c>
      <c r="B100" s="66" t="s">
        <v>1614</v>
      </c>
      <c r="C100" s="66"/>
      <c r="D100" s="67">
        <v>142.85714285714286</v>
      </c>
      <c r="E100" s="69">
        <v>56.25</v>
      </c>
      <c r="F100" s="96" t="str">
        <f>HYPERLINK("https://i.ytimg.com/vi/XcqFJyMmy_g/default.jpg")</f>
        <v>https://i.ytimg.com/vi/XcqFJyMmy_g/default.jpg</v>
      </c>
      <c r="G100" s="66"/>
      <c r="H100" s="70" t="s">
        <v>487</v>
      </c>
      <c r="I100" s="71"/>
      <c r="J100" s="71" t="s">
        <v>159</v>
      </c>
      <c r="K100" s="70" t="s">
        <v>487</v>
      </c>
      <c r="L100" s="74">
        <v>2.0304281240059128</v>
      </c>
      <c r="M100" s="75">
        <v>7225.92236328125</v>
      </c>
      <c r="N100" s="75">
        <v>1962.7127685546875</v>
      </c>
      <c r="O100" s="76"/>
      <c r="P100" s="77"/>
      <c r="Q100" s="77"/>
      <c r="R100" s="82"/>
      <c r="S100" s="49">
        <v>1</v>
      </c>
      <c r="T100" s="49">
        <v>0</v>
      </c>
      <c r="U100" s="50">
        <v>0</v>
      </c>
      <c r="V100" s="50">
        <v>0.001376</v>
      </c>
      <c r="W100" s="50">
        <v>6.4E-05</v>
      </c>
      <c r="X100" s="50">
        <v>0.494208</v>
      </c>
      <c r="Y100" s="50">
        <v>0</v>
      </c>
      <c r="Z100" s="50">
        <v>0</v>
      </c>
      <c r="AA100" s="72">
        <v>100</v>
      </c>
      <c r="AB100" s="72"/>
      <c r="AC100" s="73"/>
      <c r="AD100" s="80" t="s">
        <v>487</v>
      </c>
      <c r="AE100" s="80" t="s">
        <v>659</v>
      </c>
      <c r="AF100" s="80" t="s">
        <v>808</v>
      </c>
      <c r="AG100" s="80" t="s">
        <v>937</v>
      </c>
      <c r="AH100" s="80" t="s">
        <v>1069</v>
      </c>
      <c r="AI100" s="80">
        <v>724</v>
      </c>
      <c r="AJ100" s="80">
        <v>0</v>
      </c>
      <c r="AK100" s="80">
        <v>3</v>
      </c>
      <c r="AL100" s="80">
        <v>0</v>
      </c>
      <c r="AM100" s="80" t="s">
        <v>1155</v>
      </c>
      <c r="AN100" s="98" t="str">
        <f>HYPERLINK("https://www.youtube.com/watch?v=XcqFJyMmy_g")</f>
        <v>https://www.youtube.com/watch?v=XcqFJyMmy_g</v>
      </c>
      <c r="AO100" s="80" t="str">
        <f>REPLACE(INDEX(GroupVertices[Group],MATCH(Vertices[[#This Row],[Vertex]],GroupVertices[Vertex],0)),1,1,"")</f>
        <v>7</v>
      </c>
      <c r="AP100" s="49">
        <v>0</v>
      </c>
      <c r="AQ100" s="50">
        <v>0</v>
      </c>
      <c r="AR100" s="49">
        <v>0</v>
      </c>
      <c r="AS100" s="50">
        <v>0</v>
      </c>
      <c r="AT100" s="49">
        <v>0</v>
      </c>
      <c r="AU100" s="50">
        <v>0</v>
      </c>
      <c r="AV100" s="49">
        <v>5</v>
      </c>
      <c r="AW100" s="50">
        <v>100</v>
      </c>
      <c r="AX100" s="49">
        <v>5</v>
      </c>
      <c r="AY100" s="49"/>
      <c r="AZ100" s="49"/>
      <c r="BA100" s="49"/>
      <c r="BB100" s="49"/>
      <c r="BC100" s="2"/>
      <c r="BD100" s="3"/>
      <c r="BE100" s="3"/>
      <c r="BF100" s="3"/>
      <c r="BG100" s="3"/>
    </row>
    <row r="101" spans="1:59" ht="15">
      <c r="A101" s="65" t="s">
        <v>315</v>
      </c>
      <c r="B101" s="66" t="s">
        <v>1614</v>
      </c>
      <c r="C101" s="66"/>
      <c r="D101" s="67">
        <v>142.85714285714286</v>
      </c>
      <c r="E101" s="69">
        <v>56.25</v>
      </c>
      <c r="F101" s="96" t="str">
        <f>HYPERLINK("https://i.ytimg.com/vi/v_4_bGZspEE/default.jpg")</f>
        <v>https://i.ytimg.com/vi/v_4_bGZspEE/default.jpg</v>
      </c>
      <c r="G101" s="66"/>
      <c r="H101" s="70" t="s">
        <v>488</v>
      </c>
      <c r="I101" s="71"/>
      <c r="J101" s="71" t="s">
        <v>159</v>
      </c>
      <c r="K101" s="70" t="s">
        <v>488</v>
      </c>
      <c r="L101" s="74">
        <v>3.4686426970865067</v>
      </c>
      <c r="M101" s="75">
        <v>6615.58056640625</v>
      </c>
      <c r="N101" s="75">
        <v>1235.425537109375</v>
      </c>
      <c r="O101" s="76"/>
      <c r="P101" s="77"/>
      <c r="Q101" s="77"/>
      <c r="R101" s="82"/>
      <c r="S101" s="49">
        <v>1</v>
      </c>
      <c r="T101" s="49">
        <v>0</v>
      </c>
      <c r="U101" s="50">
        <v>0</v>
      </c>
      <c r="V101" s="50">
        <v>0.001376</v>
      </c>
      <c r="W101" s="50">
        <v>6.4E-05</v>
      </c>
      <c r="X101" s="50">
        <v>0.494208</v>
      </c>
      <c r="Y101" s="50">
        <v>0</v>
      </c>
      <c r="Z101" s="50">
        <v>0</v>
      </c>
      <c r="AA101" s="72">
        <v>101</v>
      </c>
      <c r="AB101" s="72"/>
      <c r="AC101" s="73"/>
      <c r="AD101" s="80" t="s">
        <v>488</v>
      </c>
      <c r="AE101" s="80" t="s">
        <v>660</v>
      </c>
      <c r="AF101" s="80" t="s">
        <v>810</v>
      </c>
      <c r="AG101" s="80" t="s">
        <v>937</v>
      </c>
      <c r="AH101" s="80" t="s">
        <v>1071</v>
      </c>
      <c r="AI101" s="80">
        <v>1708</v>
      </c>
      <c r="AJ101" s="80">
        <v>1</v>
      </c>
      <c r="AK101" s="80">
        <v>7</v>
      </c>
      <c r="AL101" s="80">
        <v>2</v>
      </c>
      <c r="AM101" s="80" t="s">
        <v>1155</v>
      </c>
      <c r="AN101" s="98" t="str">
        <f>HYPERLINK("https://www.youtube.com/watch?v=v_4_bGZspEE")</f>
        <v>https://www.youtube.com/watch?v=v_4_bGZspEE</v>
      </c>
      <c r="AO101" s="80" t="str">
        <f>REPLACE(INDEX(GroupVertices[Group],MATCH(Vertices[[#This Row],[Vertex]],GroupVertices[Vertex],0)),1,1,"")</f>
        <v>7</v>
      </c>
      <c r="AP101" s="49">
        <v>0</v>
      </c>
      <c r="AQ101" s="50">
        <v>0</v>
      </c>
      <c r="AR101" s="49">
        <v>0</v>
      </c>
      <c r="AS101" s="50">
        <v>0</v>
      </c>
      <c r="AT101" s="49">
        <v>0</v>
      </c>
      <c r="AU101" s="50">
        <v>0</v>
      </c>
      <c r="AV101" s="49">
        <v>21</v>
      </c>
      <c r="AW101" s="50">
        <v>100</v>
      </c>
      <c r="AX101" s="49">
        <v>21</v>
      </c>
      <c r="AY101" s="49"/>
      <c r="AZ101" s="49"/>
      <c r="BA101" s="49"/>
      <c r="BB101" s="49"/>
      <c r="BC101" s="2"/>
      <c r="BD101" s="3"/>
      <c r="BE101" s="3"/>
      <c r="BF101" s="3"/>
      <c r="BG101" s="3"/>
    </row>
    <row r="102" spans="1:59" ht="15">
      <c r="A102" s="65" t="s">
        <v>316</v>
      </c>
      <c r="B102" s="66" t="s">
        <v>1614</v>
      </c>
      <c r="C102" s="66"/>
      <c r="D102" s="67">
        <v>142.85714285714286</v>
      </c>
      <c r="E102" s="69">
        <v>56.25</v>
      </c>
      <c r="F102" s="96" t="str">
        <f>HYPERLINK("https://i.ytimg.com/vi/g2IriWIcClk/default.jpg")</f>
        <v>https://i.ytimg.com/vi/g2IriWIcClk/default.jpg</v>
      </c>
      <c r="G102" s="66"/>
      <c r="H102" s="70" t="s">
        <v>489</v>
      </c>
      <c r="I102" s="71"/>
      <c r="J102" s="71" t="s">
        <v>159</v>
      </c>
      <c r="K102" s="70" t="s">
        <v>489</v>
      </c>
      <c r="L102" s="74">
        <v>4.1468251787017465</v>
      </c>
      <c r="M102" s="75">
        <v>6005.23779296875</v>
      </c>
      <c r="N102" s="75">
        <v>508.1383361816406</v>
      </c>
      <c r="O102" s="76"/>
      <c r="P102" s="77"/>
      <c r="Q102" s="77"/>
      <c r="R102" s="82"/>
      <c r="S102" s="49">
        <v>1</v>
      </c>
      <c r="T102" s="49">
        <v>0</v>
      </c>
      <c r="U102" s="50">
        <v>0</v>
      </c>
      <c r="V102" s="50">
        <v>0.001376</v>
      </c>
      <c r="W102" s="50">
        <v>6.4E-05</v>
      </c>
      <c r="X102" s="50">
        <v>0.494208</v>
      </c>
      <c r="Y102" s="50">
        <v>0</v>
      </c>
      <c r="Z102" s="50">
        <v>0</v>
      </c>
      <c r="AA102" s="72">
        <v>102</v>
      </c>
      <c r="AB102" s="72"/>
      <c r="AC102" s="73"/>
      <c r="AD102" s="80" t="s">
        <v>489</v>
      </c>
      <c r="AE102" s="80" t="s">
        <v>661</v>
      </c>
      <c r="AF102" s="80" t="s">
        <v>811</v>
      </c>
      <c r="AG102" s="80" t="s">
        <v>937</v>
      </c>
      <c r="AH102" s="80" t="s">
        <v>1072</v>
      </c>
      <c r="AI102" s="80">
        <v>2172</v>
      </c>
      <c r="AJ102" s="80">
        <v>0</v>
      </c>
      <c r="AK102" s="80">
        <v>10</v>
      </c>
      <c r="AL102" s="80">
        <v>0</v>
      </c>
      <c r="AM102" s="80" t="s">
        <v>1155</v>
      </c>
      <c r="AN102" s="98" t="str">
        <f>HYPERLINK("https://www.youtube.com/watch?v=g2IriWIcClk")</f>
        <v>https://www.youtube.com/watch?v=g2IriWIcClk</v>
      </c>
      <c r="AO102" s="80" t="str">
        <f>REPLACE(INDEX(GroupVertices[Group],MATCH(Vertices[[#This Row],[Vertex]],GroupVertices[Vertex],0)),1,1,"")</f>
        <v>7</v>
      </c>
      <c r="AP102" s="49">
        <v>0</v>
      </c>
      <c r="AQ102" s="50">
        <v>0</v>
      </c>
      <c r="AR102" s="49">
        <v>0</v>
      </c>
      <c r="AS102" s="50">
        <v>0</v>
      </c>
      <c r="AT102" s="49">
        <v>0</v>
      </c>
      <c r="AU102" s="50">
        <v>0</v>
      </c>
      <c r="AV102" s="49">
        <v>5</v>
      </c>
      <c r="AW102" s="50">
        <v>100</v>
      </c>
      <c r="AX102" s="49">
        <v>5</v>
      </c>
      <c r="AY102" s="49"/>
      <c r="AZ102" s="49"/>
      <c r="BA102" s="49"/>
      <c r="BB102" s="49"/>
      <c r="BC102" s="2"/>
      <c r="BD102" s="3"/>
      <c r="BE102" s="3"/>
      <c r="BF102" s="3"/>
      <c r="BG102" s="3"/>
    </row>
    <row r="103" spans="1:59" ht="15">
      <c r="A103" s="65" t="s">
        <v>317</v>
      </c>
      <c r="B103" s="66" t="s">
        <v>1614</v>
      </c>
      <c r="C103" s="66"/>
      <c r="D103" s="67">
        <v>142.85714285714286</v>
      </c>
      <c r="E103" s="69">
        <v>56.25</v>
      </c>
      <c r="F103" s="96" t="str">
        <f>HYPERLINK("https://i.ytimg.com/vi/z4dmsYmlUbM/default.jpg")</f>
        <v>https://i.ytimg.com/vi/z4dmsYmlUbM/default.jpg</v>
      </c>
      <c r="G103" s="66"/>
      <c r="H103" s="70" t="s">
        <v>490</v>
      </c>
      <c r="I103" s="71"/>
      <c r="J103" s="71" t="s">
        <v>159</v>
      </c>
      <c r="K103" s="70" t="s">
        <v>490</v>
      </c>
      <c r="L103" s="74">
        <v>3.778501934376228</v>
      </c>
      <c r="M103" s="75">
        <v>7225.92236328125</v>
      </c>
      <c r="N103" s="75">
        <v>1235.425537109375</v>
      </c>
      <c r="O103" s="76"/>
      <c r="P103" s="77"/>
      <c r="Q103" s="77"/>
      <c r="R103" s="82"/>
      <c r="S103" s="49">
        <v>1</v>
      </c>
      <c r="T103" s="49">
        <v>0</v>
      </c>
      <c r="U103" s="50">
        <v>0</v>
      </c>
      <c r="V103" s="50">
        <v>0.001376</v>
      </c>
      <c r="W103" s="50">
        <v>6.4E-05</v>
      </c>
      <c r="X103" s="50">
        <v>0.494208</v>
      </c>
      <c r="Y103" s="50">
        <v>0</v>
      </c>
      <c r="Z103" s="50">
        <v>0</v>
      </c>
      <c r="AA103" s="72">
        <v>103</v>
      </c>
      <c r="AB103" s="72"/>
      <c r="AC103" s="73"/>
      <c r="AD103" s="80" t="s">
        <v>490</v>
      </c>
      <c r="AE103" s="80" t="s">
        <v>662</v>
      </c>
      <c r="AF103" s="80" t="s">
        <v>811</v>
      </c>
      <c r="AG103" s="80" t="s">
        <v>937</v>
      </c>
      <c r="AH103" s="80" t="s">
        <v>1069</v>
      </c>
      <c r="AI103" s="80">
        <v>1920</v>
      </c>
      <c r="AJ103" s="80">
        <v>2</v>
      </c>
      <c r="AK103" s="80">
        <v>9</v>
      </c>
      <c r="AL103" s="80">
        <v>0</v>
      </c>
      <c r="AM103" s="80" t="s">
        <v>1155</v>
      </c>
      <c r="AN103" s="98" t="str">
        <f>HYPERLINK("https://www.youtube.com/watch?v=z4dmsYmlUbM")</f>
        <v>https://www.youtube.com/watch?v=z4dmsYmlUbM</v>
      </c>
      <c r="AO103" s="80" t="str">
        <f>REPLACE(INDEX(GroupVertices[Group],MATCH(Vertices[[#This Row],[Vertex]],GroupVertices[Vertex],0)),1,1,"")</f>
        <v>7</v>
      </c>
      <c r="AP103" s="49">
        <v>0</v>
      </c>
      <c r="AQ103" s="50">
        <v>0</v>
      </c>
      <c r="AR103" s="49">
        <v>0</v>
      </c>
      <c r="AS103" s="50">
        <v>0</v>
      </c>
      <c r="AT103" s="49">
        <v>0</v>
      </c>
      <c r="AU103" s="50">
        <v>0</v>
      </c>
      <c r="AV103" s="49">
        <v>5</v>
      </c>
      <c r="AW103" s="50">
        <v>100</v>
      </c>
      <c r="AX103" s="49">
        <v>5</v>
      </c>
      <c r="AY103" s="49"/>
      <c r="AZ103" s="49"/>
      <c r="BA103" s="49"/>
      <c r="BB103" s="49"/>
      <c r="BC103" s="2"/>
      <c r="BD103" s="3"/>
      <c r="BE103" s="3"/>
      <c r="BF103" s="3"/>
      <c r="BG103" s="3"/>
    </row>
    <row r="104" spans="1:59" ht="15">
      <c r="A104" s="65" t="s">
        <v>212</v>
      </c>
      <c r="B104" s="66" t="s">
        <v>1619</v>
      </c>
      <c r="C104" s="66"/>
      <c r="D104" s="67">
        <v>828.5714285714286</v>
      </c>
      <c r="E104" s="69">
        <v>100</v>
      </c>
      <c r="F104" s="96" t="str">
        <f>HYPERLINK("https://i.ytimg.com/vi/lbb2lMCSg64/default.jpg")</f>
        <v>https://i.ytimg.com/vi/lbb2lMCSg64/default.jpg</v>
      </c>
      <c r="G104" s="66"/>
      <c r="H104" s="70" t="s">
        <v>491</v>
      </c>
      <c r="I104" s="71"/>
      <c r="J104" s="71" t="s">
        <v>75</v>
      </c>
      <c r="K104" s="70" t="s">
        <v>491</v>
      </c>
      <c r="L104" s="74">
        <v>4.310524398401975</v>
      </c>
      <c r="M104" s="75">
        <v>5289.0439453125</v>
      </c>
      <c r="N104" s="75">
        <v>7857.3896484375</v>
      </c>
      <c r="O104" s="76"/>
      <c r="P104" s="77"/>
      <c r="Q104" s="77"/>
      <c r="R104" s="82"/>
      <c r="S104" s="49">
        <v>17</v>
      </c>
      <c r="T104" s="49">
        <v>17</v>
      </c>
      <c r="U104" s="50">
        <v>1438.946566</v>
      </c>
      <c r="V104" s="50">
        <v>0.002331</v>
      </c>
      <c r="W104" s="50">
        <v>0.029851</v>
      </c>
      <c r="X104" s="50">
        <v>3.534649</v>
      </c>
      <c r="Y104" s="50">
        <v>0.35098522167487683</v>
      </c>
      <c r="Z104" s="50">
        <v>0.1724137931034483</v>
      </c>
      <c r="AA104" s="72">
        <v>104</v>
      </c>
      <c r="AB104" s="72"/>
      <c r="AC104" s="73"/>
      <c r="AD104" s="80" t="s">
        <v>491</v>
      </c>
      <c r="AE104" s="80" t="s">
        <v>663</v>
      </c>
      <c r="AF104" s="80" t="s">
        <v>812</v>
      </c>
      <c r="AG104" s="80" t="s">
        <v>912</v>
      </c>
      <c r="AH104" s="80" t="s">
        <v>1073</v>
      </c>
      <c r="AI104" s="80">
        <v>2284</v>
      </c>
      <c r="AJ104" s="80">
        <v>4</v>
      </c>
      <c r="AK104" s="80">
        <v>23</v>
      </c>
      <c r="AL104" s="80">
        <v>0</v>
      </c>
      <c r="AM104" s="80" t="s">
        <v>1155</v>
      </c>
      <c r="AN104" s="98" t="str">
        <f>HYPERLINK("https://www.youtube.com/watch?v=lbb2lMCSg64")</f>
        <v>https://www.youtube.com/watch?v=lbb2lMCSg64</v>
      </c>
      <c r="AO104" s="80" t="str">
        <f>REPLACE(INDEX(GroupVertices[Group],MATCH(Vertices[[#This Row],[Vertex]],GroupVertices[Vertex],0)),1,1,"")</f>
        <v>1</v>
      </c>
      <c r="AP104" s="49">
        <v>0</v>
      </c>
      <c r="AQ104" s="50">
        <v>0</v>
      </c>
      <c r="AR104" s="49">
        <v>0</v>
      </c>
      <c r="AS104" s="50">
        <v>0</v>
      </c>
      <c r="AT104" s="49">
        <v>0</v>
      </c>
      <c r="AU104" s="50">
        <v>0</v>
      </c>
      <c r="AV104" s="49">
        <v>25</v>
      </c>
      <c r="AW104" s="50">
        <v>100</v>
      </c>
      <c r="AX104" s="49">
        <v>25</v>
      </c>
      <c r="AY104" s="111" t="s">
        <v>1608</v>
      </c>
      <c r="AZ104" s="111" t="s">
        <v>1608</v>
      </c>
      <c r="BA104" s="111" t="s">
        <v>1608</v>
      </c>
      <c r="BB104" s="111" t="s">
        <v>1608</v>
      </c>
      <c r="BC104" s="2"/>
      <c r="BD104" s="3"/>
      <c r="BE104" s="3"/>
      <c r="BF104" s="3"/>
      <c r="BG104" s="3"/>
    </row>
    <row r="105" spans="1:59" ht="15">
      <c r="A105" s="65" t="s">
        <v>318</v>
      </c>
      <c r="B105" s="66" t="s">
        <v>1614</v>
      </c>
      <c r="C105" s="66"/>
      <c r="D105" s="67">
        <v>142.85714285714286</v>
      </c>
      <c r="E105" s="69">
        <v>56.25</v>
      </c>
      <c r="F105" s="96" t="str">
        <f>HYPERLINK("https://i.ytimg.com/vi/UrsBUydpCnE/default.jpg")</f>
        <v>https://i.ytimg.com/vi/UrsBUydpCnE/default.jpg</v>
      </c>
      <c r="G105" s="66"/>
      <c r="H105" s="70" t="s">
        <v>492</v>
      </c>
      <c r="I105" s="71"/>
      <c r="J105" s="71" t="s">
        <v>159</v>
      </c>
      <c r="K105" s="70" t="s">
        <v>492</v>
      </c>
      <c r="L105" s="74">
        <v>1.0730800087947456</v>
      </c>
      <c r="M105" s="75">
        <v>1020.7754516601562</v>
      </c>
      <c r="N105" s="75">
        <v>9455.08203125</v>
      </c>
      <c r="O105" s="76"/>
      <c r="P105" s="77"/>
      <c r="Q105" s="77"/>
      <c r="R105" s="82"/>
      <c r="S105" s="49">
        <v>1</v>
      </c>
      <c r="T105" s="49">
        <v>0</v>
      </c>
      <c r="U105" s="50">
        <v>0</v>
      </c>
      <c r="V105" s="50">
        <v>0.001642</v>
      </c>
      <c r="W105" s="50">
        <v>0.001301</v>
      </c>
      <c r="X105" s="50">
        <v>0.253602</v>
      </c>
      <c r="Y105" s="50">
        <v>0</v>
      </c>
      <c r="Z105" s="50">
        <v>0</v>
      </c>
      <c r="AA105" s="72">
        <v>105</v>
      </c>
      <c r="AB105" s="72"/>
      <c r="AC105" s="73"/>
      <c r="AD105" s="80" t="s">
        <v>492</v>
      </c>
      <c r="AE105" s="80" t="s">
        <v>664</v>
      </c>
      <c r="AF105" s="80" t="s">
        <v>813</v>
      </c>
      <c r="AG105" s="80" t="s">
        <v>912</v>
      </c>
      <c r="AH105" s="80" t="s">
        <v>1074</v>
      </c>
      <c r="AI105" s="80">
        <v>69</v>
      </c>
      <c r="AJ105" s="80">
        <v>0</v>
      </c>
      <c r="AK105" s="80">
        <v>6</v>
      </c>
      <c r="AL105" s="80">
        <v>0</v>
      </c>
      <c r="AM105" s="80" t="s">
        <v>1155</v>
      </c>
      <c r="AN105" s="98" t="str">
        <f>HYPERLINK("https://www.youtube.com/watch?v=UrsBUydpCnE")</f>
        <v>https://www.youtube.com/watch?v=UrsBUydpCnE</v>
      </c>
      <c r="AO105" s="80" t="str">
        <f>REPLACE(INDEX(GroupVertices[Group],MATCH(Vertices[[#This Row],[Vertex]],GroupVertices[Vertex],0)),1,1,"")</f>
        <v>1</v>
      </c>
      <c r="AP105" s="49">
        <v>0</v>
      </c>
      <c r="AQ105" s="50">
        <v>0</v>
      </c>
      <c r="AR105" s="49">
        <v>0</v>
      </c>
      <c r="AS105" s="50">
        <v>0</v>
      </c>
      <c r="AT105" s="49">
        <v>0</v>
      </c>
      <c r="AU105" s="50">
        <v>0</v>
      </c>
      <c r="AV105" s="49">
        <v>21</v>
      </c>
      <c r="AW105" s="50">
        <v>100</v>
      </c>
      <c r="AX105" s="49">
        <v>21</v>
      </c>
      <c r="AY105" s="49"/>
      <c r="AZ105" s="49"/>
      <c r="BA105" s="49"/>
      <c r="BB105" s="49"/>
      <c r="BC105" s="2"/>
      <c r="BD105" s="3"/>
      <c r="BE105" s="3"/>
      <c r="BF105" s="3"/>
      <c r="BG105" s="3"/>
    </row>
    <row r="106" spans="1:59" ht="15">
      <c r="A106" s="65" t="s">
        <v>319</v>
      </c>
      <c r="B106" s="66" t="s">
        <v>1614</v>
      </c>
      <c r="C106" s="66"/>
      <c r="D106" s="67">
        <v>142.85714285714286</v>
      </c>
      <c r="E106" s="69">
        <v>56.25</v>
      </c>
      <c r="F106" s="96" t="str">
        <f>HYPERLINK("https://i.ytimg.com/vi/rsDKfunaGSo/default.jpg")</f>
        <v>https://i.ytimg.com/vi/rsDKfunaGSo/default.jpg</v>
      </c>
      <c r="G106" s="66"/>
      <c r="H106" s="70" t="s">
        <v>493</v>
      </c>
      <c r="I106" s="71"/>
      <c r="J106" s="71" t="s">
        <v>159</v>
      </c>
      <c r="K106" s="70" t="s">
        <v>493</v>
      </c>
      <c r="L106" s="74">
        <v>1.1271592153028573</v>
      </c>
      <c r="M106" s="75">
        <v>3459.786376953125</v>
      </c>
      <c r="N106" s="75">
        <v>9455.08203125</v>
      </c>
      <c r="O106" s="76"/>
      <c r="P106" s="77"/>
      <c r="Q106" s="77"/>
      <c r="R106" s="82"/>
      <c r="S106" s="49">
        <v>1</v>
      </c>
      <c r="T106" s="49">
        <v>0</v>
      </c>
      <c r="U106" s="50">
        <v>0</v>
      </c>
      <c r="V106" s="50">
        <v>0.001642</v>
      </c>
      <c r="W106" s="50">
        <v>0.001301</v>
      </c>
      <c r="X106" s="50">
        <v>0.253602</v>
      </c>
      <c r="Y106" s="50">
        <v>0</v>
      </c>
      <c r="Z106" s="50">
        <v>0</v>
      </c>
      <c r="AA106" s="72">
        <v>106</v>
      </c>
      <c r="AB106" s="72"/>
      <c r="AC106" s="73"/>
      <c r="AD106" s="80" t="s">
        <v>493</v>
      </c>
      <c r="AE106" s="80" t="s">
        <v>665</v>
      </c>
      <c r="AF106" s="80" t="s">
        <v>814</v>
      </c>
      <c r="AG106" s="80" t="s">
        <v>912</v>
      </c>
      <c r="AH106" s="80" t="s">
        <v>1075</v>
      </c>
      <c r="AI106" s="80">
        <v>106</v>
      </c>
      <c r="AJ106" s="80">
        <v>0</v>
      </c>
      <c r="AK106" s="80">
        <v>5</v>
      </c>
      <c r="AL106" s="80">
        <v>0</v>
      </c>
      <c r="AM106" s="80" t="s">
        <v>1155</v>
      </c>
      <c r="AN106" s="98" t="str">
        <f>HYPERLINK("https://www.youtube.com/watch?v=rsDKfunaGSo")</f>
        <v>https://www.youtube.com/watch?v=rsDKfunaGSo</v>
      </c>
      <c r="AO106" s="80" t="str">
        <f>REPLACE(INDEX(GroupVertices[Group],MATCH(Vertices[[#This Row],[Vertex]],GroupVertices[Vertex],0)),1,1,"")</f>
        <v>1</v>
      </c>
      <c r="AP106" s="49">
        <v>0</v>
      </c>
      <c r="AQ106" s="50">
        <v>0</v>
      </c>
      <c r="AR106" s="49">
        <v>0</v>
      </c>
      <c r="AS106" s="50">
        <v>0</v>
      </c>
      <c r="AT106" s="49">
        <v>0</v>
      </c>
      <c r="AU106" s="50">
        <v>0</v>
      </c>
      <c r="AV106" s="49">
        <v>12</v>
      </c>
      <c r="AW106" s="50">
        <v>100</v>
      </c>
      <c r="AX106" s="49">
        <v>12</v>
      </c>
      <c r="AY106" s="49"/>
      <c r="AZ106" s="49"/>
      <c r="BA106" s="49"/>
      <c r="BB106" s="49"/>
      <c r="BC106" s="2"/>
      <c r="BD106" s="3"/>
      <c r="BE106" s="3"/>
      <c r="BF106" s="3"/>
      <c r="BG106" s="3"/>
    </row>
    <row r="107" spans="1:59" ht="15">
      <c r="A107" s="65" t="s">
        <v>320</v>
      </c>
      <c r="B107" s="66" t="s">
        <v>1614</v>
      </c>
      <c r="C107" s="66"/>
      <c r="D107" s="67">
        <v>185.71428571428572</v>
      </c>
      <c r="E107" s="69">
        <v>62.5</v>
      </c>
      <c r="F107" s="96" t="str">
        <f>HYPERLINK("https://i.ytimg.com/vi/JfMTWr8_pw4/default.jpg")</f>
        <v>https://i.ytimg.com/vi/JfMTWr8_pw4/default.jpg</v>
      </c>
      <c r="G107" s="66"/>
      <c r="H107" s="70" t="s">
        <v>494</v>
      </c>
      <c r="I107" s="71"/>
      <c r="J107" s="71" t="s">
        <v>159</v>
      </c>
      <c r="K107" s="70" t="s">
        <v>494</v>
      </c>
      <c r="L107" s="74">
        <v>17.233993153664787</v>
      </c>
      <c r="M107" s="75">
        <v>2240.28076171875</v>
      </c>
      <c r="N107" s="75">
        <v>2131.289794921875</v>
      </c>
      <c r="O107" s="76"/>
      <c r="P107" s="77"/>
      <c r="Q107" s="77"/>
      <c r="R107" s="82"/>
      <c r="S107" s="49">
        <v>2</v>
      </c>
      <c r="T107" s="49">
        <v>0</v>
      </c>
      <c r="U107" s="50">
        <v>0</v>
      </c>
      <c r="V107" s="50">
        <v>0.001642</v>
      </c>
      <c r="W107" s="50">
        <v>0.000997</v>
      </c>
      <c r="X107" s="50">
        <v>0.395159</v>
      </c>
      <c r="Y107" s="50">
        <v>0.5</v>
      </c>
      <c r="Z107" s="50">
        <v>0</v>
      </c>
      <c r="AA107" s="72">
        <v>107</v>
      </c>
      <c r="AB107" s="72"/>
      <c r="AC107" s="73"/>
      <c r="AD107" s="80" t="s">
        <v>494</v>
      </c>
      <c r="AE107" s="80" t="s">
        <v>666</v>
      </c>
      <c r="AF107" s="80" t="s">
        <v>815</v>
      </c>
      <c r="AG107" s="80" t="s">
        <v>894</v>
      </c>
      <c r="AH107" s="80" t="s">
        <v>1076</v>
      </c>
      <c r="AI107" s="80">
        <v>11126</v>
      </c>
      <c r="AJ107" s="80">
        <v>9</v>
      </c>
      <c r="AK107" s="80">
        <v>129</v>
      </c>
      <c r="AL107" s="80">
        <v>1</v>
      </c>
      <c r="AM107" s="80" t="s">
        <v>1155</v>
      </c>
      <c r="AN107" s="98" t="str">
        <f>HYPERLINK("https://www.youtube.com/watch?v=JfMTWr8_pw4")</f>
        <v>https://www.youtube.com/watch?v=JfMTWr8_pw4</v>
      </c>
      <c r="AO107" s="80" t="str">
        <f>REPLACE(INDEX(GroupVertices[Group],MATCH(Vertices[[#This Row],[Vertex]],GroupVertices[Vertex],0)),1,1,"")</f>
        <v>2</v>
      </c>
      <c r="AP107" s="49">
        <v>0</v>
      </c>
      <c r="AQ107" s="50">
        <v>0</v>
      </c>
      <c r="AR107" s="49">
        <v>1</v>
      </c>
      <c r="AS107" s="50">
        <v>16.666666666666668</v>
      </c>
      <c r="AT107" s="49">
        <v>0</v>
      </c>
      <c r="AU107" s="50">
        <v>0</v>
      </c>
      <c r="AV107" s="49">
        <v>5</v>
      </c>
      <c r="AW107" s="50">
        <v>83.33333333333333</v>
      </c>
      <c r="AX107" s="49">
        <v>6</v>
      </c>
      <c r="AY107" s="49"/>
      <c r="AZ107" s="49"/>
      <c r="BA107" s="49"/>
      <c r="BB107" s="49"/>
      <c r="BC107" s="2"/>
      <c r="BD107" s="3"/>
      <c r="BE107" s="3"/>
      <c r="BF107" s="3"/>
      <c r="BG107" s="3"/>
    </row>
    <row r="108" spans="1:59" ht="15">
      <c r="A108" s="65" t="s">
        <v>213</v>
      </c>
      <c r="B108" s="66" t="s">
        <v>1617</v>
      </c>
      <c r="C108" s="66"/>
      <c r="D108" s="67">
        <v>614.2857142857143</v>
      </c>
      <c r="E108" s="69">
        <v>100</v>
      </c>
      <c r="F108" s="96" t="str">
        <f>HYPERLINK("https://i.ytimg.com/vi/gcfAT8aMxuQ/default.jpg")</f>
        <v>https://i.ytimg.com/vi/gcfAT8aMxuQ/default.jpg</v>
      </c>
      <c r="G108" s="66"/>
      <c r="H108" s="70" t="s">
        <v>495</v>
      </c>
      <c r="I108" s="71"/>
      <c r="J108" s="71" t="s">
        <v>75</v>
      </c>
      <c r="K108" s="70" t="s">
        <v>495</v>
      </c>
      <c r="L108" s="74">
        <v>83.79672676409498</v>
      </c>
      <c r="M108" s="75">
        <v>411.0228271484375</v>
      </c>
      <c r="N108" s="75">
        <v>541.8533325195312</v>
      </c>
      <c r="O108" s="76"/>
      <c r="P108" s="77"/>
      <c r="Q108" s="77"/>
      <c r="R108" s="82"/>
      <c r="S108" s="49">
        <v>12</v>
      </c>
      <c r="T108" s="49">
        <v>13</v>
      </c>
      <c r="U108" s="50">
        <v>1090.082154</v>
      </c>
      <c r="V108" s="50">
        <v>0.002193</v>
      </c>
      <c r="W108" s="50">
        <v>0.015343</v>
      </c>
      <c r="X108" s="50">
        <v>2.72238</v>
      </c>
      <c r="Y108" s="50">
        <v>0.28095238095238095</v>
      </c>
      <c r="Z108" s="50">
        <v>0.19047619047619047</v>
      </c>
      <c r="AA108" s="72">
        <v>108</v>
      </c>
      <c r="AB108" s="72"/>
      <c r="AC108" s="73"/>
      <c r="AD108" s="80" t="s">
        <v>495</v>
      </c>
      <c r="AE108" s="80" t="s">
        <v>667</v>
      </c>
      <c r="AF108" s="80" t="s">
        <v>816</v>
      </c>
      <c r="AG108" s="80" t="s">
        <v>943</v>
      </c>
      <c r="AH108" s="80" t="s">
        <v>1077</v>
      </c>
      <c r="AI108" s="80">
        <v>56667</v>
      </c>
      <c r="AJ108" s="80">
        <v>1</v>
      </c>
      <c r="AK108" s="80">
        <v>275</v>
      </c>
      <c r="AL108" s="80">
        <v>34</v>
      </c>
      <c r="AM108" s="80" t="s">
        <v>1155</v>
      </c>
      <c r="AN108" s="98" t="str">
        <f>HYPERLINK("https://www.youtube.com/watch?v=gcfAT8aMxuQ")</f>
        <v>https://www.youtube.com/watch?v=gcfAT8aMxuQ</v>
      </c>
      <c r="AO108" s="80" t="str">
        <f>REPLACE(INDEX(GroupVertices[Group],MATCH(Vertices[[#This Row],[Vertex]],GroupVertices[Vertex],0)),1,1,"")</f>
        <v>2</v>
      </c>
      <c r="AP108" s="49">
        <v>0</v>
      </c>
      <c r="AQ108" s="50">
        <v>0</v>
      </c>
      <c r="AR108" s="49">
        <v>0</v>
      </c>
      <c r="AS108" s="50">
        <v>0</v>
      </c>
      <c r="AT108" s="49">
        <v>0</v>
      </c>
      <c r="AU108" s="50">
        <v>0</v>
      </c>
      <c r="AV108" s="49">
        <v>14</v>
      </c>
      <c r="AW108" s="50">
        <v>100</v>
      </c>
      <c r="AX108" s="49">
        <v>14</v>
      </c>
      <c r="AY108" s="111" t="s">
        <v>1608</v>
      </c>
      <c r="AZ108" s="111" t="s">
        <v>1608</v>
      </c>
      <c r="BA108" s="111" t="s">
        <v>1608</v>
      </c>
      <c r="BB108" s="111" t="s">
        <v>1608</v>
      </c>
      <c r="BC108" s="2"/>
      <c r="BD108" s="3"/>
      <c r="BE108" s="3"/>
      <c r="BF108" s="3"/>
      <c r="BG108" s="3"/>
    </row>
    <row r="109" spans="1:59" ht="15">
      <c r="A109" s="65" t="s">
        <v>321</v>
      </c>
      <c r="B109" s="66" t="s">
        <v>1614</v>
      </c>
      <c r="C109" s="66"/>
      <c r="D109" s="67">
        <v>185.71428571428572</v>
      </c>
      <c r="E109" s="69">
        <v>62.5</v>
      </c>
      <c r="F109" s="96" t="str">
        <f>HYPERLINK("https://i.ytimg.com/vi/HNY2dxugho8/default.jpg")</f>
        <v>https://i.ytimg.com/vi/HNY2dxugho8/default.jpg</v>
      </c>
      <c r="G109" s="66"/>
      <c r="H109" s="70" t="s">
        <v>496</v>
      </c>
      <c r="I109" s="71"/>
      <c r="J109" s="71" t="s">
        <v>159</v>
      </c>
      <c r="K109" s="70" t="s">
        <v>496</v>
      </c>
      <c r="L109" s="74">
        <v>2.2394369491588852</v>
      </c>
      <c r="M109" s="75">
        <v>1630.528076171875</v>
      </c>
      <c r="N109" s="75">
        <v>7857.3896484375</v>
      </c>
      <c r="O109" s="76"/>
      <c r="P109" s="77"/>
      <c r="Q109" s="77"/>
      <c r="R109" s="82"/>
      <c r="S109" s="49">
        <v>2</v>
      </c>
      <c r="T109" s="49">
        <v>0</v>
      </c>
      <c r="U109" s="50">
        <v>0</v>
      </c>
      <c r="V109" s="50">
        <v>0.001751</v>
      </c>
      <c r="W109" s="50">
        <v>0.002691</v>
      </c>
      <c r="X109" s="50">
        <v>0.353791</v>
      </c>
      <c r="Y109" s="50">
        <v>0.5</v>
      </c>
      <c r="Z109" s="50">
        <v>0</v>
      </c>
      <c r="AA109" s="72">
        <v>109</v>
      </c>
      <c r="AB109" s="72"/>
      <c r="AC109" s="73"/>
      <c r="AD109" s="80" t="s">
        <v>496</v>
      </c>
      <c r="AE109" s="80" t="s">
        <v>668</v>
      </c>
      <c r="AF109" s="80" t="s">
        <v>817</v>
      </c>
      <c r="AG109" s="80" t="s">
        <v>912</v>
      </c>
      <c r="AH109" s="80" t="s">
        <v>1078</v>
      </c>
      <c r="AI109" s="80">
        <v>867</v>
      </c>
      <c r="AJ109" s="80">
        <v>0</v>
      </c>
      <c r="AK109" s="80">
        <v>27</v>
      </c>
      <c r="AL109" s="80">
        <v>1</v>
      </c>
      <c r="AM109" s="80" t="s">
        <v>1155</v>
      </c>
      <c r="AN109" s="98" t="str">
        <f>HYPERLINK("https://www.youtube.com/watch?v=HNY2dxugho8")</f>
        <v>https://www.youtube.com/watch?v=HNY2dxugho8</v>
      </c>
      <c r="AO109" s="80" t="str">
        <f>REPLACE(INDEX(GroupVertices[Group],MATCH(Vertices[[#This Row],[Vertex]],GroupVertices[Vertex],0)),1,1,"")</f>
        <v>1</v>
      </c>
      <c r="AP109" s="49">
        <v>0</v>
      </c>
      <c r="AQ109" s="50">
        <v>0</v>
      </c>
      <c r="AR109" s="49">
        <v>0</v>
      </c>
      <c r="AS109" s="50">
        <v>0</v>
      </c>
      <c r="AT109" s="49">
        <v>0</v>
      </c>
      <c r="AU109" s="50">
        <v>0</v>
      </c>
      <c r="AV109" s="49">
        <v>23</v>
      </c>
      <c r="AW109" s="50">
        <v>100</v>
      </c>
      <c r="AX109" s="49">
        <v>23</v>
      </c>
      <c r="AY109" s="49"/>
      <c r="AZ109" s="49"/>
      <c r="BA109" s="49"/>
      <c r="BB109" s="49"/>
      <c r="BC109" s="2"/>
      <c r="BD109" s="3"/>
      <c r="BE109" s="3"/>
      <c r="BF109" s="3"/>
      <c r="BG109" s="3"/>
    </row>
    <row r="110" spans="1:59" ht="15">
      <c r="A110" s="65" t="s">
        <v>214</v>
      </c>
      <c r="B110" s="66" t="s">
        <v>1620</v>
      </c>
      <c r="C110" s="66"/>
      <c r="D110" s="67">
        <v>700</v>
      </c>
      <c r="E110" s="69">
        <v>100</v>
      </c>
      <c r="F110" s="96" t="str">
        <f>HYPERLINK("https://i.ytimg.com/vi/1yCjhTuLA1o/default.jpg")</f>
        <v>https://i.ytimg.com/vi/1yCjhTuLA1o/default.jpg</v>
      </c>
      <c r="G110" s="66"/>
      <c r="H110" s="70" t="s">
        <v>497</v>
      </c>
      <c r="I110" s="71"/>
      <c r="J110" s="71" t="s">
        <v>75</v>
      </c>
      <c r="K110" s="70" t="s">
        <v>497</v>
      </c>
      <c r="L110" s="74">
        <v>9.806141059766846</v>
      </c>
      <c r="M110" s="75">
        <v>1020.7754516601562</v>
      </c>
      <c r="N110" s="75">
        <v>6259.69580078125</v>
      </c>
      <c r="O110" s="76"/>
      <c r="P110" s="77"/>
      <c r="Q110" s="77"/>
      <c r="R110" s="82"/>
      <c r="S110" s="49">
        <v>14</v>
      </c>
      <c r="T110" s="49">
        <v>20</v>
      </c>
      <c r="U110" s="50">
        <v>1937.999039</v>
      </c>
      <c r="V110" s="50">
        <v>0.002481</v>
      </c>
      <c r="W110" s="50">
        <v>0.03191</v>
      </c>
      <c r="X110" s="50">
        <v>3.536092</v>
      </c>
      <c r="Y110" s="50">
        <v>0.364367816091954</v>
      </c>
      <c r="Z110" s="50">
        <v>0.13333333333333333</v>
      </c>
      <c r="AA110" s="72">
        <v>110</v>
      </c>
      <c r="AB110" s="72"/>
      <c r="AC110" s="73"/>
      <c r="AD110" s="80" t="s">
        <v>497</v>
      </c>
      <c r="AE110" s="80" t="s">
        <v>669</v>
      </c>
      <c r="AF110" s="80" t="s">
        <v>818</v>
      </c>
      <c r="AG110" s="80" t="s">
        <v>912</v>
      </c>
      <c r="AH110" s="80" t="s">
        <v>1079</v>
      </c>
      <c r="AI110" s="80">
        <v>6044</v>
      </c>
      <c r="AJ110" s="80">
        <v>11</v>
      </c>
      <c r="AK110" s="80">
        <v>9</v>
      </c>
      <c r="AL110" s="80">
        <v>0</v>
      </c>
      <c r="AM110" s="80" t="s">
        <v>1155</v>
      </c>
      <c r="AN110" s="98" t="str">
        <f>HYPERLINK("https://www.youtube.com/watch?v=1yCjhTuLA1o")</f>
        <v>https://www.youtube.com/watch?v=1yCjhTuLA1o</v>
      </c>
      <c r="AO110" s="80" t="str">
        <f>REPLACE(INDEX(GroupVertices[Group],MATCH(Vertices[[#This Row],[Vertex]],GroupVertices[Vertex],0)),1,1,"")</f>
        <v>1</v>
      </c>
      <c r="AP110" s="49">
        <v>0</v>
      </c>
      <c r="AQ110" s="50">
        <v>0</v>
      </c>
      <c r="AR110" s="49">
        <v>0</v>
      </c>
      <c r="AS110" s="50">
        <v>0</v>
      </c>
      <c r="AT110" s="49">
        <v>0</v>
      </c>
      <c r="AU110" s="50">
        <v>0</v>
      </c>
      <c r="AV110" s="49">
        <v>3</v>
      </c>
      <c r="AW110" s="50">
        <v>100</v>
      </c>
      <c r="AX110" s="49">
        <v>3</v>
      </c>
      <c r="AY110" s="111" t="s">
        <v>1608</v>
      </c>
      <c r="AZ110" s="111" t="s">
        <v>1608</v>
      </c>
      <c r="BA110" s="111" t="s">
        <v>1608</v>
      </c>
      <c r="BB110" s="111" t="s">
        <v>1608</v>
      </c>
      <c r="BC110" s="2"/>
      <c r="BD110" s="3"/>
      <c r="BE110" s="3"/>
      <c r="BF110" s="3"/>
      <c r="BG110" s="3"/>
    </row>
    <row r="111" spans="1:59" ht="15">
      <c r="A111" s="65" t="s">
        <v>322</v>
      </c>
      <c r="B111" s="66" t="s">
        <v>1614</v>
      </c>
      <c r="C111" s="66"/>
      <c r="D111" s="67">
        <v>185.71428571428572</v>
      </c>
      <c r="E111" s="69">
        <v>62.5</v>
      </c>
      <c r="F111" s="96" t="str">
        <f>HYPERLINK("https://i.ytimg.com/vi/3BxOkYDOst4/default.jpg")</f>
        <v>https://i.ytimg.com/vi/3BxOkYDOst4/default.jpg</v>
      </c>
      <c r="G111" s="66"/>
      <c r="H111" s="70" t="s">
        <v>498</v>
      </c>
      <c r="I111" s="71"/>
      <c r="J111" s="71" t="s">
        <v>159</v>
      </c>
      <c r="K111" s="70" t="s">
        <v>498</v>
      </c>
      <c r="L111" s="74">
        <v>2.066968128403286</v>
      </c>
      <c r="M111" s="75">
        <v>1020.7754516601562</v>
      </c>
      <c r="N111" s="75">
        <v>7857.3896484375</v>
      </c>
      <c r="O111" s="76"/>
      <c r="P111" s="77"/>
      <c r="Q111" s="77"/>
      <c r="R111" s="82"/>
      <c r="S111" s="49">
        <v>2</v>
      </c>
      <c r="T111" s="49">
        <v>0</v>
      </c>
      <c r="U111" s="50">
        <v>0</v>
      </c>
      <c r="V111" s="50">
        <v>0.001751</v>
      </c>
      <c r="W111" s="50">
        <v>0.002691</v>
      </c>
      <c r="X111" s="50">
        <v>0.353791</v>
      </c>
      <c r="Y111" s="50">
        <v>0.5</v>
      </c>
      <c r="Z111" s="50">
        <v>0</v>
      </c>
      <c r="AA111" s="72">
        <v>111</v>
      </c>
      <c r="AB111" s="72"/>
      <c r="AC111" s="73"/>
      <c r="AD111" s="80" t="s">
        <v>498</v>
      </c>
      <c r="AE111" s="80" t="s">
        <v>670</v>
      </c>
      <c r="AF111" s="80"/>
      <c r="AG111" s="80" t="s">
        <v>912</v>
      </c>
      <c r="AH111" s="80" t="s">
        <v>1080</v>
      </c>
      <c r="AI111" s="80">
        <v>749</v>
      </c>
      <c r="AJ111" s="80">
        <v>3</v>
      </c>
      <c r="AK111" s="80">
        <v>21</v>
      </c>
      <c r="AL111" s="80">
        <v>0</v>
      </c>
      <c r="AM111" s="80" t="s">
        <v>1155</v>
      </c>
      <c r="AN111" s="98" t="str">
        <f>HYPERLINK("https://www.youtube.com/watch?v=3BxOkYDOst4")</f>
        <v>https://www.youtube.com/watch?v=3BxOkYDOst4</v>
      </c>
      <c r="AO111" s="80" t="str">
        <f>REPLACE(INDEX(GroupVertices[Group],MATCH(Vertices[[#This Row],[Vertex]],GroupVertices[Vertex],0)),1,1,"")</f>
        <v>1</v>
      </c>
      <c r="AP111" s="49"/>
      <c r="AQ111" s="50"/>
      <c r="AR111" s="49"/>
      <c r="AS111" s="50"/>
      <c r="AT111" s="49"/>
      <c r="AU111" s="50"/>
      <c r="AV111" s="49"/>
      <c r="AW111" s="50"/>
      <c r="AX111" s="49"/>
      <c r="AY111" s="49"/>
      <c r="AZ111" s="49"/>
      <c r="BA111" s="49"/>
      <c r="BB111" s="49"/>
      <c r="BC111" s="2"/>
      <c r="BD111" s="3"/>
      <c r="BE111" s="3"/>
      <c r="BF111" s="3"/>
      <c r="BG111" s="3"/>
    </row>
    <row r="112" spans="1:59" ht="15">
      <c r="A112" s="65" t="s">
        <v>215</v>
      </c>
      <c r="B112" s="66" t="s">
        <v>1620</v>
      </c>
      <c r="C112" s="66"/>
      <c r="D112" s="67">
        <v>571.4285714285714</v>
      </c>
      <c r="E112" s="69">
        <v>100</v>
      </c>
      <c r="F112" s="96" t="str">
        <f>HYPERLINK("https://i.ytimg.com/vi/vp7VXgvVAPg/default.jpg")</f>
        <v>https://i.ytimg.com/vi/vp7VXgvVAPg/default.jpg</v>
      </c>
      <c r="G112" s="66"/>
      <c r="H112" s="70" t="s">
        <v>499</v>
      </c>
      <c r="I112" s="71"/>
      <c r="J112" s="71" t="s">
        <v>75</v>
      </c>
      <c r="K112" s="70" t="s">
        <v>499</v>
      </c>
      <c r="L112" s="74">
        <v>26.034287812728056</v>
      </c>
      <c r="M112" s="75">
        <v>2240.28076171875</v>
      </c>
      <c r="N112" s="75">
        <v>5460.84912109375</v>
      </c>
      <c r="O112" s="76"/>
      <c r="P112" s="77"/>
      <c r="Q112" s="77"/>
      <c r="R112" s="82"/>
      <c r="S112" s="49">
        <v>11</v>
      </c>
      <c r="T112" s="49">
        <v>20</v>
      </c>
      <c r="U112" s="50">
        <v>966.979977</v>
      </c>
      <c r="V112" s="50">
        <v>0.00237</v>
      </c>
      <c r="W112" s="50">
        <v>0.031175</v>
      </c>
      <c r="X112" s="50">
        <v>3.163959</v>
      </c>
      <c r="Y112" s="50">
        <v>0.443019943019943</v>
      </c>
      <c r="Z112" s="50">
        <v>0.14814814814814814</v>
      </c>
      <c r="AA112" s="72">
        <v>112</v>
      </c>
      <c r="AB112" s="72"/>
      <c r="AC112" s="73"/>
      <c r="AD112" s="80" t="s">
        <v>499</v>
      </c>
      <c r="AE112" s="80" t="s">
        <v>671</v>
      </c>
      <c r="AF112" s="80" t="s">
        <v>819</v>
      </c>
      <c r="AG112" s="80" t="s">
        <v>912</v>
      </c>
      <c r="AH112" s="80" t="s">
        <v>1081</v>
      </c>
      <c r="AI112" s="80">
        <v>17147</v>
      </c>
      <c r="AJ112" s="80">
        <v>16</v>
      </c>
      <c r="AK112" s="80">
        <v>73</v>
      </c>
      <c r="AL112" s="80">
        <v>1</v>
      </c>
      <c r="AM112" s="80" t="s">
        <v>1155</v>
      </c>
      <c r="AN112" s="98" t="str">
        <f>HYPERLINK("https://www.youtube.com/watch?v=vp7VXgvVAPg")</f>
        <v>https://www.youtube.com/watch?v=vp7VXgvVAPg</v>
      </c>
      <c r="AO112" s="80" t="str">
        <f>REPLACE(INDEX(GroupVertices[Group],MATCH(Vertices[[#This Row],[Vertex]],GroupVertices[Vertex],0)),1,1,"")</f>
        <v>1</v>
      </c>
      <c r="AP112" s="49">
        <v>0</v>
      </c>
      <c r="AQ112" s="50">
        <v>0</v>
      </c>
      <c r="AR112" s="49">
        <v>0</v>
      </c>
      <c r="AS112" s="50">
        <v>0</v>
      </c>
      <c r="AT112" s="49">
        <v>0</v>
      </c>
      <c r="AU112" s="50">
        <v>0</v>
      </c>
      <c r="AV112" s="49">
        <v>16</v>
      </c>
      <c r="AW112" s="50">
        <v>100</v>
      </c>
      <c r="AX112" s="49">
        <v>16</v>
      </c>
      <c r="AY112" s="111" t="s">
        <v>1608</v>
      </c>
      <c r="AZ112" s="111" t="s">
        <v>1608</v>
      </c>
      <c r="BA112" s="111" t="s">
        <v>1608</v>
      </c>
      <c r="BB112" s="111" t="s">
        <v>1608</v>
      </c>
      <c r="BC112" s="2"/>
      <c r="BD112" s="3"/>
      <c r="BE112" s="3"/>
      <c r="BF112" s="3"/>
      <c r="BG112" s="3"/>
    </row>
    <row r="113" spans="1:59" ht="15">
      <c r="A113" s="65" t="s">
        <v>323</v>
      </c>
      <c r="B113" s="66" t="s">
        <v>1614</v>
      </c>
      <c r="C113" s="66"/>
      <c r="D113" s="67">
        <v>142.85714285714286</v>
      </c>
      <c r="E113" s="69">
        <v>56.25</v>
      </c>
      <c r="F113" s="96" t="str">
        <f>HYPERLINK("https://i.ytimg.com/vi/CwQ8IrHZDgA/default.jpg")</f>
        <v>https://i.ytimg.com/vi/CwQ8IrHZDgA/default.jpg</v>
      </c>
      <c r="G113" s="66"/>
      <c r="H113" s="70" t="s">
        <v>500</v>
      </c>
      <c r="I113" s="71"/>
      <c r="J113" s="71" t="s">
        <v>159</v>
      </c>
      <c r="K113" s="70" t="s">
        <v>500</v>
      </c>
      <c r="L113" s="74">
        <v>2.692533003686308</v>
      </c>
      <c r="M113" s="75">
        <v>2850.033447265625</v>
      </c>
      <c r="N113" s="75">
        <v>7857.3896484375</v>
      </c>
      <c r="O113" s="76"/>
      <c r="P113" s="77"/>
      <c r="Q113" s="77"/>
      <c r="R113" s="82"/>
      <c r="S113" s="49">
        <v>1</v>
      </c>
      <c r="T113" s="49">
        <v>0</v>
      </c>
      <c r="U113" s="50">
        <v>0</v>
      </c>
      <c r="V113" s="50">
        <v>0.001661</v>
      </c>
      <c r="W113" s="50">
        <v>0.001358</v>
      </c>
      <c r="X113" s="50">
        <v>0.249606</v>
      </c>
      <c r="Y113" s="50">
        <v>0</v>
      </c>
      <c r="Z113" s="50">
        <v>0</v>
      </c>
      <c r="AA113" s="72">
        <v>113</v>
      </c>
      <c r="AB113" s="72"/>
      <c r="AC113" s="73"/>
      <c r="AD113" s="80" t="s">
        <v>500</v>
      </c>
      <c r="AE113" s="80" t="s">
        <v>672</v>
      </c>
      <c r="AF113" s="80" t="s">
        <v>820</v>
      </c>
      <c r="AG113" s="80" t="s">
        <v>912</v>
      </c>
      <c r="AH113" s="80" t="s">
        <v>1082</v>
      </c>
      <c r="AI113" s="80">
        <v>1177</v>
      </c>
      <c r="AJ113" s="80">
        <v>3</v>
      </c>
      <c r="AK113" s="80">
        <v>6</v>
      </c>
      <c r="AL113" s="80">
        <v>0</v>
      </c>
      <c r="AM113" s="80" t="s">
        <v>1155</v>
      </c>
      <c r="AN113" s="98" t="str">
        <f>HYPERLINK("https://www.youtube.com/watch?v=CwQ8IrHZDgA")</f>
        <v>https://www.youtube.com/watch?v=CwQ8IrHZDgA</v>
      </c>
      <c r="AO113" s="80" t="str">
        <f>REPLACE(INDEX(GroupVertices[Group],MATCH(Vertices[[#This Row],[Vertex]],GroupVertices[Vertex],0)),1,1,"")</f>
        <v>1</v>
      </c>
      <c r="AP113" s="49">
        <v>0</v>
      </c>
      <c r="AQ113" s="50">
        <v>0</v>
      </c>
      <c r="AR113" s="49">
        <v>0</v>
      </c>
      <c r="AS113" s="50">
        <v>0</v>
      </c>
      <c r="AT113" s="49">
        <v>0</v>
      </c>
      <c r="AU113" s="50">
        <v>0</v>
      </c>
      <c r="AV113" s="49">
        <v>8</v>
      </c>
      <c r="AW113" s="50">
        <v>100</v>
      </c>
      <c r="AX113" s="49">
        <v>8</v>
      </c>
      <c r="AY113" s="49"/>
      <c r="AZ113" s="49"/>
      <c r="BA113" s="49"/>
      <c r="BB113" s="49"/>
      <c r="BC113" s="2"/>
      <c r="BD113" s="3"/>
      <c r="BE113" s="3"/>
      <c r="BF113" s="3"/>
      <c r="BG113" s="3"/>
    </row>
    <row r="114" spans="1:59" ht="15">
      <c r="A114" s="65" t="s">
        <v>216</v>
      </c>
      <c r="B114" s="66" t="s">
        <v>1621</v>
      </c>
      <c r="C114" s="66"/>
      <c r="D114" s="67">
        <v>400</v>
      </c>
      <c r="E114" s="69">
        <v>93.75</v>
      </c>
      <c r="F114" s="96" t="str">
        <f>HYPERLINK("https://i.ytimg.com/vi/FpOIbhOmGUs/default.jpg")</f>
        <v>https://i.ytimg.com/vi/FpOIbhOmGUs/default.jpg</v>
      </c>
      <c r="G114" s="66"/>
      <c r="H114" s="70" t="s">
        <v>501</v>
      </c>
      <c r="I114" s="71"/>
      <c r="J114" s="71" t="s">
        <v>75</v>
      </c>
      <c r="K114" s="70" t="s">
        <v>501</v>
      </c>
      <c r="L114" s="74">
        <v>49.680055458355945</v>
      </c>
      <c r="M114" s="75">
        <v>4069.538818359375</v>
      </c>
      <c r="N114" s="75">
        <v>1336.571533203125</v>
      </c>
      <c r="O114" s="76"/>
      <c r="P114" s="77"/>
      <c r="Q114" s="77"/>
      <c r="R114" s="82"/>
      <c r="S114" s="49">
        <v>7</v>
      </c>
      <c r="T114" s="49">
        <v>15</v>
      </c>
      <c r="U114" s="50">
        <v>1340.304844</v>
      </c>
      <c r="V114" s="50">
        <v>0.002037</v>
      </c>
      <c r="W114" s="50">
        <v>0.007356</v>
      </c>
      <c r="X114" s="50">
        <v>2.650772</v>
      </c>
      <c r="Y114" s="50">
        <v>0.21323529411764705</v>
      </c>
      <c r="Z114" s="50">
        <v>0.29411764705882354</v>
      </c>
      <c r="AA114" s="72">
        <v>114</v>
      </c>
      <c r="AB114" s="72"/>
      <c r="AC114" s="73"/>
      <c r="AD114" s="80" t="s">
        <v>501</v>
      </c>
      <c r="AE114" s="80"/>
      <c r="AF114" s="80"/>
      <c r="AG114" s="80" t="s">
        <v>944</v>
      </c>
      <c r="AH114" s="80" t="s">
        <v>1083</v>
      </c>
      <c r="AI114" s="80">
        <v>33325</v>
      </c>
      <c r="AJ114" s="80">
        <v>16</v>
      </c>
      <c r="AK114" s="80">
        <v>163</v>
      </c>
      <c r="AL114" s="80">
        <v>8</v>
      </c>
      <c r="AM114" s="80" t="s">
        <v>1155</v>
      </c>
      <c r="AN114" s="98" t="str">
        <f>HYPERLINK("https://www.youtube.com/watch?v=FpOIbhOmGUs")</f>
        <v>https://www.youtube.com/watch?v=FpOIbhOmGUs</v>
      </c>
      <c r="AO114" s="80" t="str">
        <f>REPLACE(INDEX(GroupVertices[Group],MATCH(Vertices[[#This Row],[Vertex]],GroupVertices[Vertex],0)),1,1,"")</f>
        <v>2</v>
      </c>
      <c r="AP114" s="49"/>
      <c r="AQ114" s="50"/>
      <c r="AR114" s="49"/>
      <c r="AS114" s="50"/>
      <c r="AT114" s="49"/>
      <c r="AU114" s="50"/>
      <c r="AV114" s="49"/>
      <c r="AW114" s="50"/>
      <c r="AX114" s="49"/>
      <c r="AY114" s="111" t="s">
        <v>1608</v>
      </c>
      <c r="AZ114" s="111" t="s">
        <v>1608</v>
      </c>
      <c r="BA114" s="111" t="s">
        <v>1608</v>
      </c>
      <c r="BB114" s="111" t="s">
        <v>1608</v>
      </c>
      <c r="BC114" s="2"/>
      <c r="BD114" s="3"/>
      <c r="BE114" s="3"/>
      <c r="BF114" s="3"/>
      <c r="BG114" s="3"/>
    </row>
    <row r="115" spans="1:59" ht="15">
      <c r="A115" s="65" t="s">
        <v>324</v>
      </c>
      <c r="B115" s="66" t="s">
        <v>1614</v>
      </c>
      <c r="C115" s="66"/>
      <c r="D115" s="67">
        <v>142.85714285714286</v>
      </c>
      <c r="E115" s="69">
        <v>56.25</v>
      </c>
      <c r="F115" s="96" t="str">
        <f>HYPERLINK("https://i.ytimg.com/vi/cjsxFr6RIG0/default.jpg")</f>
        <v>https://i.ytimg.com/vi/cjsxFr6RIG0/default.jpg</v>
      </c>
      <c r="G115" s="66"/>
      <c r="H115" s="70" t="s">
        <v>502</v>
      </c>
      <c r="I115" s="71"/>
      <c r="J115" s="71" t="s">
        <v>159</v>
      </c>
      <c r="K115" s="70" t="s">
        <v>502</v>
      </c>
      <c r="L115" s="74">
        <v>14.15440158305421</v>
      </c>
      <c r="M115" s="75">
        <v>5289.0439453125</v>
      </c>
      <c r="N115" s="75">
        <v>2926.008056640625</v>
      </c>
      <c r="O115" s="76"/>
      <c r="P115" s="77"/>
      <c r="Q115" s="77"/>
      <c r="R115" s="82"/>
      <c r="S115" s="49">
        <v>1</v>
      </c>
      <c r="T115" s="49">
        <v>0</v>
      </c>
      <c r="U115" s="50">
        <v>0</v>
      </c>
      <c r="V115" s="50">
        <v>0.00149</v>
      </c>
      <c r="W115" s="50">
        <v>0.00032</v>
      </c>
      <c r="X115" s="50">
        <v>0.282538</v>
      </c>
      <c r="Y115" s="50">
        <v>0</v>
      </c>
      <c r="Z115" s="50">
        <v>0</v>
      </c>
      <c r="AA115" s="72">
        <v>115</v>
      </c>
      <c r="AB115" s="72"/>
      <c r="AC115" s="73"/>
      <c r="AD115" s="80" t="s">
        <v>502</v>
      </c>
      <c r="AE115" s="80" t="s">
        <v>673</v>
      </c>
      <c r="AF115" s="80" t="s">
        <v>821</v>
      </c>
      <c r="AG115" s="80" t="s">
        <v>894</v>
      </c>
      <c r="AH115" s="80" t="s">
        <v>1084</v>
      </c>
      <c r="AI115" s="80">
        <v>9019</v>
      </c>
      <c r="AJ115" s="80">
        <v>14</v>
      </c>
      <c r="AK115" s="80">
        <v>72</v>
      </c>
      <c r="AL115" s="80">
        <v>0</v>
      </c>
      <c r="AM115" s="80" t="s">
        <v>1155</v>
      </c>
      <c r="AN115" s="98" t="str">
        <f>HYPERLINK("https://www.youtube.com/watch?v=cjsxFr6RIG0")</f>
        <v>https://www.youtube.com/watch?v=cjsxFr6RIG0</v>
      </c>
      <c r="AO115" s="80" t="str">
        <f>REPLACE(INDEX(GroupVertices[Group],MATCH(Vertices[[#This Row],[Vertex]],GroupVertices[Vertex],0)),1,1,"")</f>
        <v>2</v>
      </c>
      <c r="AP115" s="49">
        <v>0</v>
      </c>
      <c r="AQ115" s="50">
        <v>0</v>
      </c>
      <c r="AR115" s="49">
        <v>0</v>
      </c>
      <c r="AS115" s="50">
        <v>0</v>
      </c>
      <c r="AT115" s="49">
        <v>0</v>
      </c>
      <c r="AU115" s="50">
        <v>0</v>
      </c>
      <c r="AV115" s="49">
        <v>10</v>
      </c>
      <c r="AW115" s="50">
        <v>100</v>
      </c>
      <c r="AX115" s="49">
        <v>10</v>
      </c>
      <c r="AY115" s="49"/>
      <c r="AZ115" s="49"/>
      <c r="BA115" s="49"/>
      <c r="BB115" s="49"/>
      <c r="BC115" s="2"/>
      <c r="BD115" s="3"/>
      <c r="BE115" s="3"/>
      <c r="BF115" s="3"/>
      <c r="BG115" s="3"/>
    </row>
    <row r="116" spans="1:59" ht="15">
      <c r="A116" s="65" t="s">
        <v>325</v>
      </c>
      <c r="B116" s="66" t="s">
        <v>1614</v>
      </c>
      <c r="C116" s="66"/>
      <c r="D116" s="67">
        <v>185.71428571428572</v>
      </c>
      <c r="E116" s="69">
        <v>62.5</v>
      </c>
      <c r="F116" s="96" t="str">
        <f>HYPERLINK("https://i.ytimg.com/vi/ItjEz2yEPBw/default.jpg")</f>
        <v>https://i.ytimg.com/vi/ItjEz2yEPBw/default.jpg</v>
      </c>
      <c r="G116" s="66"/>
      <c r="H116" s="70" t="s">
        <v>503</v>
      </c>
      <c r="I116" s="71"/>
      <c r="J116" s="71" t="s">
        <v>159</v>
      </c>
      <c r="K116" s="70" t="s">
        <v>503</v>
      </c>
      <c r="L116" s="74">
        <v>18.50412370651747</v>
      </c>
      <c r="M116" s="75">
        <v>3459.786376953125</v>
      </c>
      <c r="N116" s="75">
        <v>2131.289794921875</v>
      </c>
      <c r="O116" s="76"/>
      <c r="P116" s="77"/>
      <c r="Q116" s="77"/>
      <c r="R116" s="82"/>
      <c r="S116" s="49">
        <v>2</v>
      </c>
      <c r="T116" s="49">
        <v>0</v>
      </c>
      <c r="U116" s="50">
        <v>0</v>
      </c>
      <c r="V116" s="50">
        <v>0.001582</v>
      </c>
      <c r="W116" s="50">
        <v>0.000989</v>
      </c>
      <c r="X116" s="50">
        <v>0.39273</v>
      </c>
      <c r="Y116" s="50">
        <v>1</v>
      </c>
      <c r="Z116" s="50">
        <v>0</v>
      </c>
      <c r="AA116" s="72">
        <v>116</v>
      </c>
      <c r="AB116" s="72"/>
      <c r="AC116" s="73"/>
      <c r="AD116" s="80" t="s">
        <v>503</v>
      </c>
      <c r="AE116" s="80" t="s">
        <v>674</v>
      </c>
      <c r="AF116" s="80" t="s">
        <v>822</v>
      </c>
      <c r="AG116" s="80" t="s">
        <v>945</v>
      </c>
      <c r="AH116" s="80" t="s">
        <v>1085</v>
      </c>
      <c r="AI116" s="80">
        <v>11995</v>
      </c>
      <c r="AJ116" s="80">
        <v>6</v>
      </c>
      <c r="AK116" s="80">
        <v>74</v>
      </c>
      <c r="AL116" s="80">
        <v>8</v>
      </c>
      <c r="AM116" s="80" t="s">
        <v>1155</v>
      </c>
      <c r="AN116" s="98" t="str">
        <f>HYPERLINK("https://www.youtube.com/watch?v=ItjEz2yEPBw")</f>
        <v>https://www.youtube.com/watch?v=ItjEz2yEPBw</v>
      </c>
      <c r="AO116" s="80" t="str">
        <f>REPLACE(INDEX(GroupVertices[Group],MATCH(Vertices[[#This Row],[Vertex]],GroupVertices[Vertex],0)),1,1,"")</f>
        <v>2</v>
      </c>
      <c r="AP116" s="49">
        <v>0</v>
      </c>
      <c r="AQ116" s="50">
        <v>0</v>
      </c>
      <c r="AR116" s="49">
        <v>0</v>
      </c>
      <c r="AS116" s="50">
        <v>0</v>
      </c>
      <c r="AT116" s="49">
        <v>0</v>
      </c>
      <c r="AU116" s="50">
        <v>0</v>
      </c>
      <c r="AV116" s="49">
        <v>29</v>
      </c>
      <c r="AW116" s="50">
        <v>100</v>
      </c>
      <c r="AX116" s="49">
        <v>29</v>
      </c>
      <c r="AY116" s="49"/>
      <c r="AZ116" s="49"/>
      <c r="BA116" s="49"/>
      <c r="BB116" s="49"/>
      <c r="BC116" s="2"/>
      <c r="BD116" s="3"/>
      <c r="BE116" s="3"/>
      <c r="BF116" s="3"/>
      <c r="BG116" s="3"/>
    </row>
    <row r="117" spans="1:59" ht="15">
      <c r="A117" s="65" t="s">
        <v>326</v>
      </c>
      <c r="B117" s="66" t="s">
        <v>1614</v>
      </c>
      <c r="C117" s="66"/>
      <c r="D117" s="67">
        <v>142.85714285714286</v>
      </c>
      <c r="E117" s="69">
        <v>56.25</v>
      </c>
      <c r="F117" s="96" t="str">
        <f>HYPERLINK("https://i.ytimg.com/vi/3Im7vNRA2ns/default.jpg")</f>
        <v>https://i.ytimg.com/vi/3Im7vNRA2ns/default.jpg</v>
      </c>
      <c r="G117" s="66"/>
      <c r="H117" s="70" t="s">
        <v>504</v>
      </c>
      <c r="I117" s="71"/>
      <c r="J117" s="71" t="s">
        <v>159</v>
      </c>
      <c r="K117" s="70" t="s">
        <v>504</v>
      </c>
      <c r="L117" s="74">
        <v>32.484329388952304</v>
      </c>
      <c r="M117" s="75">
        <v>1020.7754516601562</v>
      </c>
      <c r="N117" s="75">
        <v>1336.571533203125</v>
      </c>
      <c r="O117" s="76"/>
      <c r="P117" s="77"/>
      <c r="Q117" s="77"/>
      <c r="R117" s="82"/>
      <c r="S117" s="49">
        <v>1</v>
      </c>
      <c r="T117" s="49">
        <v>0</v>
      </c>
      <c r="U117" s="50">
        <v>0</v>
      </c>
      <c r="V117" s="50">
        <v>0.00149</v>
      </c>
      <c r="W117" s="50">
        <v>0.00032</v>
      </c>
      <c r="X117" s="50">
        <v>0.282538</v>
      </c>
      <c r="Y117" s="50">
        <v>0</v>
      </c>
      <c r="Z117" s="50">
        <v>0</v>
      </c>
      <c r="AA117" s="72">
        <v>117</v>
      </c>
      <c r="AB117" s="72"/>
      <c r="AC117" s="73"/>
      <c r="AD117" s="80" t="s">
        <v>504</v>
      </c>
      <c r="AE117" s="80" t="s">
        <v>504</v>
      </c>
      <c r="AF117" s="80" t="s">
        <v>823</v>
      </c>
      <c r="AG117" s="80" t="s">
        <v>894</v>
      </c>
      <c r="AH117" s="80" t="s">
        <v>1086</v>
      </c>
      <c r="AI117" s="80">
        <v>21560</v>
      </c>
      <c r="AJ117" s="80">
        <v>4</v>
      </c>
      <c r="AK117" s="80">
        <v>47</v>
      </c>
      <c r="AL117" s="80">
        <v>3</v>
      </c>
      <c r="AM117" s="80" t="s">
        <v>1155</v>
      </c>
      <c r="AN117" s="98" t="str">
        <f>HYPERLINK("https://www.youtube.com/watch?v=3Im7vNRA2ns")</f>
        <v>https://www.youtube.com/watch?v=3Im7vNRA2ns</v>
      </c>
      <c r="AO117" s="80" t="str">
        <f>REPLACE(INDEX(GroupVertices[Group],MATCH(Vertices[[#This Row],[Vertex]],GroupVertices[Vertex],0)),1,1,"")</f>
        <v>2</v>
      </c>
      <c r="AP117" s="49">
        <v>0</v>
      </c>
      <c r="AQ117" s="50">
        <v>0</v>
      </c>
      <c r="AR117" s="49">
        <v>0</v>
      </c>
      <c r="AS117" s="50">
        <v>0</v>
      </c>
      <c r="AT117" s="49">
        <v>0</v>
      </c>
      <c r="AU117" s="50">
        <v>0</v>
      </c>
      <c r="AV117" s="49">
        <v>5</v>
      </c>
      <c r="AW117" s="50">
        <v>100</v>
      </c>
      <c r="AX117" s="49">
        <v>5</v>
      </c>
      <c r="AY117" s="49"/>
      <c r="AZ117" s="49"/>
      <c r="BA117" s="49"/>
      <c r="BB117" s="49"/>
      <c r="BC117" s="2"/>
      <c r="BD117" s="3"/>
      <c r="BE117" s="3"/>
      <c r="BF117" s="3"/>
      <c r="BG117" s="3"/>
    </row>
    <row r="118" spans="1:59" ht="15">
      <c r="A118" s="65" t="s">
        <v>327</v>
      </c>
      <c r="B118" s="66" t="s">
        <v>1614</v>
      </c>
      <c r="C118" s="66"/>
      <c r="D118" s="67">
        <v>228.57142857142858</v>
      </c>
      <c r="E118" s="69">
        <v>68.75</v>
      </c>
      <c r="F118" s="96" t="str">
        <f>HYPERLINK("https://i.ytimg.com/vi/W17wAJHzuds/default.jpg")</f>
        <v>https://i.ytimg.com/vi/W17wAJHzuds/default.jpg</v>
      </c>
      <c r="G118" s="66"/>
      <c r="H118" s="70" t="s">
        <v>505</v>
      </c>
      <c r="I118" s="71"/>
      <c r="J118" s="71" t="s">
        <v>159</v>
      </c>
      <c r="K118" s="70" t="s">
        <v>505</v>
      </c>
      <c r="L118" s="74">
        <v>6.619852676315937</v>
      </c>
      <c r="M118" s="75">
        <v>1630.528076171875</v>
      </c>
      <c r="N118" s="75">
        <v>2926.008056640625</v>
      </c>
      <c r="O118" s="76"/>
      <c r="P118" s="77"/>
      <c r="Q118" s="77"/>
      <c r="R118" s="82"/>
      <c r="S118" s="49">
        <v>3</v>
      </c>
      <c r="T118" s="49">
        <v>0</v>
      </c>
      <c r="U118" s="50">
        <v>0</v>
      </c>
      <c r="V118" s="50">
        <v>0.001684</v>
      </c>
      <c r="W118" s="50">
        <v>0.001983</v>
      </c>
      <c r="X118" s="50">
        <v>0.503509</v>
      </c>
      <c r="Y118" s="50">
        <v>0.6666666666666666</v>
      </c>
      <c r="Z118" s="50">
        <v>0</v>
      </c>
      <c r="AA118" s="72">
        <v>118</v>
      </c>
      <c r="AB118" s="72"/>
      <c r="AC118" s="73"/>
      <c r="AD118" s="80" t="s">
        <v>505</v>
      </c>
      <c r="AE118" s="80" t="s">
        <v>675</v>
      </c>
      <c r="AF118" s="80" t="s">
        <v>824</v>
      </c>
      <c r="AG118" s="80" t="s">
        <v>946</v>
      </c>
      <c r="AH118" s="80" t="s">
        <v>1087</v>
      </c>
      <c r="AI118" s="80">
        <v>3864</v>
      </c>
      <c r="AJ118" s="80">
        <v>0</v>
      </c>
      <c r="AK118" s="80">
        <v>38</v>
      </c>
      <c r="AL118" s="80">
        <v>0</v>
      </c>
      <c r="AM118" s="80" t="s">
        <v>1155</v>
      </c>
      <c r="AN118" s="98" t="str">
        <f>HYPERLINK("https://www.youtube.com/watch?v=W17wAJHzuds")</f>
        <v>https://www.youtube.com/watch?v=W17wAJHzuds</v>
      </c>
      <c r="AO118" s="80" t="str">
        <f>REPLACE(INDEX(GroupVertices[Group],MATCH(Vertices[[#This Row],[Vertex]],GroupVertices[Vertex],0)),1,1,"")</f>
        <v>2</v>
      </c>
      <c r="AP118" s="49">
        <v>0</v>
      </c>
      <c r="AQ118" s="50">
        <v>0</v>
      </c>
      <c r="AR118" s="49">
        <v>0</v>
      </c>
      <c r="AS118" s="50">
        <v>0</v>
      </c>
      <c r="AT118" s="49">
        <v>0</v>
      </c>
      <c r="AU118" s="50">
        <v>0</v>
      </c>
      <c r="AV118" s="49">
        <v>7</v>
      </c>
      <c r="AW118" s="50">
        <v>100</v>
      </c>
      <c r="AX118" s="49">
        <v>7</v>
      </c>
      <c r="AY118" s="49"/>
      <c r="AZ118" s="49"/>
      <c r="BA118" s="49"/>
      <c r="BB118" s="49"/>
      <c r="BC118" s="2"/>
      <c r="BD118" s="3"/>
      <c r="BE118" s="3"/>
      <c r="BF118" s="3"/>
      <c r="BG118" s="3"/>
    </row>
    <row r="119" spans="1:59" ht="15">
      <c r="A119" s="65" t="s">
        <v>328</v>
      </c>
      <c r="B119" s="66" t="s">
        <v>1614</v>
      </c>
      <c r="C119" s="66"/>
      <c r="D119" s="67">
        <v>142.85714285714286</v>
      </c>
      <c r="E119" s="69">
        <v>56.25</v>
      </c>
      <c r="F119" s="96" t="str">
        <f>HYPERLINK("https://i.ytimg.com/vi/OYrzMhT0Kag/default.jpg")</f>
        <v>https://i.ytimg.com/vi/OYrzMhT0Kag/default.jpg</v>
      </c>
      <c r="G119" s="66"/>
      <c r="H119" s="70" t="s">
        <v>506</v>
      </c>
      <c r="I119" s="71"/>
      <c r="J119" s="71" t="s">
        <v>159</v>
      </c>
      <c r="K119" s="70" t="s">
        <v>506</v>
      </c>
      <c r="L119" s="74">
        <v>13.109357457289347</v>
      </c>
      <c r="M119" s="75">
        <v>4679.29150390625</v>
      </c>
      <c r="N119" s="75">
        <v>2926.008056640625</v>
      </c>
      <c r="O119" s="76"/>
      <c r="P119" s="77"/>
      <c r="Q119" s="77"/>
      <c r="R119" s="82"/>
      <c r="S119" s="49">
        <v>1</v>
      </c>
      <c r="T119" s="49">
        <v>0</v>
      </c>
      <c r="U119" s="50">
        <v>0</v>
      </c>
      <c r="V119" s="50">
        <v>0.00149</v>
      </c>
      <c r="W119" s="50">
        <v>0.00032</v>
      </c>
      <c r="X119" s="50">
        <v>0.282538</v>
      </c>
      <c r="Y119" s="50">
        <v>0</v>
      </c>
      <c r="Z119" s="50">
        <v>0</v>
      </c>
      <c r="AA119" s="72">
        <v>119</v>
      </c>
      <c r="AB119" s="72"/>
      <c r="AC119" s="73"/>
      <c r="AD119" s="80" t="s">
        <v>506</v>
      </c>
      <c r="AE119" s="80"/>
      <c r="AF119" s="80"/>
      <c r="AG119" s="80" t="s">
        <v>947</v>
      </c>
      <c r="AH119" s="80" t="s">
        <v>1088</v>
      </c>
      <c r="AI119" s="80">
        <v>8304</v>
      </c>
      <c r="AJ119" s="80">
        <v>6</v>
      </c>
      <c r="AK119" s="80">
        <v>53</v>
      </c>
      <c r="AL119" s="80">
        <v>1</v>
      </c>
      <c r="AM119" s="80" t="s">
        <v>1155</v>
      </c>
      <c r="AN119" s="98" t="str">
        <f>HYPERLINK("https://www.youtube.com/watch?v=OYrzMhT0Kag")</f>
        <v>https://www.youtube.com/watch?v=OYrzMhT0Kag</v>
      </c>
      <c r="AO119" s="80" t="str">
        <f>REPLACE(INDEX(GroupVertices[Group],MATCH(Vertices[[#This Row],[Vertex]],GroupVertices[Vertex],0)),1,1,"")</f>
        <v>2</v>
      </c>
      <c r="AP119" s="49"/>
      <c r="AQ119" s="50"/>
      <c r="AR119" s="49"/>
      <c r="AS119" s="50"/>
      <c r="AT119" s="49"/>
      <c r="AU119" s="50"/>
      <c r="AV119" s="49"/>
      <c r="AW119" s="50"/>
      <c r="AX119" s="49"/>
      <c r="AY119" s="49"/>
      <c r="AZ119" s="49"/>
      <c r="BA119" s="49"/>
      <c r="BB119" s="49"/>
      <c r="BC119" s="2"/>
      <c r="BD119" s="3"/>
      <c r="BE119" s="3"/>
      <c r="BF119" s="3"/>
      <c r="BG119" s="3"/>
    </row>
    <row r="120" spans="1:59" ht="15">
      <c r="A120" s="65" t="s">
        <v>217</v>
      </c>
      <c r="B120" s="66" t="s">
        <v>1615</v>
      </c>
      <c r="C120" s="66"/>
      <c r="D120" s="67">
        <v>185.71428571428572</v>
      </c>
      <c r="E120" s="69">
        <v>62.5</v>
      </c>
      <c r="F120" s="96" t="str">
        <f>HYPERLINK("https://i.ytimg.com/vi/v6Q7jL0BH9k/default.jpg")</f>
        <v>https://i.ytimg.com/vi/v6Q7jL0BH9k/default.jpg</v>
      </c>
      <c r="G120" s="66"/>
      <c r="H120" s="70" t="s">
        <v>507</v>
      </c>
      <c r="I120" s="71"/>
      <c r="J120" s="71" t="s">
        <v>159</v>
      </c>
      <c r="K120" s="70" t="s">
        <v>507</v>
      </c>
      <c r="L120" s="74">
        <v>5.782355775528153</v>
      </c>
      <c r="M120" s="75">
        <v>6615.58056640625</v>
      </c>
      <c r="N120" s="75">
        <v>4358.30712890625</v>
      </c>
      <c r="O120" s="76"/>
      <c r="P120" s="77"/>
      <c r="Q120" s="77"/>
      <c r="R120" s="82"/>
      <c r="S120" s="49">
        <v>2</v>
      </c>
      <c r="T120" s="49">
        <v>11</v>
      </c>
      <c r="U120" s="50">
        <v>3188.981818</v>
      </c>
      <c r="V120" s="50">
        <v>0.001972</v>
      </c>
      <c r="W120" s="50">
        <v>0.003504</v>
      </c>
      <c r="X120" s="50">
        <v>3.690055</v>
      </c>
      <c r="Y120" s="50">
        <v>0.03205128205128205</v>
      </c>
      <c r="Z120" s="50">
        <v>0</v>
      </c>
      <c r="AA120" s="72">
        <v>120</v>
      </c>
      <c r="AB120" s="72"/>
      <c r="AC120" s="73"/>
      <c r="AD120" s="80" t="s">
        <v>507</v>
      </c>
      <c r="AE120" s="80" t="s">
        <v>676</v>
      </c>
      <c r="AF120" s="80" t="s">
        <v>825</v>
      </c>
      <c r="AG120" s="80" t="s">
        <v>913</v>
      </c>
      <c r="AH120" s="80" t="s">
        <v>1089</v>
      </c>
      <c r="AI120" s="80">
        <v>3291</v>
      </c>
      <c r="AJ120" s="80">
        <v>1</v>
      </c>
      <c r="AK120" s="80">
        <v>16</v>
      </c>
      <c r="AL120" s="80">
        <v>0</v>
      </c>
      <c r="AM120" s="80" t="s">
        <v>1155</v>
      </c>
      <c r="AN120" s="98" t="str">
        <f>HYPERLINK("https://www.youtube.com/watch?v=v6Q7jL0BH9k")</f>
        <v>https://www.youtube.com/watch?v=v6Q7jL0BH9k</v>
      </c>
      <c r="AO120" s="80" t="str">
        <f>REPLACE(INDEX(GroupVertices[Group],MATCH(Vertices[[#This Row],[Vertex]],GroupVertices[Vertex],0)),1,1,"")</f>
        <v>5</v>
      </c>
      <c r="AP120" s="49">
        <v>0</v>
      </c>
      <c r="AQ120" s="50">
        <v>0</v>
      </c>
      <c r="AR120" s="49">
        <v>0</v>
      </c>
      <c r="AS120" s="50">
        <v>0</v>
      </c>
      <c r="AT120" s="49">
        <v>0</v>
      </c>
      <c r="AU120" s="50">
        <v>0</v>
      </c>
      <c r="AV120" s="49">
        <v>11</v>
      </c>
      <c r="AW120" s="50">
        <v>100</v>
      </c>
      <c r="AX120" s="49">
        <v>11</v>
      </c>
      <c r="AY120" s="111" t="s">
        <v>1608</v>
      </c>
      <c r="AZ120" s="111" t="s">
        <v>1608</v>
      </c>
      <c r="BA120" s="111" t="s">
        <v>1608</v>
      </c>
      <c r="BB120" s="111" t="s">
        <v>1608</v>
      </c>
      <c r="BC120" s="2"/>
      <c r="BD120" s="3"/>
      <c r="BE120" s="3"/>
      <c r="BF120" s="3"/>
      <c r="BG120" s="3"/>
    </row>
    <row r="121" spans="1:59" ht="15">
      <c r="A121" s="65" t="s">
        <v>329</v>
      </c>
      <c r="B121" s="66" t="s">
        <v>1614</v>
      </c>
      <c r="C121" s="66"/>
      <c r="D121" s="67">
        <v>142.85714285714286</v>
      </c>
      <c r="E121" s="69">
        <v>56.25</v>
      </c>
      <c r="F121" s="96" t="str">
        <f>HYPERLINK("https://i.ytimg.com/vi/dnHtgUHsavQ/default.jpg")</f>
        <v>https://i.ytimg.com/vi/dnHtgUHsavQ/default.jpg</v>
      </c>
      <c r="G121" s="66"/>
      <c r="H121" s="70" t="s">
        <v>508</v>
      </c>
      <c r="I121" s="71"/>
      <c r="J121" s="71" t="s">
        <v>159</v>
      </c>
      <c r="K121" s="70" t="s">
        <v>508</v>
      </c>
      <c r="L121" s="74">
        <v>1.301089636234352</v>
      </c>
      <c r="M121" s="75">
        <v>7225.92236328125</v>
      </c>
      <c r="N121" s="75">
        <v>5113.2890625</v>
      </c>
      <c r="O121" s="76"/>
      <c r="P121" s="77"/>
      <c r="Q121" s="77"/>
      <c r="R121" s="82"/>
      <c r="S121" s="49">
        <v>1</v>
      </c>
      <c r="T121" s="49">
        <v>0</v>
      </c>
      <c r="U121" s="50">
        <v>0</v>
      </c>
      <c r="V121" s="50">
        <v>0.001456</v>
      </c>
      <c r="W121" s="50">
        <v>0.000153</v>
      </c>
      <c r="X121" s="50">
        <v>0.391273</v>
      </c>
      <c r="Y121" s="50">
        <v>0</v>
      </c>
      <c r="Z121" s="50">
        <v>0</v>
      </c>
      <c r="AA121" s="72">
        <v>121</v>
      </c>
      <c r="AB121" s="72"/>
      <c r="AC121" s="73"/>
      <c r="AD121" s="80" t="s">
        <v>508</v>
      </c>
      <c r="AE121" s="80" t="s">
        <v>677</v>
      </c>
      <c r="AF121" s="80" t="s">
        <v>826</v>
      </c>
      <c r="AG121" s="80" t="s">
        <v>913</v>
      </c>
      <c r="AH121" s="80" t="s">
        <v>1090</v>
      </c>
      <c r="AI121" s="80">
        <v>225</v>
      </c>
      <c r="AJ121" s="80">
        <v>0</v>
      </c>
      <c r="AK121" s="80">
        <v>1</v>
      </c>
      <c r="AL121" s="80">
        <v>0</v>
      </c>
      <c r="AM121" s="80" t="s">
        <v>1155</v>
      </c>
      <c r="AN121" s="98" t="str">
        <f>HYPERLINK("https://www.youtube.com/watch?v=dnHtgUHsavQ")</f>
        <v>https://www.youtube.com/watch?v=dnHtgUHsavQ</v>
      </c>
      <c r="AO121" s="80" t="str">
        <f>REPLACE(INDEX(GroupVertices[Group],MATCH(Vertices[[#This Row],[Vertex]],GroupVertices[Vertex],0)),1,1,"")</f>
        <v>5</v>
      </c>
      <c r="AP121" s="49">
        <v>0</v>
      </c>
      <c r="AQ121" s="50">
        <v>0</v>
      </c>
      <c r="AR121" s="49">
        <v>0</v>
      </c>
      <c r="AS121" s="50">
        <v>0</v>
      </c>
      <c r="AT121" s="49">
        <v>0</v>
      </c>
      <c r="AU121" s="50">
        <v>0</v>
      </c>
      <c r="AV121" s="49">
        <v>8</v>
      </c>
      <c r="AW121" s="50">
        <v>100</v>
      </c>
      <c r="AX121" s="49">
        <v>8</v>
      </c>
      <c r="AY121" s="49"/>
      <c r="AZ121" s="49"/>
      <c r="BA121" s="49"/>
      <c r="BB121" s="49"/>
      <c r="BC121" s="2"/>
      <c r="BD121" s="3"/>
      <c r="BE121" s="3"/>
      <c r="BF121" s="3"/>
      <c r="BG121" s="3"/>
    </row>
    <row r="122" spans="1:59" ht="15">
      <c r="A122" s="65" t="s">
        <v>330</v>
      </c>
      <c r="B122" s="66" t="s">
        <v>1614</v>
      </c>
      <c r="C122" s="66"/>
      <c r="D122" s="67">
        <v>142.85714285714286</v>
      </c>
      <c r="E122" s="69">
        <v>56.25</v>
      </c>
      <c r="F122" s="96" t="str">
        <f>HYPERLINK("https://i.ytimg.com/vi/iiVeQkIELyc/default.jpg")</f>
        <v>https://i.ytimg.com/vi/iiVeQkIELyc/default.jpg</v>
      </c>
      <c r="G122" s="66"/>
      <c r="H122" s="70" t="s">
        <v>509</v>
      </c>
      <c r="I122" s="71"/>
      <c r="J122" s="71" t="s">
        <v>159</v>
      </c>
      <c r="K122" s="70" t="s">
        <v>509</v>
      </c>
      <c r="L122" s="74">
        <v>28.222303276042737</v>
      </c>
      <c r="M122" s="75">
        <v>7225.92236328125</v>
      </c>
      <c r="N122" s="75">
        <v>2848.34228515625</v>
      </c>
      <c r="O122" s="76"/>
      <c r="P122" s="77"/>
      <c r="Q122" s="77"/>
      <c r="R122" s="82"/>
      <c r="S122" s="49">
        <v>1</v>
      </c>
      <c r="T122" s="49">
        <v>0</v>
      </c>
      <c r="U122" s="50">
        <v>0</v>
      </c>
      <c r="V122" s="50">
        <v>0.001456</v>
      </c>
      <c r="W122" s="50">
        <v>0.000153</v>
      </c>
      <c r="X122" s="50">
        <v>0.391273</v>
      </c>
      <c r="Y122" s="50">
        <v>0</v>
      </c>
      <c r="Z122" s="50">
        <v>0</v>
      </c>
      <c r="AA122" s="72">
        <v>122</v>
      </c>
      <c r="AB122" s="72"/>
      <c r="AC122" s="73"/>
      <c r="AD122" s="80" t="s">
        <v>509</v>
      </c>
      <c r="AE122" s="80"/>
      <c r="AF122" s="80"/>
      <c r="AG122" s="80" t="s">
        <v>948</v>
      </c>
      <c r="AH122" s="80" t="s">
        <v>1091</v>
      </c>
      <c r="AI122" s="80">
        <v>18644</v>
      </c>
      <c r="AJ122" s="80">
        <v>15</v>
      </c>
      <c r="AK122" s="80">
        <v>237</v>
      </c>
      <c r="AL122" s="80">
        <v>4</v>
      </c>
      <c r="AM122" s="80" t="s">
        <v>1155</v>
      </c>
      <c r="AN122" s="98" t="str">
        <f>HYPERLINK("https://www.youtube.com/watch?v=iiVeQkIELyc")</f>
        <v>https://www.youtube.com/watch?v=iiVeQkIELyc</v>
      </c>
      <c r="AO122" s="80" t="str">
        <f>REPLACE(INDEX(GroupVertices[Group],MATCH(Vertices[[#This Row],[Vertex]],GroupVertices[Vertex],0)),1,1,"")</f>
        <v>5</v>
      </c>
      <c r="AP122" s="49"/>
      <c r="AQ122" s="50"/>
      <c r="AR122" s="49"/>
      <c r="AS122" s="50"/>
      <c r="AT122" s="49"/>
      <c r="AU122" s="50"/>
      <c r="AV122" s="49"/>
      <c r="AW122" s="50"/>
      <c r="AX122" s="49"/>
      <c r="AY122" s="49"/>
      <c r="AZ122" s="49"/>
      <c r="BA122" s="49"/>
      <c r="BB122" s="49"/>
      <c r="BC122" s="2"/>
      <c r="BD122" s="3"/>
      <c r="BE122" s="3"/>
      <c r="BF122" s="3"/>
      <c r="BG122" s="3"/>
    </row>
    <row r="123" spans="1:59" ht="15">
      <c r="A123" s="65" t="s">
        <v>331</v>
      </c>
      <c r="B123" s="66" t="s">
        <v>1614</v>
      </c>
      <c r="C123" s="66"/>
      <c r="D123" s="67">
        <v>142.85714285714286</v>
      </c>
      <c r="E123" s="69">
        <v>56.25</v>
      </c>
      <c r="F123" s="96" t="str">
        <f>HYPERLINK("https://i.ytimg.com/vi/mqSVYmj3wjY/default.jpg")</f>
        <v>https://i.ytimg.com/vi/mqSVYmj3wjY/default.jpg</v>
      </c>
      <c r="G123" s="66"/>
      <c r="H123" s="70" t="s">
        <v>510</v>
      </c>
      <c r="I123" s="71"/>
      <c r="J123" s="71" t="s">
        <v>159</v>
      </c>
      <c r="K123" s="70" t="s">
        <v>510</v>
      </c>
      <c r="L123" s="74">
        <v>1.8448049016672592</v>
      </c>
      <c r="M123" s="75">
        <v>7836.265625</v>
      </c>
      <c r="N123" s="75">
        <v>5113.2890625</v>
      </c>
      <c r="O123" s="76"/>
      <c r="P123" s="77"/>
      <c r="Q123" s="77"/>
      <c r="R123" s="82"/>
      <c r="S123" s="49">
        <v>1</v>
      </c>
      <c r="T123" s="49">
        <v>0</v>
      </c>
      <c r="U123" s="50">
        <v>0</v>
      </c>
      <c r="V123" s="50">
        <v>0.001456</v>
      </c>
      <c r="W123" s="50">
        <v>0.000153</v>
      </c>
      <c r="X123" s="50">
        <v>0.391273</v>
      </c>
      <c r="Y123" s="50">
        <v>0</v>
      </c>
      <c r="Z123" s="50">
        <v>0</v>
      </c>
      <c r="AA123" s="72">
        <v>123</v>
      </c>
      <c r="AB123" s="72"/>
      <c r="AC123" s="73"/>
      <c r="AD123" s="80" t="s">
        <v>510</v>
      </c>
      <c r="AE123" s="80" t="s">
        <v>678</v>
      </c>
      <c r="AF123" s="80" t="s">
        <v>827</v>
      </c>
      <c r="AG123" s="80" t="s">
        <v>949</v>
      </c>
      <c r="AH123" s="80" t="s">
        <v>1092</v>
      </c>
      <c r="AI123" s="80">
        <v>597</v>
      </c>
      <c r="AJ123" s="80">
        <v>2</v>
      </c>
      <c r="AK123" s="80">
        <v>13</v>
      </c>
      <c r="AL123" s="80">
        <v>0</v>
      </c>
      <c r="AM123" s="80" t="s">
        <v>1155</v>
      </c>
      <c r="AN123" s="98" t="str">
        <f>HYPERLINK("https://www.youtube.com/watch?v=mqSVYmj3wjY")</f>
        <v>https://www.youtube.com/watch?v=mqSVYmj3wjY</v>
      </c>
      <c r="AO123" s="80" t="str">
        <f>REPLACE(INDEX(GroupVertices[Group],MATCH(Vertices[[#This Row],[Vertex]],GroupVertices[Vertex],0)),1,1,"")</f>
        <v>5</v>
      </c>
      <c r="AP123" s="49">
        <v>0</v>
      </c>
      <c r="AQ123" s="50">
        <v>0</v>
      </c>
      <c r="AR123" s="49">
        <v>0</v>
      </c>
      <c r="AS123" s="50">
        <v>0</v>
      </c>
      <c r="AT123" s="49">
        <v>0</v>
      </c>
      <c r="AU123" s="50">
        <v>0</v>
      </c>
      <c r="AV123" s="49">
        <v>3</v>
      </c>
      <c r="AW123" s="50">
        <v>100</v>
      </c>
      <c r="AX123" s="49">
        <v>3</v>
      </c>
      <c r="AY123" s="49"/>
      <c r="AZ123" s="49"/>
      <c r="BA123" s="49"/>
      <c r="BB123" s="49"/>
      <c r="BC123" s="2"/>
      <c r="BD123" s="3"/>
      <c r="BE123" s="3"/>
      <c r="BF123" s="3"/>
      <c r="BG123" s="3"/>
    </row>
    <row r="124" spans="1:59" ht="15">
      <c r="A124" s="65" t="s">
        <v>332</v>
      </c>
      <c r="B124" s="66" t="s">
        <v>1614</v>
      </c>
      <c r="C124" s="66"/>
      <c r="D124" s="67">
        <v>142.85714285714286</v>
      </c>
      <c r="E124" s="69">
        <v>56.25</v>
      </c>
      <c r="F124" s="96" t="str">
        <f>HYPERLINK("https://i.ytimg.com/vi/oVjq8VnLjz0/default.jpg")</f>
        <v>https://i.ytimg.com/vi/oVjq8VnLjz0/default.jpg</v>
      </c>
      <c r="G124" s="66"/>
      <c r="H124" s="70" t="s">
        <v>511</v>
      </c>
      <c r="I124" s="71"/>
      <c r="J124" s="71" t="s">
        <v>159</v>
      </c>
      <c r="K124" s="70" t="s">
        <v>511</v>
      </c>
      <c r="L124" s="74">
        <v>7.552353588536891</v>
      </c>
      <c r="M124" s="75">
        <v>6005.23779296875</v>
      </c>
      <c r="N124" s="75">
        <v>3603.324462890625</v>
      </c>
      <c r="O124" s="76"/>
      <c r="P124" s="77"/>
      <c r="Q124" s="77"/>
      <c r="R124" s="82"/>
      <c r="S124" s="49">
        <v>1</v>
      </c>
      <c r="T124" s="49">
        <v>0</v>
      </c>
      <c r="U124" s="50">
        <v>0</v>
      </c>
      <c r="V124" s="50">
        <v>0.001456</v>
      </c>
      <c r="W124" s="50">
        <v>0.000153</v>
      </c>
      <c r="X124" s="50">
        <v>0.391273</v>
      </c>
      <c r="Y124" s="50">
        <v>0</v>
      </c>
      <c r="Z124" s="50">
        <v>0</v>
      </c>
      <c r="AA124" s="72">
        <v>124</v>
      </c>
      <c r="AB124" s="72"/>
      <c r="AC124" s="73"/>
      <c r="AD124" s="80" t="s">
        <v>511</v>
      </c>
      <c r="AE124" s="80"/>
      <c r="AF124" s="80"/>
      <c r="AG124" s="80" t="s">
        <v>950</v>
      </c>
      <c r="AH124" s="80" t="s">
        <v>1093</v>
      </c>
      <c r="AI124" s="80">
        <v>4502</v>
      </c>
      <c r="AJ124" s="80">
        <v>0</v>
      </c>
      <c r="AK124" s="80">
        <v>21</v>
      </c>
      <c r="AL124" s="80">
        <v>0</v>
      </c>
      <c r="AM124" s="80" t="s">
        <v>1155</v>
      </c>
      <c r="AN124" s="98" t="str">
        <f>HYPERLINK("https://www.youtube.com/watch?v=oVjq8VnLjz0")</f>
        <v>https://www.youtube.com/watch?v=oVjq8VnLjz0</v>
      </c>
      <c r="AO124" s="80" t="str">
        <f>REPLACE(INDEX(GroupVertices[Group],MATCH(Vertices[[#This Row],[Vertex]],GroupVertices[Vertex],0)),1,1,"")</f>
        <v>5</v>
      </c>
      <c r="AP124" s="49"/>
      <c r="AQ124" s="50"/>
      <c r="AR124" s="49"/>
      <c r="AS124" s="50"/>
      <c r="AT124" s="49"/>
      <c r="AU124" s="50"/>
      <c r="AV124" s="49"/>
      <c r="AW124" s="50"/>
      <c r="AX124" s="49"/>
      <c r="AY124" s="49"/>
      <c r="AZ124" s="49"/>
      <c r="BA124" s="49"/>
      <c r="BB124" s="49"/>
      <c r="BC124" s="2"/>
      <c r="BD124" s="3"/>
      <c r="BE124" s="3"/>
      <c r="BF124" s="3"/>
      <c r="BG124" s="3"/>
    </row>
    <row r="125" spans="1:59" ht="15">
      <c r="A125" s="65" t="s">
        <v>333</v>
      </c>
      <c r="B125" s="66" t="s">
        <v>1614</v>
      </c>
      <c r="C125" s="66"/>
      <c r="D125" s="67">
        <v>142.85714285714286</v>
      </c>
      <c r="E125" s="69">
        <v>56.25</v>
      </c>
      <c r="F125" s="96" t="str">
        <f>HYPERLINK("https://i.ytimg.com/vi/7Fnmmf6x3cA/default.jpg")</f>
        <v>https://i.ytimg.com/vi/7Fnmmf6x3cA/default.jpg</v>
      </c>
      <c r="G125" s="66"/>
      <c r="H125" s="70" t="s">
        <v>512</v>
      </c>
      <c r="I125" s="71"/>
      <c r="J125" s="71" t="s">
        <v>159</v>
      </c>
      <c r="K125" s="70" t="s">
        <v>512</v>
      </c>
      <c r="L125" s="74">
        <v>1.1870848225145487</v>
      </c>
      <c r="M125" s="75">
        <v>6005.23779296875</v>
      </c>
      <c r="N125" s="75">
        <v>5113.2890625</v>
      </c>
      <c r="O125" s="76"/>
      <c r="P125" s="77"/>
      <c r="Q125" s="77"/>
      <c r="R125" s="82"/>
      <c r="S125" s="49">
        <v>1</v>
      </c>
      <c r="T125" s="49">
        <v>0</v>
      </c>
      <c r="U125" s="50">
        <v>0</v>
      </c>
      <c r="V125" s="50">
        <v>0.001456</v>
      </c>
      <c r="W125" s="50">
        <v>0.000153</v>
      </c>
      <c r="X125" s="50">
        <v>0.391273</v>
      </c>
      <c r="Y125" s="50">
        <v>0</v>
      </c>
      <c r="Z125" s="50">
        <v>0</v>
      </c>
      <c r="AA125" s="72">
        <v>125</v>
      </c>
      <c r="AB125" s="72"/>
      <c r="AC125" s="73"/>
      <c r="AD125" s="80" t="s">
        <v>512</v>
      </c>
      <c r="AE125" s="80" t="s">
        <v>679</v>
      </c>
      <c r="AF125" s="80" t="s">
        <v>828</v>
      </c>
      <c r="AG125" s="80" t="s">
        <v>913</v>
      </c>
      <c r="AH125" s="80" t="s">
        <v>1094</v>
      </c>
      <c r="AI125" s="80">
        <v>147</v>
      </c>
      <c r="AJ125" s="80">
        <v>0</v>
      </c>
      <c r="AK125" s="80">
        <v>3</v>
      </c>
      <c r="AL125" s="80">
        <v>1</v>
      </c>
      <c r="AM125" s="80" t="s">
        <v>1155</v>
      </c>
      <c r="AN125" s="98" t="str">
        <f>HYPERLINK("https://www.youtube.com/watch?v=7Fnmmf6x3cA")</f>
        <v>https://www.youtube.com/watch?v=7Fnmmf6x3cA</v>
      </c>
      <c r="AO125" s="80" t="str">
        <f>REPLACE(INDEX(GroupVertices[Group],MATCH(Vertices[[#This Row],[Vertex]],GroupVertices[Vertex],0)),1,1,"")</f>
        <v>5</v>
      </c>
      <c r="AP125" s="49">
        <v>0</v>
      </c>
      <c r="AQ125" s="50">
        <v>0</v>
      </c>
      <c r="AR125" s="49">
        <v>0</v>
      </c>
      <c r="AS125" s="50">
        <v>0</v>
      </c>
      <c r="AT125" s="49">
        <v>0</v>
      </c>
      <c r="AU125" s="50">
        <v>0</v>
      </c>
      <c r="AV125" s="49">
        <v>8</v>
      </c>
      <c r="AW125" s="50">
        <v>100</v>
      </c>
      <c r="AX125" s="49">
        <v>8</v>
      </c>
      <c r="AY125" s="49"/>
      <c r="AZ125" s="49"/>
      <c r="BA125" s="49"/>
      <c r="BB125" s="49"/>
      <c r="BC125" s="2"/>
      <c r="BD125" s="3"/>
      <c r="BE125" s="3"/>
      <c r="BF125" s="3"/>
      <c r="BG125" s="3"/>
    </row>
    <row r="126" spans="1:59" ht="15">
      <c r="A126" s="65" t="s">
        <v>334</v>
      </c>
      <c r="B126" s="66" t="s">
        <v>1614</v>
      </c>
      <c r="C126" s="66"/>
      <c r="D126" s="67">
        <v>142.85714285714286</v>
      </c>
      <c r="E126" s="69">
        <v>56.25</v>
      </c>
      <c r="F126" s="96" t="str">
        <f>HYPERLINK("https://i.ytimg.com/vi/CS0_lZovXm0/default.jpg")</f>
        <v>https://i.ytimg.com/vi/CS0_lZovXm0/default.jpg</v>
      </c>
      <c r="G126" s="66"/>
      <c r="H126" s="70" t="s">
        <v>513</v>
      </c>
      <c r="I126" s="71"/>
      <c r="J126" s="71" t="s">
        <v>159</v>
      </c>
      <c r="K126" s="70" t="s">
        <v>513</v>
      </c>
      <c r="L126" s="74">
        <v>12.387326970397261</v>
      </c>
      <c r="M126" s="75">
        <v>6005.23779296875</v>
      </c>
      <c r="N126" s="75">
        <v>2848.34228515625</v>
      </c>
      <c r="O126" s="76"/>
      <c r="P126" s="77"/>
      <c r="Q126" s="77"/>
      <c r="R126" s="82"/>
      <c r="S126" s="49">
        <v>1</v>
      </c>
      <c r="T126" s="49">
        <v>0</v>
      </c>
      <c r="U126" s="50">
        <v>0</v>
      </c>
      <c r="V126" s="50">
        <v>0.001456</v>
      </c>
      <c r="W126" s="50">
        <v>0.000153</v>
      </c>
      <c r="X126" s="50">
        <v>0.391273</v>
      </c>
      <c r="Y126" s="50">
        <v>0</v>
      </c>
      <c r="Z126" s="50">
        <v>0</v>
      </c>
      <c r="AA126" s="72">
        <v>126</v>
      </c>
      <c r="AB126" s="72"/>
      <c r="AC126" s="73"/>
      <c r="AD126" s="80" t="s">
        <v>513</v>
      </c>
      <c r="AE126" s="80" t="s">
        <v>680</v>
      </c>
      <c r="AF126" s="80" t="s">
        <v>829</v>
      </c>
      <c r="AG126" s="80" t="s">
        <v>951</v>
      </c>
      <c r="AH126" s="80" t="s">
        <v>1095</v>
      </c>
      <c r="AI126" s="80">
        <v>7810</v>
      </c>
      <c r="AJ126" s="80">
        <v>7</v>
      </c>
      <c r="AK126" s="80">
        <v>46</v>
      </c>
      <c r="AL126" s="80">
        <v>0</v>
      </c>
      <c r="AM126" s="80" t="s">
        <v>1155</v>
      </c>
      <c r="AN126" s="98" t="str">
        <f>HYPERLINK("https://www.youtube.com/watch?v=CS0_lZovXm0")</f>
        <v>https://www.youtube.com/watch?v=CS0_lZovXm0</v>
      </c>
      <c r="AO126" s="80" t="str">
        <f>REPLACE(INDEX(GroupVertices[Group],MATCH(Vertices[[#This Row],[Vertex]],GroupVertices[Vertex],0)),1,1,"")</f>
        <v>5</v>
      </c>
      <c r="AP126" s="49">
        <v>0</v>
      </c>
      <c r="AQ126" s="50">
        <v>0</v>
      </c>
      <c r="AR126" s="49">
        <v>0</v>
      </c>
      <c r="AS126" s="50">
        <v>0</v>
      </c>
      <c r="AT126" s="49">
        <v>0</v>
      </c>
      <c r="AU126" s="50">
        <v>0</v>
      </c>
      <c r="AV126" s="49">
        <v>3</v>
      </c>
      <c r="AW126" s="50">
        <v>100</v>
      </c>
      <c r="AX126" s="49">
        <v>3</v>
      </c>
      <c r="AY126" s="49"/>
      <c r="AZ126" s="49"/>
      <c r="BA126" s="49"/>
      <c r="BB126" s="49"/>
      <c r="BC126" s="2"/>
      <c r="BD126" s="3"/>
      <c r="BE126" s="3"/>
      <c r="BF126" s="3"/>
      <c r="BG126" s="3"/>
    </row>
    <row r="127" spans="1:59" ht="15">
      <c r="A127" s="65" t="s">
        <v>335</v>
      </c>
      <c r="B127" s="66" t="s">
        <v>1614</v>
      </c>
      <c r="C127" s="66"/>
      <c r="D127" s="67">
        <v>142.85714285714286</v>
      </c>
      <c r="E127" s="69">
        <v>56.25</v>
      </c>
      <c r="F127" s="96" t="str">
        <f>HYPERLINK("https://i.ytimg.com/vi/L36Xv_nF2SI/default.jpg")</f>
        <v>https://i.ytimg.com/vi/L36Xv_nF2SI/default.jpg</v>
      </c>
      <c r="G127" s="66"/>
      <c r="H127" s="70" t="s">
        <v>514</v>
      </c>
      <c r="I127" s="71"/>
      <c r="J127" s="71" t="s">
        <v>159</v>
      </c>
      <c r="K127" s="70" t="s">
        <v>514</v>
      </c>
      <c r="L127" s="74">
        <v>8.177918463819914</v>
      </c>
      <c r="M127" s="75">
        <v>6615.58056640625</v>
      </c>
      <c r="N127" s="75">
        <v>3603.324462890625</v>
      </c>
      <c r="O127" s="76"/>
      <c r="P127" s="77"/>
      <c r="Q127" s="77"/>
      <c r="R127" s="82"/>
      <c r="S127" s="49">
        <v>1</v>
      </c>
      <c r="T127" s="49">
        <v>0</v>
      </c>
      <c r="U127" s="50">
        <v>0</v>
      </c>
      <c r="V127" s="50">
        <v>0.001456</v>
      </c>
      <c r="W127" s="50">
        <v>0.000153</v>
      </c>
      <c r="X127" s="50">
        <v>0.391273</v>
      </c>
      <c r="Y127" s="50">
        <v>0</v>
      </c>
      <c r="Z127" s="50">
        <v>0</v>
      </c>
      <c r="AA127" s="72">
        <v>127</v>
      </c>
      <c r="AB127" s="72"/>
      <c r="AC127" s="73"/>
      <c r="AD127" s="80" t="s">
        <v>514</v>
      </c>
      <c r="AE127" s="80" t="s">
        <v>681</v>
      </c>
      <c r="AF127" s="80" t="s">
        <v>830</v>
      </c>
      <c r="AG127" s="80" t="s">
        <v>913</v>
      </c>
      <c r="AH127" s="80" t="s">
        <v>1096</v>
      </c>
      <c r="AI127" s="80">
        <v>4930</v>
      </c>
      <c r="AJ127" s="80">
        <v>2</v>
      </c>
      <c r="AK127" s="80">
        <v>29</v>
      </c>
      <c r="AL127" s="80">
        <v>1</v>
      </c>
      <c r="AM127" s="80" t="s">
        <v>1155</v>
      </c>
      <c r="AN127" s="98" t="str">
        <f>HYPERLINK("https://www.youtube.com/watch?v=L36Xv_nF2SI")</f>
        <v>https://www.youtube.com/watch?v=L36Xv_nF2SI</v>
      </c>
      <c r="AO127" s="80" t="str">
        <f>REPLACE(INDEX(GroupVertices[Group],MATCH(Vertices[[#This Row],[Vertex]],GroupVertices[Vertex],0)),1,1,"")</f>
        <v>5</v>
      </c>
      <c r="AP127" s="49">
        <v>0</v>
      </c>
      <c r="AQ127" s="50">
        <v>0</v>
      </c>
      <c r="AR127" s="49">
        <v>0</v>
      </c>
      <c r="AS127" s="50">
        <v>0</v>
      </c>
      <c r="AT127" s="49">
        <v>0</v>
      </c>
      <c r="AU127" s="50">
        <v>0</v>
      </c>
      <c r="AV127" s="49">
        <v>10</v>
      </c>
      <c r="AW127" s="50">
        <v>100</v>
      </c>
      <c r="AX127" s="49">
        <v>10</v>
      </c>
      <c r="AY127" s="49"/>
      <c r="AZ127" s="49"/>
      <c r="BA127" s="49"/>
      <c r="BB127" s="49"/>
      <c r="BC127" s="2"/>
      <c r="BD127" s="3"/>
      <c r="BE127" s="3"/>
      <c r="BF127" s="3"/>
      <c r="BG127" s="3"/>
    </row>
    <row r="128" spans="1:59" ht="15">
      <c r="A128" s="65" t="s">
        <v>336</v>
      </c>
      <c r="B128" s="66" t="s">
        <v>1614</v>
      </c>
      <c r="C128" s="66"/>
      <c r="D128" s="67">
        <v>142.85714285714286</v>
      </c>
      <c r="E128" s="69">
        <v>56.25</v>
      </c>
      <c r="F128" s="96" t="str">
        <f>HYPERLINK("https://i.ytimg.com/vi/bb_Jimpi8HE/default.jpg")</f>
        <v>https://i.ytimg.com/vi/bb_Jimpi8HE/default.jpg</v>
      </c>
      <c r="G128" s="66"/>
      <c r="H128" s="70" t="s">
        <v>515</v>
      </c>
      <c r="I128" s="71"/>
      <c r="J128" s="71" t="s">
        <v>159</v>
      </c>
      <c r="K128" s="70" t="s">
        <v>515</v>
      </c>
      <c r="L128" s="74">
        <v>1.1943928233940233</v>
      </c>
      <c r="M128" s="75">
        <v>6615.58056640625</v>
      </c>
      <c r="N128" s="75">
        <v>5113.2890625</v>
      </c>
      <c r="O128" s="76"/>
      <c r="P128" s="77"/>
      <c r="Q128" s="77"/>
      <c r="R128" s="82"/>
      <c r="S128" s="49">
        <v>1</v>
      </c>
      <c r="T128" s="49">
        <v>0</v>
      </c>
      <c r="U128" s="50">
        <v>0</v>
      </c>
      <c r="V128" s="50">
        <v>0.001456</v>
      </c>
      <c r="W128" s="50">
        <v>0.000153</v>
      </c>
      <c r="X128" s="50">
        <v>0.391273</v>
      </c>
      <c r="Y128" s="50">
        <v>0</v>
      </c>
      <c r="Z128" s="50">
        <v>0</v>
      </c>
      <c r="AA128" s="72">
        <v>128</v>
      </c>
      <c r="AB128" s="72"/>
      <c r="AC128" s="73"/>
      <c r="AD128" s="80" t="s">
        <v>515</v>
      </c>
      <c r="AE128" s="80" t="s">
        <v>682</v>
      </c>
      <c r="AF128" s="80" t="s">
        <v>831</v>
      </c>
      <c r="AG128" s="80" t="s">
        <v>913</v>
      </c>
      <c r="AH128" s="80" t="s">
        <v>1097</v>
      </c>
      <c r="AI128" s="80">
        <v>152</v>
      </c>
      <c r="AJ128" s="80">
        <v>0</v>
      </c>
      <c r="AK128" s="80">
        <v>6</v>
      </c>
      <c r="AL128" s="80">
        <v>0</v>
      </c>
      <c r="AM128" s="80" t="s">
        <v>1155</v>
      </c>
      <c r="AN128" s="98" t="str">
        <f>HYPERLINK("https://www.youtube.com/watch?v=bb_Jimpi8HE")</f>
        <v>https://www.youtube.com/watch?v=bb_Jimpi8HE</v>
      </c>
      <c r="AO128" s="80" t="str">
        <f>REPLACE(INDEX(GroupVertices[Group],MATCH(Vertices[[#This Row],[Vertex]],GroupVertices[Vertex],0)),1,1,"")</f>
        <v>5</v>
      </c>
      <c r="AP128" s="49">
        <v>0</v>
      </c>
      <c r="AQ128" s="50">
        <v>0</v>
      </c>
      <c r="AR128" s="49">
        <v>0</v>
      </c>
      <c r="AS128" s="50">
        <v>0</v>
      </c>
      <c r="AT128" s="49">
        <v>0</v>
      </c>
      <c r="AU128" s="50">
        <v>0</v>
      </c>
      <c r="AV128" s="49">
        <v>8</v>
      </c>
      <c r="AW128" s="50">
        <v>100</v>
      </c>
      <c r="AX128" s="49">
        <v>8</v>
      </c>
      <c r="AY128" s="49"/>
      <c r="AZ128" s="49"/>
      <c r="BA128" s="49"/>
      <c r="BB128" s="49"/>
      <c r="BC128" s="2"/>
      <c r="BD128" s="3"/>
      <c r="BE128" s="3"/>
      <c r="BF128" s="3"/>
      <c r="BG128" s="3"/>
    </row>
    <row r="129" spans="1:59" ht="15">
      <c r="A129" s="65" t="s">
        <v>337</v>
      </c>
      <c r="B129" s="66" t="s">
        <v>1614</v>
      </c>
      <c r="C129" s="66"/>
      <c r="D129" s="67">
        <v>142.85714285714286</v>
      </c>
      <c r="E129" s="69">
        <v>56.25</v>
      </c>
      <c r="F129" s="96" t="str">
        <f>HYPERLINK("https://i.ytimg.com/vi/5L8oGi6sPy4/default.jpg")</f>
        <v>https://i.ytimg.com/vi/5L8oGi6sPy4/default.jpg</v>
      </c>
      <c r="G129" s="66"/>
      <c r="H129" s="70" t="s">
        <v>516</v>
      </c>
      <c r="I129" s="71"/>
      <c r="J129" s="71" t="s">
        <v>159</v>
      </c>
      <c r="K129" s="70" t="s">
        <v>516</v>
      </c>
      <c r="L129" s="74">
        <v>23.508642708781647</v>
      </c>
      <c r="M129" s="75">
        <v>6615.58056640625</v>
      </c>
      <c r="N129" s="75">
        <v>2848.34228515625</v>
      </c>
      <c r="O129" s="76"/>
      <c r="P129" s="77"/>
      <c r="Q129" s="77"/>
      <c r="R129" s="82"/>
      <c r="S129" s="49">
        <v>1</v>
      </c>
      <c r="T129" s="49">
        <v>0</v>
      </c>
      <c r="U129" s="50">
        <v>0</v>
      </c>
      <c r="V129" s="50">
        <v>0.001456</v>
      </c>
      <c r="W129" s="50">
        <v>0.000153</v>
      </c>
      <c r="X129" s="50">
        <v>0.391273</v>
      </c>
      <c r="Y129" s="50">
        <v>0</v>
      </c>
      <c r="Z129" s="50">
        <v>0</v>
      </c>
      <c r="AA129" s="72">
        <v>129</v>
      </c>
      <c r="AB129" s="72"/>
      <c r="AC129" s="73"/>
      <c r="AD129" s="80" t="s">
        <v>516</v>
      </c>
      <c r="AE129" s="80"/>
      <c r="AF129" s="80" t="s">
        <v>832</v>
      </c>
      <c r="AG129" s="80" t="s">
        <v>913</v>
      </c>
      <c r="AH129" s="80" t="s">
        <v>1098</v>
      </c>
      <c r="AI129" s="80">
        <v>15419</v>
      </c>
      <c r="AJ129" s="80">
        <v>5</v>
      </c>
      <c r="AK129" s="80">
        <v>74</v>
      </c>
      <c r="AL129" s="80">
        <v>6</v>
      </c>
      <c r="AM129" s="80" t="s">
        <v>1155</v>
      </c>
      <c r="AN129" s="98" t="str">
        <f>HYPERLINK("https://www.youtube.com/watch?v=5L8oGi6sPy4")</f>
        <v>https://www.youtube.com/watch?v=5L8oGi6sPy4</v>
      </c>
      <c r="AO129" s="80" t="str">
        <f>REPLACE(INDEX(GroupVertices[Group],MATCH(Vertices[[#This Row],[Vertex]],GroupVertices[Vertex],0)),1,1,"")</f>
        <v>5</v>
      </c>
      <c r="AP129" s="49">
        <v>0</v>
      </c>
      <c r="AQ129" s="50">
        <v>0</v>
      </c>
      <c r="AR129" s="49">
        <v>0</v>
      </c>
      <c r="AS129" s="50">
        <v>0</v>
      </c>
      <c r="AT129" s="49">
        <v>0</v>
      </c>
      <c r="AU129" s="50">
        <v>0</v>
      </c>
      <c r="AV129" s="49">
        <v>3</v>
      </c>
      <c r="AW129" s="50">
        <v>100</v>
      </c>
      <c r="AX129" s="49">
        <v>3</v>
      </c>
      <c r="AY129" s="49"/>
      <c r="AZ129" s="49"/>
      <c r="BA129" s="49"/>
      <c r="BB129" s="49"/>
      <c r="BC129" s="2"/>
      <c r="BD129" s="3"/>
      <c r="BE129" s="3"/>
      <c r="BF129" s="3"/>
      <c r="BG129" s="3"/>
    </row>
    <row r="130" spans="1:59" ht="15">
      <c r="A130" s="65" t="s">
        <v>218</v>
      </c>
      <c r="B130" s="66" t="s">
        <v>1618</v>
      </c>
      <c r="C130" s="66"/>
      <c r="D130" s="67">
        <v>400</v>
      </c>
      <c r="E130" s="69">
        <v>93.75</v>
      </c>
      <c r="F130" s="96" t="str">
        <f>HYPERLINK("https://i.ytimg.com/vi/HJ4Hcq3YX4k/default.jpg")</f>
        <v>https://i.ytimg.com/vi/HJ4Hcq3YX4k/default.jpg</v>
      </c>
      <c r="G130" s="66"/>
      <c r="H130" s="70" t="s">
        <v>517</v>
      </c>
      <c r="I130" s="71"/>
      <c r="J130" s="71" t="s">
        <v>75</v>
      </c>
      <c r="K130" s="70" t="s">
        <v>517</v>
      </c>
      <c r="L130" s="74">
        <v>159.7151631004285</v>
      </c>
      <c r="M130" s="75">
        <v>2850.033447265625</v>
      </c>
      <c r="N130" s="75">
        <v>541.8533325195312</v>
      </c>
      <c r="O130" s="76"/>
      <c r="P130" s="77"/>
      <c r="Q130" s="77"/>
      <c r="R130" s="82"/>
      <c r="S130" s="49">
        <v>7</v>
      </c>
      <c r="T130" s="49">
        <v>14</v>
      </c>
      <c r="U130" s="50">
        <v>985.189601</v>
      </c>
      <c r="V130" s="50">
        <v>0.002033</v>
      </c>
      <c r="W130" s="50">
        <v>0.007341</v>
      </c>
      <c r="X130" s="50">
        <v>2.403972</v>
      </c>
      <c r="Y130" s="50">
        <v>0.24583333333333332</v>
      </c>
      <c r="Z130" s="50">
        <v>0.3125</v>
      </c>
      <c r="AA130" s="72">
        <v>130</v>
      </c>
      <c r="AB130" s="72"/>
      <c r="AC130" s="73"/>
      <c r="AD130" s="80" t="s">
        <v>517</v>
      </c>
      <c r="AE130" s="80" t="s">
        <v>683</v>
      </c>
      <c r="AF130" s="80" t="s">
        <v>833</v>
      </c>
      <c r="AG130" s="80" t="s">
        <v>894</v>
      </c>
      <c r="AH130" s="80" t="s">
        <v>1099</v>
      </c>
      <c r="AI130" s="80">
        <v>108609</v>
      </c>
      <c r="AJ130" s="80">
        <v>52</v>
      </c>
      <c r="AK130" s="80">
        <v>872</v>
      </c>
      <c r="AL130" s="80">
        <v>11</v>
      </c>
      <c r="AM130" s="80" t="s">
        <v>1155</v>
      </c>
      <c r="AN130" s="98" t="str">
        <f>HYPERLINK("https://www.youtube.com/watch?v=HJ4Hcq3YX4k")</f>
        <v>https://www.youtube.com/watch?v=HJ4Hcq3YX4k</v>
      </c>
      <c r="AO130" s="80" t="str">
        <f>REPLACE(INDEX(GroupVertices[Group],MATCH(Vertices[[#This Row],[Vertex]],GroupVertices[Vertex],0)),1,1,"")</f>
        <v>2</v>
      </c>
      <c r="AP130" s="49">
        <v>0</v>
      </c>
      <c r="AQ130" s="50">
        <v>0</v>
      </c>
      <c r="AR130" s="49">
        <v>0</v>
      </c>
      <c r="AS130" s="50">
        <v>0</v>
      </c>
      <c r="AT130" s="49">
        <v>0</v>
      </c>
      <c r="AU130" s="50">
        <v>0</v>
      </c>
      <c r="AV130" s="49">
        <v>6</v>
      </c>
      <c r="AW130" s="50">
        <v>100</v>
      </c>
      <c r="AX130" s="49">
        <v>6</v>
      </c>
      <c r="AY130" s="111" t="s">
        <v>1608</v>
      </c>
      <c r="AZ130" s="111" t="s">
        <v>1608</v>
      </c>
      <c r="BA130" s="111" t="s">
        <v>1608</v>
      </c>
      <c r="BB130" s="111" t="s">
        <v>1608</v>
      </c>
      <c r="BC130" s="2"/>
      <c r="BD130" s="3"/>
      <c r="BE130" s="3"/>
      <c r="BF130" s="3"/>
      <c r="BG130" s="3"/>
    </row>
    <row r="131" spans="1:59" ht="15">
      <c r="A131" s="65" t="s">
        <v>338</v>
      </c>
      <c r="B131" s="66" t="s">
        <v>1614</v>
      </c>
      <c r="C131" s="66"/>
      <c r="D131" s="67">
        <v>142.85714285714286</v>
      </c>
      <c r="E131" s="69">
        <v>56.25</v>
      </c>
      <c r="F131" s="96" t="str">
        <f>HYPERLINK("https://i.ytimg.com/vi/WNe6U7yl8Z4/default.jpg")</f>
        <v>https://i.ytimg.com/vi/WNe6U7yl8Z4/default.jpg</v>
      </c>
      <c r="G131" s="66"/>
      <c r="H131" s="70" t="s">
        <v>518</v>
      </c>
      <c r="I131" s="71"/>
      <c r="J131" s="71" t="s">
        <v>159</v>
      </c>
      <c r="K131" s="70" t="s">
        <v>518</v>
      </c>
      <c r="L131" s="74">
        <v>2.7013026047416777</v>
      </c>
      <c r="M131" s="75">
        <v>3459.786376953125</v>
      </c>
      <c r="N131" s="75">
        <v>3720.72607421875</v>
      </c>
      <c r="O131" s="76"/>
      <c r="P131" s="77"/>
      <c r="Q131" s="77"/>
      <c r="R131" s="82"/>
      <c r="S131" s="49">
        <v>1</v>
      </c>
      <c r="T131" s="49">
        <v>0</v>
      </c>
      <c r="U131" s="50">
        <v>0</v>
      </c>
      <c r="V131" s="50">
        <v>0.001488</v>
      </c>
      <c r="W131" s="50">
        <v>0.00032</v>
      </c>
      <c r="X131" s="50">
        <v>0.277711</v>
      </c>
      <c r="Y131" s="50">
        <v>0</v>
      </c>
      <c r="Z131" s="50">
        <v>0</v>
      </c>
      <c r="AA131" s="72">
        <v>131</v>
      </c>
      <c r="AB131" s="72"/>
      <c r="AC131" s="73"/>
      <c r="AD131" s="80" t="s">
        <v>518</v>
      </c>
      <c r="AE131" s="80" t="s">
        <v>684</v>
      </c>
      <c r="AF131" s="80" t="s">
        <v>834</v>
      </c>
      <c r="AG131" s="80" t="s">
        <v>952</v>
      </c>
      <c r="AH131" s="80" t="s">
        <v>1100</v>
      </c>
      <c r="AI131" s="80">
        <v>1183</v>
      </c>
      <c r="AJ131" s="80">
        <v>2</v>
      </c>
      <c r="AK131" s="80">
        <v>11</v>
      </c>
      <c r="AL131" s="80">
        <v>0</v>
      </c>
      <c r="AM131" s="80" t="s">
        <v>1155</v>
      </c>
      <c r="AN131" s="98" t="str">
        <f>HYPERLINK("https://www.youtube.com/watch?v=WNe6U7yl8Z4")</f>
        <v>https://www.youtube.com/watch?v=WNe6U7yl8Z4</v>
      </c>
      <c r="AO131" s="80" t="str">
        <f>REPLACE(INDEX(GroupVertices[Group],MATCH(Vertices[[#This Row],[Vertex]],GroupVertices[Vertex],0)),1,1,"")</f>
        <v>2</v>
      </c>
      <c r="AP131" s="49">
        <v>1</v>
      </c>
      <c r="AQ131" s="50">
        <v>33.333333333333336</v>
      </c>
      <c r="AR131" s="49">
        <v>0</v>
      </c>
      <c r="AS131" s="50">
        <v>0</v>
      </c>
      <c r="AT131" s="49">
        <v>0</v>
      </c>
      <c r="AU131" s="50">
        <v>0</v>
      </c>
      <c r="AV131" s="49">
        <v>2</v>
      </c>
      <c r="AW131" s="50">
        <v>66.66666666666667</v>
      </c>
      <c r="AX131" s="49">
        <v>3</v>
      </c>
      <c r="AY131" s="49"/>
      <c r="AZ131" s="49"/>
      <c r="BA131" s="49"/>
      <c r="BB131" s="49"/>
      <c r="BC131" s="2"/>
      <c r="BD131" s="3"/>
      <c r="BE131" s="3"/>
      <c r="BF131" s="3"/>
      <c r="BG131" s="3"/>
    </row>
    <row r="132" spans="1:59" ht="15">
      <c r="A132" s="65" t="s">
        <v>339</v>
      </c>
      <c r="B132" s="66" t="s">
        <v>1614</v>
      </c>
      <c r="C132" s="66"/>
      <c r="D132" s="67">
        <v>185.71428571428572</v>
      </c>
      <c r="E132" s="69">
        <v>62.5</v>
      </c>
      <c r="F132" s="96" t="str">
        <f>HYPERLINK("https://i.ytimg.com/vi/UrrWA_t1rjc/default.jpg")</f>
        <v>https://i.ytimg.com/vi/UrrWA_t1rjc/default.jpg</v>
      </c>
      <c r="G132" s="66"/>
      <c r="H132" s="70" t="s">
        <v>519</v>
      </c>
      <c r="I132" s="71"/>
      <c r="J132" s="71" t="s">
        <v>159</v>
      </c>
      <c r="K132" s="70" t="s">
        <v>519</v>
      </c>
      <c r="L132" s="74">
        <v>53.602990330457885</v>
      </c>
      <c r="M132" s="75">
        <v>4679.29150390625</v>
      </c>
      <c r="N132" s="75">
        <v>1336.571533203125</v>
      </c>
      <c r="O132" s="76"/>
      <c r="P132" s="77"/>
      <c r="Q132" s="77"/>
      <c r="R132" s="82"/>
      <c r="S132" s="49">
        <v>2</v>
      </c>
      <c r="T132" s="49">
        <v>0</v>
      </c>
      <c r="U132" s="50">
        <v>0</v>
      </c>
      <c r="V132" s="50">
        <v>0.001565</v>
      </c>
      <c r="W132" s="50">
        <v>0.000809</v>
      </c>
      <c r="X132" s="50">
        <v>0.399956</v>
      </c>
      <c r="Y132" s="50">
        <v>0.5</v>
      </c>
      <c r="Z132" s="50">
        <v>0</v>
      </c>
      <c r="AA132" s="72">
        <v>132</v>
      </c>
      <c r="AB132" s="72"/>
      <c r="AC132" s="73"/>
      <c r="AD132" s="80" t="s">
        <v>519</v>
      </c>
      <c r="AE132" s="80" t="s">
        <v>685</v>
      </c>
      <c r="AF132" s="80" t="s">
        <v>835</v>
      </c>
      <c r="AG132" s="80" t="s">
        <v>894</v>
      </c>
      <c r="AH132" s="80" t="s">
        <v>1101</v>
      </c>
      <c r="AI132" s="80">
        <v>36009</v>
      </c>
      <c r="AJ132" s="80">
        <v>10</v>
      </c>
      <c r="AK132" s="80">
        <v>189</v>
      </c>
      <c r="AL132" s="80">
        <v>4</v>
      </c>
      <c r="AM132" s="80" t="s">
        <v>1155</v>
      </c>
      <c r="AN132" s="98" t="str">
        <f>HYPERLINK("https://www.youtube.com/watch?v=UrrWA_t1rjc")</f>
        <v>https://www.youtube.com/watch?v=UrrWA_t1rjc</v>
      </c>
      <c r="AO132" s="80" t="str">
        <f>REPLACE(INDEX(GroupVertices[Group],MATCH(Vertices[[#This Row],[Vertex]],GroupVertices[Vertex],0)),1,1,"")</f>
        <v>2</v>
      </c>
      <c r="AP132" s="49">
        <v>0</v>
      </c>
      <c r="AQ132" s="50">
        <v>0</v>
      </c>
      <c r="AR132" s="49">
        <v>0</v>
      </c>
      <c r="AS132" s="50">
        <v>0</v>
      </c>
      <c r="AT132" s="49">
        <v>0</v>
      </c>
      <c r="AU132" s="50">
        <v>0</v>
      </c>
      <c r="AV132" s="49">
        <v>4</v>
      </c>
      <c r="AW132" s="50">
        <v>100</v>
      </c>
      <c r="AX132" s="49">
        <v>4</v>
      </c>
      <c r="AY132" s="49"/>
      <c r="AZ132" s="49"/>
      <c r="BA132" s="49"/>
      <c r="BB132" s="49"/>
      <c r="BC132" s="2"/>
      <c r="BD132" s="3"/>
      <c r="BE132" s="3"/>
      <c r="BF132" s="3"/>
      <c r="BG132" s="3"/>
    </row>
    <row r="133" spans="1:59" ht="15">
      <c r="A133" s="65" t="s">
        <v>340</v>
      </c>
      <c r="B133" s="66" t="s">
        <v>1614</v>
      </c>
      <c r="C133" s="66"/>
      <c r="D133" s="67">
        <v>228.57142857142858</v>
      </c>
      <c r="E133" s="69">
        <v>68.75</v>
      </c>
      <c r="F133" s="96" t="str">
        <f>HYPERLINK("https://i.ytimg.com/vi/dSx5_PjaWVE/default.jpg")</f>
        <v>https://i.ytimg.com/vi/dSx5_PjaWVE/default.jpg</v>
      </c>
      <c r="G133" s="66"/>
      <c r="H133" s="70" t="s">
        <v>520</v>
      </c>
      <c r="I133" s="71"/>
      <c r="J133" s="71" t="s">
        <v>159</v>
      </c>
      <c r="K133" s="70" t="s">
        <v>520</v>
      </c>
      <c r="L133" s="74">
        <v>23.583184317752288</v>
      </c>
      <c r="M133" s="75">
        <v>4679.29150390625</v>
      </c>
      <c r="N133" s="75">
        <v>2131.289794921875</v>
      </c>
      <c r="O133" s="76"/>
      <c r="P133" s="77"/>
      <c r="Q133" s="77"/>
      <c r="R133" s="82"/>
      <c r="S133" s="49">
        <v>3</v>
      </c>
      <c r="T133" s="49">
        <v>0</v>
      </c>
      <c r="U133" s="50">
        <v>0</v>
      </c>
      <c r="V133" s="50">
        <v>0.001595</v>
      </c>
      <c r="W133" s="50">
        <v>0.001309</v>
      </c>
      <c r="X133" s="50">
        <v>0.520441</v>
      </c>
      <c r="Y133" s="50">
        <v>1</v>
      </c>
      <c r="Z133" s="50">
        <v>0</v>
      </c>
      <c r="AA133" s="72">
        <v>133</v>
      </c>
      <c r="AB133" s="72"/>
      <c r="AC133" s="73"/>
      <c r="AD133" s="80" t="s">
        <v>520</v>
      </c>
      <c r="AE133" s="80" t="s">
        <v>686</v>
      </c>
      <c r="AF133" s="80" t="s">
        <v>836</v>
      </c>
      <c r="AG133" s="80" t="s">
        <v>953</v>
      </c>
      <c r="AH133" s="80" t="s">
        <v>1102</v>
      </c>
      <c r="AI133" s="80">
        <v>15470</v>
      </c>
      <c r="AJ133" s="80">
        <v>4</v>
      </c>
      <c r="AK133" s="80">
        <v>87</v>
      </c>
      <c r="AL133" s="80">
        <v>1</v>
      </c>
      <c r="AM133" s="80" t="s">
        <v>1155</v>
      </c>
      <c r="AN133" s="98" t="str">
        <f>HYPERLINK("https://www.youtube.com/watch?v=dSx5_PjaWVE")</f>
        <v>https://www.youtube.com/watch?v=dSx5_PjaWVE</v>
      </c>
      <c r="AO133" s="80" t="str">
        <f>REPLACE(INDEX(GroupVertices[Group],MATCH(Vertices[[#This Row],[Vertex]],GroupVertices[Vertex],0)),1,1,"")</f>
        <v>2</v>
      </c>
      <c r="AP133" s="49">
        <v>0</v>
      </c>
      <c r="AQ133" s="50">
        <v>0</v>
      </c>
      <c r="AR133" s="49">
        <v>0</v>
      </c>
      <c r="AS133" s="50">
        <v>0</v>
      </c>
      <c r="AT133" s="49">
        <v>0</v>
      </c>
      <c r="AU133" s="50">
        <v>0</v>
      </c>
      <c r="AV133" s="49">
        <v>15</v>
      </c>
      <c r="AW133" s="50">
        <v>100</v>
      </c>
      <c r="AX133" s="49">
        <v>15</v>
      </c>
      <c r="AY133" s="49"/>
      <c r="AZ133" s="49"/>
      <c r="BA133" s="49"/>
      <c r="BB133" s="49"/>
      <c r="BC133" s="2"/>
      <c r="BD133" s="3"/>
      <c r="BE133" s="3"/>
      <c r="BF133" s="3"/>
      <c r="BG133" s="3"/>
    </row>
    <row r="134" spans="1:59" ht="15">
      <c r="A134" s="65" t="s">
        <v>341</v>
      </c>
      <c r="B134" s="66" t="s">
        <v>1614</v>
      </c>
      <c r="C134" s="66"/>
      <c r="D134" s="67">
        <v>142.85714285714286</v>
      </c>
      <c r="E134" s="69">
        <v>56.25</v>
      </c>
      <c r="F134" s="96" t="str">
        <f>HYPERLINK("https://i.ytimg.com/vi/nznUgnrPvTM/default.jpg")</f>
        <v>https://i.ytimg.com/vi/nznUgnrPvTM/default.jpg</v>
      </c>
      <c r="G134" s="66"/>
      <c r="H134" s="70" t="s">
        <v>521</v>
      </c>
      <c r="I134" s="71"/>
      <c r="J134" s="71" t="s">
        <v>159</v>
      </c>
      <c r="K134" s="70" t="s">
        <v>521</v>
      </c>
      <c r="L134" s="74">
        <v>16.203565029658876</v>
      </c>
      <c r="M134" s="75">
        <v>1020.7754516601562</v>
      </c>
      <c r="N134" s="75">
        <v>2131.289794921875</v>
      </c>
      <c r="O134" s="76"/>
      <c r="P134" s="77"/>
      <c r="Q134" s="77"/>
      <c r="R134" s="82"/>
      <c r="S134" s="49">
        <v>1</v>
      </c>
      <c r="T134" s="49">
        <v>0</v>
      </c>
      <c r="U134" s="50">
        <v>0</v>
      </c>
      <c r="V134" s="50">
        <v>0.001488</v>
      </c>
      <c r="W134" s="50">
        <v>0.00032</v>
      </c>
      <c r="X134" s="50">
        <v>0.277711</v>
      </c>
      <c r="Y134" s="50">
        <v>0</v>
      </c>
      <c r="Z134" s="50">
        <v>0</v>
      </c>
      <c r="AA134" s="72">
        <v>134</v>
      </c>
      <c r="AB134" s="72"/>
      <c r="AC134" s="73"/>
      <c r="AD134" s="80" t="s">
        <v>521</v>
      </c>
      <c r="AE134" s="80" t="s">
        <v>687</v>
      </c>
      <c r="AF134" s="80" t="s">
        <v>837</v>
      </c>
      <c r="AG134" s="80" t="s">
        <v>894</v>
      </c>
      <c r="AH134" s="80" t="s">
        <v>1103</v>
      </c>
      <c r="AI134" s="80">
        <v>10421</v>
      </c>
      <c r="AJ134" s="80">
        <v>2</v>
      </c>
      <c r="AK134" s="80">
        <v>82</v>
      </c>
      <c r="AL134" s="80">
        <v>2</v>
      </c>
      <c r="AM134" s="80" t="s">
        <v>1155</v>
      </c>
      <c r="AN134" s="98" t="str">
        <f>HYPERLINK("https://www.youtube.com/watch?v=nznUgnrPvTM")</f>
        <v>https://www.youtube.com/watch?v=nznUgnrPvTM</v>
      </c>
      <c r="AO134" s="80" t="str">
        <f>REPLACE(INDEX(GroupVertices[Group],MATCH(Vertices[[#This Row],[Vertex]],GroupVertices[Vertex],0)),1,1,"")</f>
        <v>2</v>
      </c>
      <c r="AP134" s="49">
        <v>0</v>
      </c>
      <c r="AQ134" s="50">
        <v>0</v>
      </c>
      <c r="AR134" s="49">
        <v>0</v>
      </c>
      <c r="AS134" s="50">
        <v>0</v>
      </c>
      <c r="AT134" s="49">
        <v>0</v>
      </c>
      <c r="AU134" s="50">
        <v>0</v>
      </c>
      <c r="AV134" s="49">
        <v>4</v>
      </c>
      <c r="AW134" s="50">
        <v>100</v>
      </c>
      <c r="AX134" s="49">
        <v>4</v>
      </c>
      <c r="AY134" s="49"/>
      <c r="AZ134" s="49"/>
      <c r="BA134" s="49"/>
      <c r="BB134" s="49"/>
      <c r="BC134" s="2"/>
      <c r="BD134" s="3"/>
      <c r="BE134" s="3"/>
      <c r="BF134" s="3"/>
      <c r="BG134" s="3"/>
    </row>
    <row r="135" spans="1:59" ht="15">
      <c r="A135" s="65" t="s">
        <v>219</v>
      </c>
      <c r="B135" s="66" t="s">
        <v>1622</v>
      </c>
      <c r="C135" s="66"/>
      <c r="D135" s="67">
        <v>614.2857142857143</v>
      </c>
      <c r="E135" s="69">
        <v>100</v>
      </c>
      <c r="F135" s="96" t="str">
        <f>HYPERLINK("https://i.ytimg.com/vi/BRAb8AzW3-E/default.jpg")</f>
        <v>https://i.ytimg.com/vi/BRAb8AzW3-E/default.jpg</v>
      </c>
      <c r="G135" s="66"/>
      <c r="H135" s="70" t="s">
        <v>522</v>
      </c>
      <c r="I135" s="71"/>
      <c r="J135" s="71" t="s">
        <v>75</v>
      </c>
      <c r="K135" s="70" t="s">
        <v>522</v>
      </c>
      <c r="L135" s="74">
        <v>15.301757721131715</v>
      </c>
      <c r="M135" s="75">
        <v>4679.29150390625</v>
      </c>
      <c r="N135" s="75">
        <v>6259.69580078125</v>
      </c>
      <c r="O135" s="76"/>
      <c r="P135" s="77"/>
      <c r="Q135" s="77"/>
      <c r="R135" s="82"/>
      <c r="S135" s="49">
        <v>12</v>
      </c>
      <c r="T135" s="49">
        <v>19</v>
      </c>
      <c r="U135" s="50">
        <v>1851.149385</v>
      </c>
      <c r="V135" s="50">
        <v>0.002353</v>
      </c>
      <c r="W135" s="50">
        <v>0.026198</v>
      </c>
      <c r="X135" s="50">
        <v>3.373906</v>
      </c>
      <c r="Y135" s="50">
        <v>0.3091168091168091</v>
      </c>
      <c r="Z135" s="50">
        <v>0.14814814814814814</v>
      </c>
      <c r="AA135" s="72">
        <v>135</v>
      </c>
      <c r="AB135" s="72"/>
      <c r="AC135" s="73"/>
      <c r="AD135" s="80" t="s">
        <v>522</v>
      </c>
      <c r="AE135" s="80" t="s">
        <v>688</v>
      </c>
      <c r="AF135" s="80" t="s">
        <v>838</v>
      </c>
      <c r="AG135" s="80" t="s">
        <v>954</v>
      </c>
      <c r="AH135" s="80" t="s">
        <v>1104</v>
      </c>
      <c r="AI135" s="80">
        <v>9804</v>
      </c>
      <c r="AJ135" s="80">
        <v>4</v>
      </c>
      <c r="AK135" s="80">
        <v>69</v>
      </c>
      <c r="AL135" s="80">
        <v>0</v>
      </c>
      <c r="AM135" s="80" t="s">
        <v>1155</v>
      </c>
      <c r="AN135" s="98" t="str">
        <f>HYPERLINK("https://www.youtube.com/watch?v=BRAb8AzW3-E")</f>
        <v>https://www.youtube.com/watch?v=BRAb8AzW3-E</v>
      </c>
      <c r="AO135" s="80" t="str">
        <f>REPLACE(INDEX(GroupVertices[Group],MATCH(Vertices[[#This Row],[Vertex]],GroupVertices[Vertex],0)),1,1,"")</f>
        <v>1</v>
      </c>
      <c r="AP135" s="49">
        <v>0</v>
      </c>
      <c r="AQ135" s="50">
        <v>0</v>
      </c>
      <c r="AR135" s="49">
        <v>0</v>
      </c>
      <c r="AS135" s="50">
        <v>0</v>
      </c>
      <c r="AT135" s="49">
        <v>0</v>
      </c>
      <c r="AU135" s="50">
        <v>0</v>
      </c>
      <c r="AV135" s="49">
        <v>4</v>
      </c>
      <c r="AW135" s="50">
        <v>100</v>
      </c>
      <c r="AX135" s="49">
        <v>4</v>
      </c>
      <c r="AY135" s="111" t="s">
        <v>1608</v>
      </c>
      <c r="AZ135" s="111" t="s">
        <v>1608</v>
      </c>
      <c r="BA135" s="111" t="s">
        <v>1608</v>
      </c>
      <c r="BB135" s="111" t="s">
        <v>1608</v>
      </c>
      <c r="BC135" s="2"/>
      <c r="BD135" s="3"/>
      <c r="BE135" s="3"/>
      <c r="BF135" s="3"/>
      <c r="BG135" s="3"/>
    </row>
    <row r="136" spans="1:59" ht="15">
      <c r="A136" s="65" t="s">
        <v>342</v>
      </c>
      <c r="B136" s="66" t="s">
        <v>1614</v>
      </c>
      <c r="C136" s="66"/>
      <c r="D136" s="67">
        <v>142.85714285714286</v>
      </c>
      <c r="E136" s="69">
        <v>56.25</v>
      </c>
      <c r="F136" s="96" t="str">
        <f>HYPERLINK("https://i.ytimg.com/vi/eLu2RxENv6o/default.jpg")</f>
        <v>https://i.ytimg.com/vi/eLu2RxENv6o/default.jpg</v>
      </c>
      <c r="G136" s="66"/>
      <c r="H136" s="70" t="s">
        <v>523</v>
      </c>
      <c r="I136" s="71"/>
      <c r="J136" s="71" t="s">
        <v>159</v>
      </c>
      <c r="K136" s="70" t="s">
        <v>523</v>
      </c>
      <c r="L136" s="74">
        <v>34.678191252970564</v>
      </c>
      <c r="M136" s="75">
        <v>4069.538818359375</v>
      </c>
      <c r="N136" s="75">
        <v>5460.84912109375</v>
      </c>
      <c r="O136" s="76"/>
      <c r="P136" s="77"/>
      <c r="Q136" s="77"/>
      <c r="R136" s="82"/>
      <c r="S136" s="49">
        <v>1</v>
      </c>
      <c r="T136" s="49">
        <v>0</v>
      </c>
      <c r="U136" s="50">
        <v>0</v>
      </c>
      <c r="V136" s="50">
        <v>0.001653</v>
      </c>
      <c r="W136" s="50">
        <v>0.001141</v>
      </c>
      <c r="X136" s="50">
        <v>0.256215</v>
      </c>
      <c r="Y136" s="50">
        <v>0</v>
      </c>
      <c r="Z136" s="50">
        <v>0</v>
      </c>
      <c r="AA136" s="72">
        <v>136</v>
      </c>
      <c r="AB136" s="72"/>
      <c r="AC136" s="73"/>
      <c r="AD136" s="80" t="s">
        <v>523</v>
      </c>
      <c r="AE136" s="80" t="s">
        <v>689</v>
      </c>
      <c r="AF136" s="80" t="s">
        <v>839</v>
      </c>
      <c r="AG136" s="80" t="s">
        <v>954</v>
      </c>
      <c r="AH136" s="80" t="s">
        <v>1105</v>
      </c>
      <c r="AI136" s="80">
        <v>23061</v>
      </c>
      <c r="AJ136" s="80">
        <v>6</v>
      </c>
      <c r="AK136" s="80">
        <v>44</v>
      </c>
      <c r="AL136" s="80">
        <v>5</v>
      </c>
      <c r="AM136" s="80" t="s">
        <v>1155</v>
      </c>
      <c r="AN136" s="98" t="str">
        <f>HYPERLINK("https://www.youtube.com/watch?v=eLu2RxENv6o")</f>
        <v>https://www.youtube.com/watch?v=eLu2RxENv6o</v>
      </c>
      <c r="AO136" s="80" t="str">
        <f>REPLACE(INDEX(GroupVertices[Group],MATCH(Vertices[[#This Row],[Vertex]],GroupVertices[Vertex],0)),1,1,"")</f>
        <v>1</v>
      </c>
      <c r="AP136" s="49">
        <v>0</v>
      </c>
      <c r="AQ136" s="50">
        <v>0</v>
      </c>
      <c r="AR136" s="49">
        <v>0</v>
      </c>
      <c r="AS136" s="50">
        <v>0</v>
      </c>
      <c r="AT136" s="49">
        <v>0</v>
      </c>
      <c r="AU136" s="50">
        <v>0</v>
      </c>
      <c r="AV136" s="49">
        <v>3</v>
      </c>
      <c r="AW136" s="50">
        <v>100</v>
      </c>
      <c r="AX136" s="49">
        <v>3</v>
      </c>
      <c r="AY136" s="49"/>
      <c r="AZ136" s="49"/>
      <c r="BA136" s="49"/>
      <c r="BB136" s="49"/>
      <c r="BC136" s="2"/>
      <c r="BD136" s="3"/>
      <c r="BE136" s="3"/>
      <c r="BF136" s="3"/>
      <c r="BG136" s="3"/>
    </row>
    <row r="137" spans="1:59" ht="15">
      <c r="A137" s="65" t="s">
        <v>343</v>
      </c>
      <c r="B137" s="66" t="s">
        <v>1614</v>
      </c>
      <c r="C137" s="66"/>
      <c r="D137" s="67">
        <v>228.57142857142858</v>
      </c>
      <c r="E137" s="69">
        <v>68.75</v>
      </c>
      <c r="F137" s="96" t="str">
        <f>HYPERLINK("https://i.ytimg.com/vi/HQfzwFCKtF8/default.jpg")</f>
        <v>https://i.ytimg.com/vi/HQfzwFCKtF8/default.jpg</v>
      </c>
      <c r="G137" s="66"/>
      <c r="H137" s="70" t="s">
        <v>524</v>
      </c>
      <c r="I137" s="71"/>
      <c r="J137" s="71" t="s">
        <v>159</v>
      </c>
      <c r="K137" s="70" t="s">
        <v>524</v>
      </c>
      <c r="L137" s="74">
        <v>1.5130216617391141</v>
      </c>
      <c r="M137" s="75">
        <v>3459.786376953125</v>
      </c>
      <c r="N137" s="75">
        <v>8656.2353515625</v>
      </c>
      <c r="O137" s="76"/>
      <c r="P137" s="77"/>
      <c r="Q137" s="77"/>
      <c r="R137" s="82"/>
      <c r="S137" s="49">
        <v>3</v>
      </c>
      <c r="T137" s="49">
        <v>0</v>
      </c>
      <c r="U137" s="50">
        <v>0</v>
      </c>
      <c r="V137" s="50">
        <v>0.001733</v>
      </c>
      <c r="W137" s="50">
        <v>0.00273</v>
      </c>
      <c r="X137" s="50">
        <v>0.526306</v>
      </c>
      <c r="Y137" s="50">
        <v>1</v>
      </c>
      <c r="Z137" s="50">
        <v>0</v>
      </c>
      <c r="AA137" s="72">
        <v>137</v>
      </c>
      <c r="AB137" s="72"/>
      <c r="AC137" s="73"/>
      <c r="AD137" s="80" t="s">
        <v>524</v>
      </c>
      <c r="AE137" s="80" t="s">
        <v>524</v>
      </c>
      <c r="AF137" s="80" t="s">
        <v>753</v>
      </c>
      <c r="AG137" s="80" t="s">
        <v>897</v>
      </c>
      <c r="AH137" s="80" t="s">
        <v>1106</v>
      </c>
      <c r="AI137" s="80">
        <v>370</v>
      </c>
      <c r="AJ137" s="80">
        <v>0</v>
      </c>
      <c r="AK137" s="80">
        <v>8</v>
      </c>
      <c r="AL137" s="80">
        <v>0</v>
      </c>
      <c r="AM137" s="80" t="s">
        <v>1155</v>
      </c>
      <c r="AN137" s="98" t="str">
        <f>HYPERLINK("https://www.youtube.com/watch?v=HQfzwFCKtF8")</f>
        <v>https://www.youtube.com/watch?v=HQfzwFCKtF8</v>
      </c>
      <c r="AO137" s="80" t="str">
        <f>REPLACE(INDEX(GroupVertices[Group],MATCH(Vertices[[#This Row],[Vertex]],GroupVertices[Vertex],0)),1,1,"")</f>
        <v>1</v>
      </c>
      <c r="AP137" s="49">
        <v>0</v>
      </c>
      <c r="AQ137" s="50">
        <v>0</v>
      </c>
      <c r="AR137" s="49">
        <v>0</v>
      </c>
      <c r="AS137" s="50">
        <v>0</v>
      </c>
      <c r="AT137" s="49">
        <v>0</v>
      </c>
      <c r="AU137" s="50">
        <v>0</v>
      </c>
      <c r="AV137" s="49">
        <v>6</v>
      </c>
      <c r="AW137" s="50">
        <v>100</v>
      </c>
      <c r="AX137" s="49">
        <v>6</v>
      </c>
      <c r="AY137" s="49"/>
      <c r="AZ137" s="49"/>
      <c r="BA137" s="49"/>
      <c r="BB137" s="49"/>
      <c r="BC137" s="2"/>
      <c r="BD137" s="3"/>
      <c r="BE137" s="3"/>
      <c r="BF137" s="3"/>
      <c r="BG137" s="3"/>
    </row>
    <row r="138" spans="1:59" ht="15">
      <c r="A138" s="65" t="s">
        <v>344</v>
      </c>
      <c r="B138" s="66" t="s">
        <v>1614</v>
      </c>
      <c r="C138" s="66"/>
      <c r="D138" s="67">
        <v>185.71428571428572</v>
      </c>
      <c r="E138" s="69">
        <v>62.5</v>
      </c>
      <c r="F138" s="96" t="str">
        <f>HYPERLINK("https://i.ytimg.com/vi/8JXMw2GUiv8/default.jpg")</f>
        <v>https://i.ytimg.com/vi/8JXMw2GUiv8/default.jpg</v>
      </c>
      <c r="G138" s="66"/>
      <c r="H138" s="70" t="s">
        <v>525</v>
      </c>
      <c r="I138" s="71"/>
      <c r="J138" s="71" t="s">
        <v>159</v>
      </c>
      <c r="K138" s="70" t="s">
        <v>525</v>
      </c>
      <c r="L138" s="74">
        <v>2.543449785745027</v>
      </c>
      <c r="M138" s="75">
        <v>2240.28076171875</v>
      </c>
      <c r="N138" s="75">
        <v>7857.3896484375</v>
      </c>
      <c r="O138" s="76"/>
      <c r="P138" s="77"/>
      <c r="Q138" s="77"/>
      <c r="R138" s="82"/>
      <c r="S138" s="49">
        <v>2</v>
      </c>
      <c r="T138" s="49">
        <v>0</v>
      </c>
      <c r="U138" s="50">
        <v>0</v>
      </c>
      <c r="V138" s="50">
        <v>0.001692</v>
      </c>
      <c r="W138" s="50">
        <v>0.001498</v>
      </c>
      <c r="X138" s="50">
        <v>0.416348</v>
      </c>
      <c r="Y138" s="50">
        <v>1</v>
      </c>
      <c r="Z138" s="50">
        <v>0</v>
      </c>
      <c r="AA138" s="72">
        <v>138</v>
      </c>
      <c r="AB138" s="72"/>
      <c r="AC138" s="73"/>
      <c r="AD138" s="80" t="s">
        <v>525</v>
      </c>
      <c r="AE138" s="80" t="s">
        <v>690</v>
      </c>
      <c r="AF138" s="80" t="s">
        <v>840</v>
      </c>
      <c r="AG138" s="80" t="s">
        <v>897</v>
      </c>
      <c r="AH138" s="80" t="s">
        <v>1107</v>
      </c>
      <c r="AI138" s="80">
        <v>1075</v>
      </c>
      <c r="AJ138" s="80">
        <v>5</v>
      </c>
      <c r="AK138" s="80">
        <v>15</v>
      </c>
      <c r="AL138" s="80">
        <v>0</v>
      </c>
      <c r="AM138" s="80" t="s">
        <v>1155</v>
      </c>
      <c r="AN138" s="98" t="str">
        <f>HYPERLINK("https://www.youtube.com/watch?v=8JXMw2GUiv8")</f>
        <v>https://www.youtube.com/watch?v=8JXMw2GUiv8</v>
      </c>
      <c r="AO138" s="80" t="str">
        <f>REPLACE(INDEX(GroupVertices[Group],MATCH(Vertices[[#This Row],[Vertex]],GroupVertices[Vertex],0)),1,1,"")</f>
        <v>1</v>
      </c>
      <c r="AP138" s="49">
        <v>0</v>
      </c>
      <c r="AQ138" s="50">
        <v>0</v>
      </c>
      <c r="AR138" s="49">
        <v>0</v>
      </c>
      <c r="AS138" s="50">
        <v>0</v>
      </c>
      <c r="AT138" s="49">
        <v>0</v>
      </c>
      <c r="AU138" s="50">
        <v>0</v>
      </c>
      <c r="AV138" s="49">
        <v>8</v>
      </c>
      <c r="AW138" s="50">
        <v>100</v>
      </c>
      <c r="AX138" s="49">
        <v>8</v>
      </c>
      <c r="AY138" s="49"/>
      <c r="AZ138" s="49"/>
      <c r="BA138" s="49"/>
      <c r="BB138" s="49"/>
      <c r="BC138" s="2"/>
      <c r="BD138" s="3"/>
      <c r="BE138" s="3"/>
      <c r="BF138" s="3"/>
      <c r="BG138" s="3"/>
    </row>
    <row r="139" spans="1:59" ht="15">
      <c r="A139" s="65" t="s">
        <v>345</v>
      </c>
      <c r="B139" s="66" t="s">
        <v>1614</v>
      </c>
      <c r="C139" s="66"/>
      <c r="D139" s="67">
        <v>185.71428571428572</v>
      </c>
      <c r="E139" s="69">
        <v>62.5</v>
      </c>
      <c r="F139" s="96" t="str">
        <f>HYPERLINK("https://i.ytimg.com/vi/W6RzekieOgM/default.jpg")</f>
        <v>https://i.ytimg.com/vi/W6RzekieOgM/default.jpg</v>
      </c>
      <c r="G139" s="66"/>
      <c r="H139" s="70" t="s">
        <v>526</v>
      </c>
      <c r="I139" s="71"/>
      <c r="J139" s="71" t="s">
        <v>159</v>
      </c>
      <c r="K139" s="70" t="s">
        <v>526</v>
      </c>
      <c r="L139" s="74">
        <v>4.876163666473307</v>
      </c>
      <c r="M139" s="75">
        <v>4679.29150390625</v>
      </c>
      <c r="N139" s="75">
        <v>3720.72607421875</v>
      </c>
      <c r="O139" s="76"/>
      <c r="P139" s="77"/>
      <c r="Q139" s="77"/>
      <c r="R139" s="82"/>
      <c r="S139" s="49">
        <v>2</v>
      </c>
      <c r="T139" s="49">
        <v>0</v>
      </c>
      <c r="U139" s="50">
        <v>0</v>
      </c>
      <c r="V139" s="50">
        <v>0.001626</v>
      </c>
      <c r="W139" s="50">
        <v>0.000809</v>
      </c>
      <c r="X139" s="50">
        <v>0.40305</v>
      </c>
      <c r="Y139" s="50">
        <v>1</v>
      </c>
      <c r="Z139" s="50">
        <v>0</v>
      </c>
      <c r="AA139" s="72">
        <v>139</v>
      </c>
      <c r="AB139" s="72"/>
      <c r="AC139" s="73"/>
      <c r="AD139" s="80" t="s">
        <v>526</v>
      </c>
      <c r="AE139" s="80" t="s">
        <v>691</v>
      </c>
      <c r="AF139" s="80" t="s">
        <v>841</v>
      </c>
      <c r="AG139" s="80" t="s">
        <v>955</v>
      </c>
      <c r="AH139" s="80" t="s">
        <v>1108</v>
      </c>
      <c r="AI139" s="80">
        <v>2671</v>
      </c>
      <c r="AJ139" s="80">
        <v>8</v>
      </c>
      <c r="AK139" s="80">
        <v>30</v>
      </c>
      <c r="AL139" s="80">
        <v>1</v>
      </c>
      <c r="AM139" s="80" t="s">
        <v>1155</v>
      </c>
      <c r="AN139" s="98" t="str">
        <f>HYPERLINK("https://www.youtube.com/watch?v=W6RzekieOgM")</f>
        <v>https://www.youtube.com/watch?v=W6RzekieOgM</v>
      </c>
      <c r="AO139" s="80" t="str">
        <f>REPLACE(INDEX(GroupVertices[Group],MATCH(Vertices[[#This Row],[Vertex]],GroupVertices[Vertex],0)),1,1,"")</f>
        <v>2</v>
      </c>
      <c r="AP139" s="49">
        <v>1</v>
      </c>
      <c r="AQ139" s="50">
        <v>8.333333333333334</v>
      </c>
      <c r="AR139" s="49">
        <v>1</v>
      </c>
      <c r="AS139" s="50">
        <v>8.333333333333334</v>
      </c>
      <c r="AT139" s="49">
        <v>0</v>
      </c>
      <c r="AU139" s="50">
        <v>0</v>
      </c>
      <c r="AV139" s="49">
        <v>10</v>
      </c>
      <c r="AW139" s="50">
        <v>83.33333333333333</v>
      </c>
      <c r="AX139" s="49">
        <v>12</v>
      </c>
      <c r="AY139" s="49"/>
      <c r="AZ139" s="49"/>
      <c r="BA139" s="49"/>
      <c r="BB139" s="49"/>
      <c r="BC139" s="2"/>
      <c r="BD139" s="3"/>
      <c r="BE139" s="3"/>
      <c r="BF139" s="3"/>
      <c r="BG139" s="3"/>
    </row>
    <row r="140" spans="1:59" ht="15">
      <c r="A140" s="65" t="s">
        <v>220</v>
      </c>
      <c r="B140" s="66" t="s">
        <v>1621</v>
      </c>
      <c r="C140" s="66"/>
      <c r="D140" s="67">
        <v>442.85714285714283</v>
      </c>
      <c r="E140" s="69">
        <v>100</v>
      </c>
      <c r="F140" s="96" t="str">
        <f>HYPERLINK("https://i.ytimg.com/vi/2FqM4gKeNO4/default.jpg")</f>
        <v>https://i.ytimg.com/vi/2FqM4gKeNO4/default.jpg</v>
      </c>
      <c r="G140" s="66"/>
      <c r="H140" s="70" t="s">
        <v>527</v>
      </c>
      <c r="I140" s="71"/>
      <c r="J140" s="71" t="s">
        <v>75</v>
      </c>
      <c r="K140" s="70" t="s">
        <v>527</v>
      </c>
      <c r="L140" s="74">
        <v>141.88656415486238</v>
      </c>
      <c r="M140" s="75">
        <v>2240.28076171875</v>
      </c>
      <c r="N140" s="75">
        <v>541.8533325195312</v>
      </c>
      <c r="O140" s="76"/>
      <c r="P140" s="77"/>
      <c r="Q140" s="77"/>
      <c r="R140" s="82"/>
      <c r="S140" s="49">
        <v>8</v>
      </c>
      <c r="T140" s="49">
        <v>15</v>
      </c>
      <c r="U140" s="50">
        <v>1013.914456</v>
      </c>
      <c r="V140" s="50">
        <v>0.002169</v>
      </c>
      <c r="W140" s="50">
        <v>0.011042</v>
      </c>
      <c r="X140" s="50">
        <v>2.500568</v>
      </c>
      <c r="Y140" s="50">
        <v>0.25163398692810457</v>
      </c>
      <c r="Z140" s="50">
        <v>0.2777777777777778</v>
      </c>
      <c r="AA140" s="72">
        <v>140</v>
      </c>
      <c r="AB140" s="72"/>
      <c r="AC140" s="73"/>
      <c r="AD140" s="80" t="s">
        <v>527</v>
      </c>
      <c r="AE140" s="80" t="s">
        <v>692</v>
      </c>
      <c r="AF140" s="80" t="s">
        <v>842</v>
      </c>
      <c r="AG140" s="80" t="s">
        <v>956</v>
      </c>
      <c r="AH140" s="80" t="s">
        <v>1109</v>
      </c>
      <c r="AI140" s="80">
        <v>96411</v>
      </c>
      <c r="AJ140" s="80">
        <v>37</v>
      </c>
      <c r="AK140" s="80">
        <v>676</v>
      </c>
      <c r="AL140" s="80">
        <v>18</v>
      </c>
      <c r="AM140" s="80" t="s">
        <v>1155</v>
      </c>
      <c r="AN140" s="98" t="str">
        <f>HYPERLINK("https://www.youtube.com/watch?v=2FqM4gKeNO4")</f>
        <v>https://www.youtube.com/watch?v=2FqM4gKeNO4</v>
      </c>
      <c r="AO140" s="80" t="str">
        <f>REPLACE(INDEX(GroupVertices[Group],MATCH(Vertices[[#This Row],[Vertex]],GroupVertices[Vertex],0)),1,1,"")</f>
        <v>2</v>
      </c>
      <c r="AP140" s="49">
        <v>0</v>
      </c>
      <c r="AQ140" s="50">
        <v>0</v>
      </c>
      <c r="AR140" s="49">
        <v>0</v>
      </c>
      <c r="AS140" s="50">
        <v>0</v>
      </c>
      <c r="AT140" s="49">
        <v>0</v>
      </c>
      <c r="AU140" s="50">
        <v>0</v>
      </c>
      <c r="AV140" s="49">
        <v>3</v>
      </c>
      <c r="AW140" s="50">
        <v>100</v>
      </c>
      <c r="AX140" s="49">
        <v>3</v>
      </c>
      <c r="AY140" s="111" t="s">
        <v>1608</v>
      </c>
      <c r="AZ140" s="111" t="s">
        <v>1608</v>
      </c>
      <c r="BA140" s="111" t="s">
        <v>1608</v>
      </c>
      <c r="BB140" s="111" t="s">
        <v>1608</v>
      </c>
      <c r="BC140" s="2"/>
      <c r="BD140" s="3"/>
      <c r="BE140" s="3"/>
      <c r="BF140" s="3"/>
      <c r="BG140" s="3"/>
    </row>
    <row r="141" spans="1:59" ht="15">
      <c r="A141" s="65" t="s">
        <v>346</v>
      </c>
      <c r="B141" s="66" t="s">
        <v>1614</v>
      </c>
      <c r="C141" s="66"/>
      <c r="D141" s="67">
        <v>357.14285714285717</v>
      </c>
      <c r="E141" s="69">
        <v>87.5</v>
      </c>
      <c r="F141" s="96" t="str">
        <f>HYPERLINK("https://i.ytimg.com/vi/7LMnpM0p4cM/default.jpg")</f>
        <v>https://i.ytimg.com/vi/7LMnpM0p4cM/default.jpg</v>
      </c>
      <c r="G141" s="66"/>
      <c r="H141" s="70" t="s">
        <v>528</v>
      </c>
      <c r="I141" s="71"/>
      <c r="J141" s="71" t="s">
        <v>75</v>
      </c>
      <c r="K141" s="70" t="s">
        <v>528</v>
      </c>
      <c r="L141" s="74">
        <v>103.88788278194644</v>
      </c>
      <c r="M141" s="75">
        <v>1020.7754516601562</v>
      </c>
      <c r="N141" s="75">
        <v>541.8533325195312</v>
      </c>
      <c r="O141" s="76"/>
      <c r="P141" s="77"/>
      <c r="Q141" s="77"/>
      <c r="R141" s="82"/>
      <c r="S141" s="49">
        <v>6</v>
      </c>
      <c r="T141" s="49">
        <v>0</v>
      </c>
      <c r="U141" s="50">
        <v>0</v>
      </c>
      <c r="V141" s="50">
        <v>0.001724</v>
      </c>
      <c r="W141" s="50">
        <v>0.003274</v>
      </c>
      <c r="X141" s="50">
        <v>0.871548</v>
      </c>
      <c r="Y141" s="50">
        <v>0.8</v>
      </c>
      <c r="Z141" s="50">
        <v>0</v>
      </c>
      <c r="AA141" s="72">
        <v>141</v>
      </c>
      <c r="AB141" s="72"/>
      <c r="AC141" s="73"/>
      <c r="AD141" s="80" t="s">
        <v>528</v>
      </c>
      <c r="AE141" s="80" t="s">
        <v>693</v>
      </c>
      <c r="AF141" s="80" t="s">
        <v>843</v>
      </c>
      <c r="AG141" s="80" t="s">
        <v>894</v>
      </c>
      <c r="AH141" s="80" t="s">
        <v>1110</v>
      </c>
      <c r="AI141" s="80">
        <v>70413</v>
      </c>
      <c r="AJ141" s="80">
        <v>10</v>
      </c>
      <c r="AK141" s="80">
        <v>237</v>
      </c>
      <c r="AL141" s="80">
        <v>10</v>
      </c>
      <c r="AM141" s="80" t="s">
        <v>1155</v>
      </c>
      <c r="AN141" s="98" t="str">
        <f>HYPERLINK("https://www.youtube.com/watch?v=7LMnpM0p4cM")</f>
        <v>https://www.youtube.com/watch?v=7LMnpM0p4cM</v>
      </c>
      <c r="AO141" s="80" t="str">
        <f>REPLACE(INDEX(GroupVertices[Group],MATCH(Vertices[[#This Row],[Vertex]],GroupVertices[Vertex],0)),1,1,"")</f>
        <v>2</v>
      </c>
      <c r="AP141" s="49">
        <v>0</v>
      </c>
      <c r="AQ141" s="50">
        <v>0</v>
      </c>
      <c r="AR141" s="49">
        <v>0</v>
      </c>
      <c r="AS141" s="50">
        <v>0</v>
      </c>
      <c r="AT141" s="49">
        <v>0</v>
      </c>
      <c r="AU141" s="50">
        <v>0</v>
      </c>
      <c r="AV141" s="49">
        <v>6</v>
      </c>
      <c r="AW141" s="50">
        <v>100</v>
      </c>
      <c r="AX141" s="49">
        <v>6</v>
      </c>
      <c r="AY141" s="49"/>
      <c r="AZ141" s="49"/>
      <c r="BA141" s="49"/>
      <c r="BB141" s="49"/>
      <c r="BC141" s="2"/>
      <c r="BD141" s="3"/>
      <c r="BE141" s="3"/>
      <c r="BF141" s="3"/>
      <c r="BG141" s="3"/>
    </row>
    <row r="142" spans="1:59" ht="15">
      <c r="A142" s="65" t="s">
        <v>347</v>
      </c>
      <c r="B142" s="66" t="s">
        <v>1614</v>
      </c>
      <c r="C142" s="66"/>
      <c r="D142" s="67">
        <v>271.42857142857144</v>
      </c>
      <c r="E142" s="69">
        <v>75</v>
      </c>
      <c r="F142" s="96" t="str">
        <f>HYPERLINK("https://i.ytimg.com/vi/89mxOdwPfxA/default.jpg")</f>
        <v>https://i.ytimg.com/vi/89mxOdwPfxA/default.jpg</v>
      </c>
      <c r="G142" s="66"/>
      <c r="H142" s="70" t="s">
        <v>529</v>
      </c>
      <c r="I142" s="71"/>
      <c r="J142" s="71" t="s">
        <v>159</v>
      </c>
      <c r="K142" s="70" t="s">
        <v>529</v>
      </c>
      <c r="L142" s="74">
        <v>127.09224717445407</v>
      </c>
      <c r="M142" s="75">
        <v>1630.528076171875</v>
      </c>
      <c r="N142" s="75">
        <v>541.8533325195312</v>
      </c>
      <c r="O142" s="76"/>
      <c r="P142" s="77"/>
      <c r="Q142" s="77"/>
      <c r="R142" s="82"/>
      <c r="S142" s="49">
        <v>4</v>
      </c>
      <c r="T142" s="49">
        <v>0</v>
      </c>
      <c r="U142" s="50">
        <v>0</v>
      </c>
      <c r="V142" s="50">
        <v>0.00177</v>
      </c>
      <c r="W142" s="50">
        <v>0.002123</v>
      </c>
      <c r="X142" s="50">
        <v>0.64154</v>
      </c>
      <c r="Y142" s="50">
        <v>0.8333333333333334</v>
      </c>
      <c r="Z142" s="50">
        <v>0</v>
      </c>
      <c r="AA142" s="72">
        <v>142</v>
      </c>
      <c r="AB142" s="72"/>
      <c r="AC142" s="73"/>
      <c r="AD142" s="80" t="s">
        <v>529</v>
      </c>
      <c r="AE142" s="80" t="s">
        <v>694</v>
      </c>
      <c r="AF142" s="80" t="s">
        <v>844</v>
      </c>
      <c r="AG142" s="80" t="s">
        <v>894</v>
      </c>
      <c r="AH142" s="80" t="s">
        <v>1111</v>
      </c>
      <c r="AI142" s="80">
        <v>86289</v>
      </c>
      <c r="AJ142" s="80">
        <v>46</v>
      </c>
      <c r="AK142" s="80">
        <v>856</v>
      </c>
      <c r="AL142" s="80">
        <v>3</v>
      </c>
      <c r="AM142" s="80" t="s">
        <v>1155</v>
      </c>
      <c r="AN142" s="98" t="str">
        <f>HYPERLINK("https://www.youtube.com/watch?v=89mxOdwPfxA")</f>
        <v>https://www.youtube.com/watch?v=89mxOdwPfxA</v>
      </c>
      <c r="AO142" s="80" t="str">
        <f>REPLACE(INDEX(GroupVertices[Group],MATCH(Vertices[[#This Row],[Vertex]],GroupVertices[Vertex],0)),1,1,"")</f>
        <v>2</v>
      </c>
      <c r="AP142" s="49">
        <v>0</v>
      </c>
      <c r="AQ142" s="50">
        <v>0</v>
      </c>
      <c r="AR142" s="49">
        <v>0</v>
      </c>
      <c r="AS142" s="50">
        <v>0</v>
      </c>
      <c r="AT142" s="49">
        <v>0</v>
      </c>
      <c r="AU142" s="50">
        <v>0</v>
      </c>
      <c r="AV142" s="49">
        <v>4</v>
      </c>
      <c r="AW142" s="50">
        <v>100</v>
      </c>
      <c r="AX142" s="49">
        <v>4</v>
      </c>
      <c r="AY142" s="49"/>
      <c r="AZ142" s="49"/>
      <c r="BA142" s="49"/>
      <c r="BB142" s="49"/>
      <c r="BC142" s="2"/>
      <c r="BD142" s="3"/>
      <c r="BE142" s="3"/>
      <c r="BF142" s="3"/>
      <c r="BG142" s="3"/>
    </row>
    <row r="143" spans="1:59" ht="15">
      <c r="A143" s="65" t="s">
        <v>348</v>
      </c>
      <c r="B143" s="66" t="s">
        <v>1614</v>
      </c>
      <c r="C143" s="66"/>
      <c r="D143" s="67">
        <v>142.85714285714286</v>
      </c>
      <c r="E143" s="69">
        <v>56.25</v>
      </c>
      <c r="F143" s="96" t="str">
        <f>HYPERLINK("https://i.ytimg.com/vi/f6ElMvP7ubs/default.jpg")</f>
        <v>https://i.ytimg.com/vi/f6ElMvP7ubs/default.jpg</v>
      </c>
      <c r="G143" s="66"/>
      <c r="H143" s="70" t="s">
        <v>530</v>
      </c>
      <c r="I143" s="71"/>
      <c r="J143" s="71" t="s">
        <v>159</v>
      </c>
      <c r="K143" s="70" t="s">
        <v>530</v>
      </c>
      <c r="L143" s="74">
        <v>17.672473206433263</v>
      </c>
      <c r="M143" s="75">
        <v>2850.033447265625</v>
      </c>
      <c r="N143" s="75">
        <v>2131.289794921875</v>
      </c>
      <c r="O143" s="76"/>
      <c r="P143" s="77"/>
      <c r="Q143" s="77"/>
      <c r="R143" s="82"/>
      <c r="S143" s="49">
        <v>1</v>
      </c>
      <c r="T143" s="49">
        <v>0</v>
      </c>
      <c r="U143" s="50">
        <v>0</v>
      </c>
      <c r="V143" s="50">
        <v>0.00156</v>
      </c>
      <c r="W143" s="50">
        <v>0.000481</v>
      </c>
      <c r="X143" s="50">
        <v>0.268082</v>
      </c>
      <c r="Y143" s="50">
        <v>0</v>
      </c>
      <c r="Z143" s="50">
        <v>0</v>
      </c>
      <c r="AA143" s="72">
        <v>143</v>
      </c>
      <c r="AB143" s="72"/>
      <c r="AC143" s="73"/>
      <c r="AD143" s="80" t="s">
        <v>530</v>
      </c>
      <c r="AE143" s="80" t="s">
        <v>695</v>
      </c>
      <c r="AF143" s="80" t="s">
        <v>845</v>
      </c>
      <c r="AG143" s="80" t="s">
        <v>957</v>
      </c>
      <c r="AH143" s="80" t="s">
        <v>1112</v>
      </c>
      <c r="AI143" s="80">
        <v>11426</v>
      </c>
      <c r="AJ143" s="80">
        <v>3</v>
      </c>
      <c r="AK143" s="80">
        <v>66</v>
      </c>
      <c r="AL143" s="80">
        <v>1</v>
      </c>
      <c r="AM143" s="80" t="s">
        <v>1155</v>
      </c>
      <c r="AN143" s="98" t="str">
        <f>HYPERLINK("https://www.youtube.com/watch?v=f6ElMvP7ubs")</f>
        <v>https://www.youtube.com/watch?v=f6ElMvP7ubs</v>
      </c>
      <c r="AO143" s="80" t="str">
        <f>REPLACE(INDEX(GroupVertices[Group],MATCH(Vertices[[#This Row],[Vertex]],GroupVertices[Vertex],0)),1,1,"")</f>
        <v>2</v>
      </c>
      <c r="AP143" s="49">
        <v>0</v>
      </c>
      <c r="AQ143" s="50">
        <v>0</v>
      </c>
      <c r="AR143" s="49">
        <v>0</v>
      </c>
      <c r="AS143" s="50">
        <v>0</v>
      </c>
      <c r="AT143" s="49">
        <v>0</v>
      </c>
      <c r="AU143" s="50">
        <v>0</v>
      </c>
      <c r="AV143" s="49">
        <v>33</v>
      </c>
      <c r="AW143" s="50">
        <v>100</v>
      </c>
      <c r="AX143" s="49">
        <v>33</v>
      </c>
      <c r="AY143" s="49"/>
      <c r="AZ143" s="49"/>
      <c r="BA143" s="49"/>
      <c r="BB143" s="49"/>
      <c r="BC143" s="2"/>
      <c r="BD143" s="3"/>
      <c r="BE143" s="3"/>
      <c r="BF143" s="3"/>
      <c r="BG143" s="3"/>
    </row>
    <row r="144" spans="1:59" ht="15">
      <c r="A144" s="65" t="s">
        <v>349</v>
      </c>
      <c r="B144" s="66" t="s">
        <v>1614</v>
      </c>
      <c r="C144" s="66"/>
      <c r="D144" s="67">
        <v>185.71428571428572</v>
      </c>
      <c r="E144" s="69">
        <v>62.5</v>
      </c>
      <c r="F144" s="96" t="str">
        <f>HYPERLINK("https://i.ytimg.com/vi/E72zEz0961o/default.jpg")</f>
        <v>https://i.ytimg.com/vi/E72zEz0961o/default.jpg</v>
      </c>
      <c r="G144" s="66"/>
      <c r="H144" s="70" t="s">
        <v>531</v>
      </c>
      <c r="I144" s="71"/>
      <c r="J144" s="71" t="s">
        <v>159</v>
      </c>
      <c r="K144" s="70" t="s">
        <v>531</v>
      </c>
      <c r="L144" s="74">
        <v>37.69785721636946</v>
      </c>
      <c r="M144" s="75">
        <v>2240.28076171875</v>
      </c>
      <c r="N144" s="75">
        <v>1336.571533203125</v>
      </c>
      <c r="O144" s="76"/>
      <c r="P144" s="77"/>
      <c r="Q144" s="77"/>
      <c r="R144" s="82"/>
      <c r="S144" s="49">
        <v>2</v>
      </c>
      <c r="T144" s="49">
        <v>0</v>
      </c>
      <c r="U144" s="50">
        <v>0</v>
      </c>
      <c r="V144" s="50">
        <v>0.001783</v>
      </c>
      <c r="W144" s="50">
        <v>0.001622</v>
      </c>
      <c r="X144" s="50">
        <v>0.374298</v>
      </c>
      <c r="Y144" s="50">
        <v>0.5</v>
      </c>
      <c r="Z144" s="50">
        <v>0</v>
      </c>
      <c r="AA144" s="72">
        <v>144</v>
      </c>
      <c r="AB144" s="72"/>
      <c r="AC144" s="73"/>
      <c r="AD144" s="80" t="s">
        <v>531</v>
      </c>
      <c r="AE144" s="80" t="s">
        <v>696</v>
      </c>
      <c r="AF144" s="80" t="s">
        <v>846</v>
      </c>
      <c r="AG144" s="80" t="s">
        <v>958</v>
      </c>
      <c r="AH144" s="80" t="s">
        <v>1113</v>
      </c>
      <c r="AI144" s="80">
        <v>25127</v>
      </c>
      <c r="AJ144" s="80">
        <v>44</v>
      </c>
      <c r="AK144" s="80">
        <v>347</v>
      </c>
      <c r="AL144" s="80">
        <v>7</v>
      </c>
      <c r="AM144" s="80" t="s">
        <v>1155</v>
      </c>
      <c r="AN144" s="98" t="str">
        <f>HYPERLINK("https://www.youtube.com/watch?v=E72zEz0961o")</f>
        <v>https://www.youtube.com/watch?v=E72zEz0961o</v>
      </c>
      <c r="AO144" s="80" t="str">
        <f>REPLACE(INDEX(GroupVertices[Group],MATCH(Vertices[[#This Row],[Vertex]],GroupVertices[Vertex],0)),1,1,"")</f>
        <v>2</v>
      </c>
      <c r="AP144" s="49">
        <v>0</v>
      </c>
      <c r="AQ144" s="50">
        <v>0</v>
      </c>
      <c r="AR144" s="49">
        <v>0</v>
      </c>
      <c r="AS144" s="50">
        <v>0</v>
      </c>
      <c r="AT144" s="49">
        <v>0</v>
      </c>
      <c r="AU144" s="50">
        <v>0</v>
      </c>
      <c r="AV144" s="49">
        <v>8</v>
      </c>
      <c r="AW144" s="50">
        <v>100</v>
      </c>
      <c r="AX144" s="49">
        <v>8</v>
      </c>
      <c r="AY144" s="49"/>
      <c r="AZ144" s="49"/>
      <c r="BA144" s="49"/>
      <c r="BB144" s="49"/>
      <c r="BC144" s="2"/>
      <c r="BD144" s="3"/>
      <c r="BE144" s="3"/>
      <c r="BF144" s="3"/>
      <c r="BG144" s="3"/>
    </row>
    <row r="145" spans="1:59" ht="15">
      <c r="A145" s="65" t="s">
        <v>350</v>
      </c>
      <c r="B145" s="66" t="s">
        <v>1614</v>
      </c>
      <c r="C145" s="66"/>
      <c r="D145" s="67">
        <v>357.14285714285717</v>
      </c>
      <c r="E145" s="69">
        <v>87.5</v>
      </c>
      <c r="F145" s="96" t="str">
        <f>HYPERLINK("https://i.ytimg.com/vi/371n3Ye9vVo/default.jpg")</f>
        <v>https://i.ytimg.com/vi/371n3Ye9vVo/default.jpg</v>
      </c>
      <c r="G145" s="66"/>
      <c r="H145" s="70" t="s">
        <v>532</v>
      </c>
      <c r="I145" s="71"/>
      <c r="J145" s="71" t="s">
        <v>75</v>
      </c>
      <c r="K145" s="70" t="s">
        <v>532</v>
      </c>
      <c r="L145" s="74">
        <v>44.38175482073689</v>
      </c>
      <c r="M145" s="75">
        <v>3459.786376953125</v>
      </c>
      <c r="N145" s="75">
        <v>1336.571533203125</v>
      </c>
      <c r="O145" s="76"/>
      <c r="P145" s="77"/>
      <c r="Q145" s="77"/>
      <c r="R145" s="82"/>
      <c r="S145" s="49">
        <v>6</v>
      </c>
      <c r="T145" s="49">
        <v>0</v>
      </c>
      <c r="U145" s="50">
        <v>0</v>
      </c>
      <c r="V145" s="50">
        <v>0.001709</v>
      </c>
      <c r="W145" s="50">
        <v>0.002608</v>
      </c>
      <c r="X145" s="50">
        <v>0.895736</v>
      </c>
      <c r="Y145" s="50">
        <v>0.8666666666666667</v>
      </c>
      <c r="Z145" s="50">
        <v>0</v>
      </c>
      <c r="AA145" s="72">
        <v>145</v>
      </c>
      <c r="AB145" s="72"/>
      <c r="AC145" s="73"/>
      <c r="AD145" s="80" t="s">
        <v>532</v>
      </c>
      <c r="AE145" s="80" t="s">
        <v>697</v>
      </c>
      <c r="AF145" s="80" t="s">
        <v>847</v>
      </c>
      <c r="AG145" s="80" t="s">
        <v>894</v>
      </c>
      <c r="AH145" s="80" t="s">
        <v>1114</v>
      </c>
      <c r="AI145" s="80">
        <v>29700</v>
      </c>
      <c r="AJ145" s="80">
        <v>24</v>
      </c>
      <c r="AK145" s="80">
        <v>311</v>
      </c>
      <c r="AL145" s="80">
        <v>18</v>
      </c>
      <c r="AM145" s="80" t="s">
        <v>1155</v>
      </c>
      <c r="AN145" s="98" t="str">
        <f>HYPERLINK("https://www.youtube.com/watch?v=371n3Ye9vVo")</f>
        <v>https://www.youtube.com/watch?v=371n3Ye9vVo</v>
      </c>
      <c r="AO145" s="80" t="str">
        <f>REPLACE(INDEX(GroupVertices[Group],MATCH(Vertices[[#This Row],[Vertex]],GroupVertices[Vertex],0)),1,1,"")</f>
        <v>2</v>
      </c>
      <c r="AP145" s="49">
        <v>0</v>
      </c>
      <c r="AQ145" s="50">
        <v>0</v>
      </c>
      <c r="AR145" s="49">
        <v>0</v>
      </c>
      <c r="AS145" s="50">
        <v>0</v>
      </c>
      <c r="AT145" s="49">
        <v>0</v>
      </c>
      <c r="AU145" s="50">
        <v>0</v>
      </c>
      <c r="AV145" s="49">
        <v>9</v>
      </c>
      <c r="AW145" s="50">
        <v>100</v>
      </c>
      <c r="AX145" s="49">
        <v>9</v>
      </c>
      <c r="AY145" s="49"/>
      <c r="AZ145" s="49"/>
      <c r="BA145" s="49"/>
      <c r="BB145" s="49"/>
      <c r="BC145" s="2"/>
      <c r="BD145" s="3"/>
      <c r="BE145" s="3"/>
      <c r="BF145" s="3"/>
      <c r="BG145" s="3"/>
    </row>
    <row r="146" spans="1:59" ht="15">
      <c r="A146" s="65" t="s">
        <v>221</v>
      </c>
      <c r="B146" s="66" t="s">
        <v>1623</v>
      </c>
      <c r="C146" s="66"/>
      <c r="D146" s="67">
        <v>657.1428571428571</v>
      </c>
      <c r="E146" s="69">
        <v>100</v>
      </c>
      <c r="F146" s="96" t="str">
        <f>HYPERLINK("https://i.ytimg.com/vi/AyMwPYpmYng/default.jpg")</f>
        <v>https://i.ytimg.com/vi/AyMwPYpmYng/default.jpg</v>
      </c>
      <c r="G146" s="66"/>
      <c r="H146" s="70" t="s">
        <v>533</v>
      </c>
      <c r="I146" s="71"/>
      <c r="J146" s="71" t="s">
        <v>75</v>
      </c>
      <c r="K146" s="70" t="s">
        <v>533</v>
      </c>
      <c r="L146" s="74">
        <v>11.796840499335715</v>
      </c>
      <c r="M146" s="75">
        <v>2850.033447265625</v>
      </c>
      <c r="N146" s="75">
        <v>6259.69580078125</v>
      </c>
      <c r="O146" s="76"/>
      <c r="P146" s="77"/>
      <c r="Q146" s="77"/>
      <c r="R146" s="82"/>
      <c r="S146" s="49">
        <v>13</v>
      </c>
      <c r="T146" s="49">
        <v>26</v>
      </c>
      <c r="U146" s="50">
        <v>1452.776182</v>
      </c>
      <c r="V146" s="50">
        <v>0.002439</v>
      </c>
      <c r="W146" s="50">
        <v>0.032639</v>
      </c>
      <c r="X146" s="50">
        <v>3.58854</v>
      </c>
      <c r="Y146" s="50">
        <v>0.3781609195402299</v>
      </c>
      <c r="Z146" s="50">
        <v>0.3</v>
      </c>
      <c r="AA146" s="72">
        <v>146</v>
      </c>
      <c r="AB146" s="72"/>
      <c r="AC146" s="73"/>
      <c r="AD146" s="80" t="s">
        <v>533</v>
      </c>
      <c r="AE146" s="80" t="s">
        <v>698</v>
      </c>
      <c r="AF146" s="80" t="s">
        <v>848</v>
      </c>
      <c r="AG146" s="80" t="s">
        <v>912</v>
      </c>
      <c r="AH146" s="80" t="s">
        <v>1115</v>
      </c>
      <c r="AI146" s="80">
        <v>7406</v>
      </c>
      <c r="AJ146" s="80">
        <v>5</v>
      </c>
      <c r="AK146" s="80">
        <v>50</v>
      </c>
      <c r="AL146" s="80">
        <v>0</v>
      </c>
      <c r="AM146" s="80" t="s">
        <v>1155</v>
      </c>
      <c r="AN146" s="98" t="str">
        <f>HYPERLINK("https://www.youtube.com/watch?v=AyMwPYpmYng")</f>
        <v>https://www.youtube.com/watch?v=AyMwPYpmYng</v>
      </c>
      <c r="AO146" s="80" t="str">
        <f>REPLACE(INDEX(GroupVertices[Group],MATCH(Vertices[[#This Row],[Vertex]],GroupVertices[Vertex],0)),1,1,"")</f>
        <v>1</v>
      </c>
      <c r="AP146" s="49">
        <v>0</v>
      </c>
      <c r="AQ146" s="50">
        <v>0</v>
      </c>
      <c r="AR146" s="49">
        <v>0</v>
      </c>
      <c r="AS146" s="50">
        <v>0</v>
      </c>
      <c r="AT146" s="49">
        <v>0</v>
      </c>
      <c r="AU146" s="50">
        <v>0</v>
      </c>
      <c r="AV146" s="49">
        <v>18</v>
      </c>
      <c r="AW146" s="50">
        <v>100</v>
      </c>
      <c r="AX146" s="49">
        <v>18</v>
      </c>
      <c r="AY146" s="111" t="s">
        <v>1608</v>
      </c>
      <c r="AZ146" s="111" t="s">
        <v>1608</v>
      </c>
      <c r="BA146" s="111" t="s">
        <v>1608</v>
      </c>
      <c r="BB146" s="111" t="s">
        <v>1608</v>
      </c>
      <c r="BC146" s="2"/>
      <c r="BD146" s="3"/>
      <c r="BE146" s="3"/>
      <c r="BF146" s="3"/>
      <c r="BG146" s="3"/>
    </row>
    <row r="147" spans="1:59" ht="15">
      <c r="A147" s="65" t="s">
        <v>351</v>
      </c>
      <c r="B147" s="66" t="s">
        <v>1614</v>
      </c>
      <c r="C147" s="66"/>
      <c r="D147" s="67">
        <v>142.85714285714286</v>
      </c>
      <c r="E147" s="69">
        <v>56.25</v>
      </c>
      <c r="F147" s="96" t="str">
        <f>HYPERLINK("https://i.ytimg.com/vi/t8YHRVf60BU/default.jpg")</f>
        <v>https://i.ytimg.com/vi/t8YHRVf60BU/default.jpg</v>
      </c>
      <c r="G147" s="66"/>
      <c r="H147" s="70" t="s">
        <v>534</v>
      </c>
      <c r="I147" s="71"/>
      <c r="J147" s="71" t="s">
        <v>159</v>
      </c>
      <c r="K147" s="70" t="s">
        <v>534</v>
      </c>
      <c r="L147" s="74">
        <v>6.4123054513388595</v>
      </c>
      <c r="M147" s="75">
        <v>2850.033447265625</v>
      </c>
      <c r="N147" s="75">
        <v>7058.54248046875</v>
      </c>
      <c r="O147" s="76"/>
      <c r="P147" s="77"/>
      <c r="Q147" s="77"/>
      <c r="R147" s="82"/>
      <c r="S147" s="49">
        <v>1</v>
      </c>
      <c r="T147" s="49">
        <v>0</v>
      </c>
      <c r="U147" s="50">
        <v>0</v>
      </c>
      <c r="V147" s="50">
        <v>0.001695</v>
      </c>
      <c r="W147" s="50">
        <v>0.001422</v>
      </c>
      <c r="X147" s="50">
        <v>0.251675</v>
      </c>
      <c r="Y147" s="50">
        <v>0</v>
      </c>
      <c r="Z147" s="50">
        <v>0</v>
      </c>
      <c r="AA147" s="72">
        <v>147</v>
      </c>
      <c r="AB147" s="72"/>
      <c r="AC147" s="73"/>
      <c r="AD147" s="80" t="s">
        <v>534</v>
      </c>
      <c r="AE147" s="80" t="s">
        <v>699</v>
      </c>
      <c r="AF147" s="80" t="s">
        <v>849</v>
      </c>
      <c r="AG147" s="80" t="s">
        <v>912</v>
      </c>
      <c r="AH147" s="80" t="s">
        <v>1116</v>
      </c>
      <c r="AI147" s="80">
        <v>3722</v>
      </c>
      <c r="AJ147" s="80">
        <v>4</v>
      </c>
      <c r="AK147" s="80">
        <v>24</v>
      </c>
      <c r="AL147" s="80">
        <v>1</v>
      </c>
      <c r="AM147" s="80" t="s">
        <v>1155</v>
      </c>
      <c r="AN147" s="98" t="str">
        <f>HYPERLINK("https://www.youtube.com/watch?v=t8YHRVf60BU")</f>
        <v>https://www.youtube.com/watch?v=t8YHRVf60BU</v>
      </c>
      <c r="AO147" s="80" t="str">
        <f>REPLACE(INDEX(GroupVertices[Group],MATCH(Vertices[[#This Row],[Vertex]],GroupVertices[Vertex],0)),1,1,"")</f>
        <v>1</v>
      </c>
      <c r="AP147" s="49">
        <v>0</v>
      </c>
      <c r="AQ147" s="50">
        <v>0</v>
      </c>
      <c r="AR147" s="49">
        <v>0</v>
      </c>
      <c r="AS147" s="50">
        <v>0</v>
      </c>
      <c r="AT147" s="49">
        <v>0</v>
      </c>
      <c r="AU147" s="50">
        <v>0</v>
      </c>
      <c r="AV147" s="49">
        <v>14</v>
      </c>
      <c r="AW147" s="50">
        <v>100</v>
      </c>
      <c r="AX147" s="49">
        <v>14</v>
      </c>
      <c r="AY147" s="49"/>
      <c r="AZ147" s="49"/>
      <c r="BA147" s="49"/>
      <c r="BB147" s="49"/>
      <c r="BC147" s="2"/>
      <c r="BD147" s="3"/>
      <c r="BE147" s="3"/>
      <c r="BF147" s="3"/>
      <c r="BG147" s="3"/>
    </row>
    <row r="148" spans="1:59" ht="15">
      <c r="A148" s="65" t="s">
        <v>352</v>
      </c>
      <c r="B148" s="66" t="s">
        <v>1614</v>
      </c>
      <c r="C148" s="66"/>
      <c r="D148" s="67">
        <v>314.2857142857143</v>
      </c>
      <c r="E148" s="69">
        <v>81.25</v>
      </c>
      <c r="F148" s="96" t="str">
        <f>HYPERLINK("https://i.ytimg.com/vi/NYEN__tMIkw/default.jpg")</f>
        <v>https://i.ytimg.com/vi/NYEN__tMIkw/default.jpg</v>
      </c>
      <c r="G148" s="66"/>
      <c r="H148" s="70" t="s">
        <v>535</v>
      </c>
      <c r="I148" s="71"/>
      <c r="J148" s="71" t="s">
        <v>159</v>
      </c>
      <c r="K148" s="70" t="s">
        <v>535</v>
      </c>
      <c r="L148" s="74">
        <v>1.8944993076476861</v>
      </c>
      <c r="M148" s="75">
        <v>5289.0439453125</v>
      </c>
      <c r="N148" s="75">
        <v>8656.2353515625</v>
      </c>
      <c r="O148" s="76"/>
      <c r="P148" s="77"/>
      <c r="Q148" s="77"/>
      <c r="R148" s="82"/>
      <c r="S148" s="49">
        <v>5</v>
      </c>
      <c r="T148" s="49">
        <v>0</v>
      </c>
      <c r="U148" s="50">
        <v>0</v>
      </c>
      <c r="V148" s="50">
        <v>0.001866</v>
      </c>
      <c r="W148" s="50">
        <v>0.005845</v>
      </c>
      <c r="X148" s="50">
        <v>0.733719</v>
      </c>
      <c r="Y148" s="50">
        <v>0.55</v>
      </c>
      <c r="Z148" s="50">
        <v>0</v>
      </c>
      <c r="AA148" s="72">
        <v>148</v>
      </c>
      <c r="AB148" s="72"/>
      <c r="AC148" s="73"/>
      <c r="AD148" s="80" t="s">
        <v>535</v>
      </c>
      <c r="AE148" s="80" t="s">
        <v>700</v>
      </c>
      <c r="AF148" s="80" t="s">
        <v>850</v>
      </c>
      <c r="AG148" s="80" t="s">
        <v>912</v>
      </c>
      <c r="AH148" s="80" t="s">
        <v>1117</v>
      </c>
      <c r="AI148" s="80">
        <v>631</v>
      </c>
      <c r="AJ148" s="80">
        <v>7</v>
      </c>
      <c r="AK148" s="80">
        <v>23</v>
      </c>
      <c r="AL148" s="80">
        <v>1</v>
      </c>
      <c r="AM148" s="80" t="s">
        <v>1155</v>
      </c>
      <c r="AN148" s="98" t="str">
        <f>HYPERLINK("https://www.youtube.com/watch?v=NYEN__tMIkw")</f>
        <v>https://www.youtube.com/watch?v=NYEN__tMIkw</v>
      </c>
      <c r="AO148" s="80" t="str">
        <f>REPLACE(INDEX(GroupVertices[Group],MATCH(Vertices[[#This Row],[Vertex]],GroupVertices[Vertex],0)),1,1,"")</f>
        <v>1</v>
      </c>
      <c r="AP148" s="49">
        <v>0</v>
      </c>
      <c r="AQ148" s="50">
        <v>0</v>
      </c>
      <c r="AR148" s="49">
        <v>0</v>
      </c>
      <c r="AS148" s="50">
        <v>0</v>
      </c>
      <c r="AT148" s="49">
        <v>0</v>
      </c>
      <c r="AU148" s="50">
        <v>0</v>
      </c>
      <c r="AV148" s="49">
        <v>7</v>
      </c>
      <c r="AW148" s="50">
        <v>100</v>
      </c>
      <c r="AX148" s="49">
        <v>7</v>
      </c>
      <c r="AY148" s="49"/>
      <c r="AZ148" s="49"/>
      <c r="BA148" s="49"/>
      <c r="BB148" s="49"/>
      <c r="BC148" s="2"/>
      <c r="BD148" s="3"/>
      <c r="BE148" s="3"/>
      <c r="BF148" s="3"/>
      <c r="BG148" s="3"/>
    </row>
    <row r="149" spans="1:59" ht="15">
      <c r="A149" s="65" t="s">
        <v>353</v>
      </c>
      <c r="B149" s="66" t="s">
        <v>1614</v>
      </c>
      <c r="C149" s="66"/>
      <c r="D149" s="67">
        <v>357.14285714285717</v>
      </c>
      <c r="E149" s="69">
        <v>87.5</v>
      </c>
      <c r="F149" s="96" t="str">
        <f>HYPERLINK("https://i.ytimg.com/vi/Cp5dejUrVUE/default.jpg")</f>
        <v>https://i.ytimg.com/vi/Cp5dejUrVUE/default.jpg</v>
      </c>
      <c r="G149" s="66"/>
      <c r="H149" s="70" t="s">
        <v>536</v>
      </c>
      <c r="I149" s="71"/>
      <c r="J149" s="71" t="s">
        <v>75</v>
      </c>
      <c r="K149" s="70" t="s">
        <v>536</v>
      </c>
      <c r="L149" s="74">
        <v>1.9558865150352727</v>
      </c>
      <c r="M149" s="75">
        <v>411.0228271484375</v>
      </c>
      <c r="N149" s="75">
        <v>7857.3896484375</v>
      </c>
      <c r="O149" s="76"/>
      <c r="P149" s="77"/>
      <c r="Q149" s="77"/>
      <c r="R149" s="82"/>
      <c r="S149" s="49">
        <v>6</v>
      </c>
      <c r="T149" s="49">
        <v>0</v>
      </c>
      <c r="U149" s="50">
        <v>0</v>
      </c>
      <c r="V149" s="50">
        <v>0.001736</v>
      </c>
      <c r="W149" s="50">
        <v>0.008012</v>
      </c>
      <c r="X149" s="50">
        <v>0.734768</v>
      </c>
      <c r="Y149" s="50">
        <v>0.8</v>
      </c>
      <c r="Z149" s="50">
        <v>0</v>
      </c>
      <c r="AA149" s="72">
        <v>149</v>
      </c>
      <c r="AB149" s="72"/>
      <c r="AC149" s="73"/>
      <c r="AD149" s="80" t="s">
        <v>536</v>
      </c>
      <c r="AE149" s="80"/>
      <c r="AF149" s="80"/>
      <c r="AG149" s="80" t="s">
        <v>918</v>
      </c>
      <c r="AH149" s="80" t="s">
        <v>1118</v>
      </c>
      <c r="AI149" s="80">
        <v>673</v>
      </c>
      <c r="AJ149" s="80">
        <v>0</v>
      </c>
      <c r="AK149" s="80">
        <v>4</v>
      </c>
      <c r="AL149" s="80">
        <v>0</v>
      </c>
      <c r="AM149" s="80" t="s">
        <v>1155</v>
      </c>
      <c r="AN149" s="98" t="str">
        <f>HYPERLINK("https://www.youtube.com/watch?v=Cp5dejUrVUE")</f>
        <v>https://www.youtube.com/watch?v=Cp5dejUrVUE</v>
      </c>
      <c r="AO149" s="80" t="str">
        <f>REPLACE(INDEX(GroupVertices[Group],MATCH(Vertices[[#This Row],[Vertex]],GroupVertices[Vertex],0)),1,1,"")</f>
        <v>1</v>
      </c>
      <c r="AP149" s="49"/>
      <c r="AQ149" s="50"/>
      <c r="AR149" s="49"/>
      <c r="AS149" s="50"/>
      <c r="AT149" s="49"/>
      <c r="AU149" s="50"/>
      <c r="AV149" s="49"/>
      <c r="AW149" s="50"/>
      <c r="AX149" s="49"/>
      <c r="AY149" s="49"/>
      <c r="AZ149" s="49"/>
      <c r="BA149" s="49"/>
      <c r="BB149" s="49"/>
      <c r="BC149" s="2"/>
      <c r="BD149" s="3"/>
      <c r="BE149" s="3"/>
      <c r="BF149" s="3"/>
      <c r="BG149" s="3"/>
    </row>
    <row r="150" spans="1:59" ht="15">
      <c r="A150" s="65" t="s">
        <v>354</v>
      </c>
      <c r="B150" s="66" t="s">
        <v>1614</v>
      </c>
      <c r="C150" s="66"/>
      <c r="D150" s="67">
        <v>142.85714285714286</v>
      </c>
      <c r="E150" s="69">
        <v>56.25</v>
      </c>
      <c r="F150" s="96" t="str">
        <f>HYPERLINK("https://i.ytimg.com/vi/ZF6wyBW2uN4/default.jpg")</f>
        <v>https://i.ytimg.com/vi/ZF6wyBW2uN4/default.jpg</v>
      </c>
      <c r="G150" s="66"/>
      <c r="H150" s="70" t="s">
        <v>537</v>
      </c>
      <c r="I150" s="71"/>
      <c r="J150" s="71" t="s">
        <v>159</v>
      </c>
      <c r="K150" s="70" t="s">
        <v>537</v>
      </c>
      <c r="L150" s="74">
        <v>1.6416424772178664</v>
      </c>
      <c r="M150" s="75">
        <v>4069.538818359375</v>
      </c>
      <c r="N150" s="75">
        <v>8656.2353515625</v>
      </c>
      <c r="O150" s="76"/>
      <c r="P150" s="77"/>
      <c r="Q150" s="77"/>
      <c r="R150" s="82"/>
      <c r="S150" s="49">
        <v>1</v>
      </c>
      <c r="T150" s="49">
        <v>0</v>
      </c>
      <c r="U150" s="50">
        <v>0</v>
      </c>
      <c r="V150" s="50">
        <v>0.001695</v>
      </c>
      <c r="W150" s="50">
        <v>0.001422</v>
      </c>
      <c r="X150" s="50">
        <v>0.251675</v>
      </c>
      <c r="Y150" s="50">
        <v>0</v>
      </c>
      <c r="Z150" s="50">
        <v>0</v>
      </c>
      <c r="AA150" s="72">
        <v>150</v>
      </c>
      <c r="AB150" s="72"/>
      <c r="AC150" s="73"/>
      <c r="AD150" s="80" t="s">
        <v>537</v>
      </c>
      <c r="AE150" s="80" t="s">
        <v>701</v>
      </c>
      <c r="AF150" s="80" t="s">
        <v>851</v>
      </c>
      <c r="AG150" s="80" t="s">
        <v>959</v>
      </c>
      <c r="AH150" s="80" t="s">
        <v>1119</v>
      </c>
      <c r="AI150" s="80">
        <v>458</v>
      </c>
      <c r="AJ150" s="80">
        <v>3</v>
      </c>
      <c r="AK150" s="80">
        <v>16</v>
      </c>
      <c r="AL150" s="80">
        <v>0</v>
      </c>
      <c r="AM150" s="80" t="s">
        <v>1155</v>
      </c>
      <c r="AN150" s="98" t="str">
        <f>HYPERLINK("https://www.youtube.com/watch?v=ZF6wyBW2uN4")</f>
        <v>https://www.youtube.com/watch?v=ZF6wyBW2uN4</v>
      </c>
      <c r="AO150" s="80" t="str">
        <f>REPLACE(INDEX(GroupVertices[Group],MATCH(Vertices[[#This Row],[Vertex]],GroupVertices[Vertex],0)),1,1,"")</f>
        <v>1</v>
      </c>
      <c r="AP150" s="49">
        <v>0</v>
      </c>
      <c r="AQ150" s="50">
        <v>0</v>
      </c>
      <c r="AR150" s="49">
        <v>0</v>
      </c>
      <c r="AS150" s="50">
        <v>0</v>
      </c>
      <c r="AT150" s="49">
        <v>0</v>
      </c>
      <c r="AU150" s="50">
        <v>0</v>
      </c>
      <c r="AV150" s="49">
        <v>17</v>
      </c>
      <c r="AW150" s="50">
        <v>100</v>
      </c>
      <c r="AX150" s="49">
        <v>17</v>
      </c>
      <c r="AY150" s="49"/>
      <c r="AZ150" s="49"/>
      <c r="BA150" s="49"/>
      <c r="BB150" s="49"/>
      <c r="BC150" s="2"/>
      <c r="BD150" s="3"/>
      <c r="BE150" s="3"/>
      <c r="BF150" s="3"/>
      <c r="BG150" s="3"/>
    </row>
    <row r="151" spans="1:59" ht="15">
      <c r="A151" s="65" t="s">
        <v>355</v>
      </c>
      <c r="B151" s="66" t="s">
        <v>1614</v>
      </c>
      <c r="C151" s="66"/>
      <c r="D151" s="67">
        <v>185.71428571428572</v>
      </c>
      <c r="E151" s="69">
        <v>62.5</v>
      </c>
      <c r="F151" s="96" t="str">
        <f>HYPERLINK("https://i.ytimg.com/vi/_ci5QaUkAfw/default.jpg")</f>
        <v>https://i.ytimg.com/vi/_ci5QaUkAfw/default.jpg</v>
      </c>
      <c r="G151" s="66"/>
      <c r="H151" s="70" t="s">
        <v>538</v>
      </c>
      <c r="I151" s="71"/>
      <c r="J151" s="71" t="s">
        <v>159</v>
      </c>
      <c r="K151" s="70" t="s">
        <v>538</v>
      </c>
      <c r="L151" s="74">
        <v>2.9453898341161278</v>
      </c>
      <c r="M151" s="75">
        <v>3459.786376953125</v>
      </c>
      <c r="N151" s="75">
        <v>7857.3896484375</v>
      </c>
      <c r="O151" s="76"/>
      <c r="P151" s="77"/>
      <c r="Q151" s="77"/>
      <c r="R151" s="82"/>
      <c r="S151" s="49">
        <v>2</v>
      </c>
      <c r="T151" s="49">
        <v>0</v>
      </c>
      <c r="U151" s="50">
        <v>0</v>
      </c>
      <c r="V151" s="50">
        <v>0.001715</v>
      </c>
      <c r="W151" s="50">
        <v>0.00248</v>
      </c>
      <c r="X151" s="50">
        <v>0.350418</v>
      </c>
      <c r="Y151" s="50">
        <v>1</v>
      </c>
      <c r="Z151" s="50">
        <v>0</v>
      </c>
      <c r="AA151" s="72">
        <v>151</v>
      </c>
      <c r="AB151" s="72"/>
      <c r="AC151" s="73"/>
      <c r="AD151" s="80" t="s">
        <v>538</v>
      </c>
      <c r="AE151" s="80" t="s">
        <v>702</v>
      </c>
      <c r="AF151" s="80" t="s">
        <v>852</v>
      </c>
      <c r="AG151" s="80" t="s">
        <v>912</v>
      </c>
      <c r="AH151" s="80" t="s">
        <v>1120</v>
      </c>
      <c r="AI151" s="80">
        <v>1350</v>
      </c>
      <c r="AJ151" s="80">
        <v>1</v>
      </c>
      <c r="AK151" s="80">
        <v>9</v>
      </c>
      <c r="AL151" s="80">
        <v>0</v>
      </c>
      <c r="AM151" s="80" t="s">
        <v>1155</v>
      </c>
      <c r="AN151" s="98" t="str">
        <f>HYPERLINK("https://www.youtube.com/watch?v=_ci5QaUkAfw")</f>
        <v>https://www.youtube.com/watch?v=_ci5QaUkAfw</v>
      </c>
      <c r="AO151" s="80" t="str">
        <f>REPLACE(INDEX(GroupVertices[Group],MATCH(Vertices[[#This Row],[Vertex]],GroupVertices[Vertex],0)),1,1,"")</f>
        <v>1</v>
      </c>
      <c r="AP151" s="49">
        <v>0</v>
      </c>
      <c r="AQ151" s="50">
        <v>0</v>
      </c>
      <c r="AR151" s="49">
        <v>0</v>
      </c>
      <c r="AS151" s="50">
        <v>0</v>
      </c>
      <c r="AT151" s="49">
        <v>0</v>
      </c>
      <c r="AU151" s="50">
        <v>0</v>
      </c>
      <c r="AV151" s="49">
        <v>7</v>
      </c>
      <c r="AW151" s="50">
        <v>100</v>
      </c>
      <c r="AX151" s="49">
        <v>7</v>
      </c>
      <c r="AY151" s="49"/>
      <c r="AZ151" s="49"/>
      <c r="BA151" s="49"/>
      <c r="BB151" s="49"/>
      <c r="BC151" s="2"/>
      <c r="BD151" s="3"/>
      <c r="BE151" s="3"/>
      <c r="BF151" s="3"/>
      <c r="BG151" s="3"/>
    </row>
    <row r="152" spans="1:59" ht="15">
      <c r="A152" s="65" t="s">
        <v>222</v>
      </c>
      <c r="B152" s="66" t="s">
        <v>1624</v>
      </c>
      <c r="C152" s="66"/>
      <c r="D152" s="67">
        <v>485.7142857142857</v>
      </c>
      <c r="E152" s="69">
        <v>100</v>
      </c>
      <c r="F152" s="96" t="str">
        <f>HYPERLINK("https://i.ytimg.com/vi/hTnnEnpQkkk/default.jpg")</f>
        <v>https://i.ytimg.com/vi/hTnnEnpQkkk/default.jpg</v>
      </c>
      <c r="G152" s="66"/>
      <c r="H152" s="70" t="s">
        <v>539</v>
      </c>
      <c r="I152" s="71"/>
      <c r="J152" s="71" t="s">
        <v>75</v>
      </c>
      <c r="K152" s="70" t="s">
        <v>539</v>
      </c>
      <c r="L152" s="74">
        <v>8.388388889148782</v>
      </c>
      <c r="M152" s="75">
        <v>5289.0439453125</v>
      </c>
      <c r="N152" s="75">
        <v>7058.54248046875</v>
      </c>
      <c r="O152" s="76"/>
      <c r="P152" s="77"/>
      <c r="Q152" s="77"/>
      <c r="R152" s="82"/>
      <c r="S152" s="49">
        <v>9</v>
      </c>
      <c r="T152" s="49">
        <v>21</v>
      </c>
      <c r="U152" s="50">
        <v>292.733037</v>
      </c>
      <c r="V152" s="50">
        <v>0.002268</v>
      </c>
      <c r="W152" s="50">
        <v>0.030731</v>
      </c>
      <c r="X152" s="50">
        <v>2.770655</v>
      </c>
      <c r="Y152" s="50">
        <v>0.5066666666666667</v>
      </c>
      <c r="Z152" s="50">
        <v>0.2</v>
      </c>
      <c r="AA152" s="72">
        <v>152</v>
      </c>
      <c r="AB152" s="72"/>
      <c r="AC152" s="73"/>
      <c r="AD152" s="80" t="s">
        <v>539</v>
      </c>
      <c r="AE152" s="80" t="s">
        <v>703</v>
      </c>
      <c r="AF152" s="80" t="s">
        <v>853</v>
      </c>
      <c r="AG152" s="80" t="s">
        <v>960</v>
      </c>
      <c r="AH152" s="80" t="s">
        <v>1121</v>
      </c>
      <c r="AI152" s="80">
        <v>5074</v>
      </c>
      <c r="AJ152" s="80">
        <v>4</v>
      </c>
      <c r="AK152" s="80">
        <v>17</v>
      </c>
      <c r="AL152" s="80">
        <v>4</v>
      </c>
      <c r="AM152" s="80" t="s">
        <v>1155</v>
      </c>
      <c r="AN152" s="98" t="str">
        <f>HYPERLINK("https://www.youtube.com/watch?v=hTnnEnpQkkk")</f>
        <v>https://www.youtube.com/watch?v=hTnnEnpQkkk</v>
      </c>
      <c r="AO152" s="80" t="str">
        <f>REPLACE(INDEX(GroupVertices[Group],MATCH(Vertices[[#This Row],[Vertex]],GroupVertices[Vertex],0)),1,1,"")</f>
        <v>1</v>
      </c>
      <c r="AP152" s="49">
        <v>0</v>
      </c>
      <c r="AQ152" s="50">
        <v>0</v>
      </c>
      <c r="AR152" s="49">
        <v>0</v>
      </c>
      <c r="AS152" s="50">
        <v>0</v>
      </c>
      <c r="AT152" s="49">
        <v>0</v>
      </c>
      <c r="AU152" s="50">
        <v>0</v>
      </c>
      <c r="AV152" s="49">
        <v>3</v>
      </c>
      <c r="AW152" s="50">
        <v>100</v>
      </c>
      <c r="AX152" s="49">
        <v>3</v>
      </c>
      <c r="AY152" s="111" t="s">
        <v>1608</v>
      </c>
      <c r="AZ152" s="111" t="s">
        <v>1608</v>
      </c>
      <c r="BA152" s="111" t="s">
        <v>1608</v>
      </c>
      <c r="BB152" s="111" t="s">
        <v>1608</v>
      </c>
      <c r="BC152" s="2"/>
      <c r="BD152" s="3"/>
      <c r="BE152" s="3"/>
      <c r="BF152" s="3"/>
      <c r="BG152" s="3"/>
    </row>
    <row r="153" spans="1:59" ht="15">
      <c r="A153" s="65" t="s">
        <v>356</v>
      </c>
      <c r="B153" s="66" t="s">
        <v>1614</v>
      </c>
      <c r="C153" s="66"/>
      <c r="D153" s="67">
        <v>271.42857142857144</v>
      </c>
      <c r="E153" s="69">
        <v>75</v>
      </c>
      <c r="F153" s="96" t="str">
        <f>HYPERLINK("https://i.ytimg.com/vi/DfVp1zDYNLg/default.jpg")</f>
        <v>https://i.ytimg.com/vi/DfVp1zDYNLg/default.jpg</v>
      </c>
      <c r="G153" s="66"/>
      <c r="H153" s="70" t="s">
        <v>540</v>
      </c>
      <c r="I153" s="71"/>
      <c r="J153" s="71" t="s">
        <v>159</v>
      </c>
      <c r="K153" s="70" t="s">
        <v>540</v>
      </c>
      <c r="L153" s="74">
        <v>10.190541906027208</v>
      </c>
      <c r="M153" s="75">
        <v>1630.528076171875</v>
      </c>
      <c r="N153" s="75">
        <v>6259.69580078125</v>
      </c>
      <c r="O153" s="76"/>
      <c r="P153" s="77"/>
      <c r="Q153" s="77"/>
      <c r="R153" s="82"/>
      <c r="S153" s="49">
        <v>4</v>
      </c>
      <c r="T153" s="49">
        <v>0</v>
      </c>
      <c r="U153" s="50">
        <v>0</v>
      </c>
      <c r="V153" s="50">
        <v>0.001764</v>
      </c>
      <c r="W153" s="50">
        <v>0.005428</v>
      </c>
      <c r="X153" s="50">
        <v>0.541117</v>
      </c>
      <c r="Y153" s="50">
        <v>0.5833333333333334</v>
      </c>
      <c r="Z153" s="50">
        <v>0</v>
      </c>
      <c r="AA153" s="72">
        <v>153</v>
      </c>
      <c r="AB153" s="72"/>
      <c r="AC153" s="73"/>
      <c r="AD153" s="80" t="s">
        <v>540</v>
      </c>
      <c r="AE153" s="80" t="s">
        <v>704</v>
      </c>
      <c r="AF153" s="80" t="s">
        <v>854</v>
      </c>
      <c r="AG153" s="80" t="s">
        <v>961</v>
      </c>
      <c r="AH153" s="80" t="s">
        <v>1122</v>
      </c>
      <c r="AI153" s="80">
        <v>6307</v>
      </c>
      <c r="AJ153" s="80">
        <v>2</v>
      </c>
      <c r="AK153" s="80">
        <v>20</v>
      </c>
      <c r="AL153" s="80">
        <v>1</v>
      </c>
      <c r="AM153" s="80" t="s">
        <v>1155</v>
      </c>
      <c r="AN153" s="98" t="str">
        <f>HYPERLINK("https://www.youtube.com/watch?v=DfVp1zDYNLg")</f>
        <v>https://www.youtube.com/watch?v=DfVp1zDYNLg</v>
      </c>
      <c r="AO153" s="80" t="str">
        <f>REPLACE(INDEX(GroupVertices[Group],MATCH(Vertices[[#This Row],[Vertex]],GroupVertices[Vertex],0)),1,1,"")</f>
        <v>1</v>
      </c>
      <c r="AP153" s="49">
        <v>0</v>
      </c>
      <c r="AQ153" s="50">
        <v>0</v>
      </c>
      <c r="AR153" s="49">
        <v>0</v>
      </c>
      <c r="AS153" s="50">
        <v>0</v>
      </c>
      <c r="AT153" s="49">
        <v>0</v>
      </c>
      <c r="AU153" s="50">
        <v>0</v>
      </c>
      <c r="AV153" s="49">
        <v>4</v>
      </c>
      <c r="AW153" s="50">
        <v>100</v>
      </c>
      <c r="AX153" s="49">
        <v>4</v>
      </c>
      <c r="AY153" s="49"/>
      <c r="AZ153" s="49"/>
      <c r="BA153" s="49"/>
      <c r="BB153" s="49"/>
      <c r="BC153" s="2"/>
      <c r="BD153" s="3"/>
      <c r="BE153" s="3"/>
      <c r="BF153" s="3"/>
      <c r="BG153" s="3"/>
    </row>
    <row r="154" spans="1:59" ht="15">
      <c r="A154" s="65" t="s">
        <v>223</v>
      </c>
      <c r="B154" s="66" t="s">
        <v>1625</v>
      </c>
      <c r="C154" s="66"/>
      <c r="D154" s="67">
        <v>614.2857142857143</v>
      </c>
      <c r="E154" s="69">
        <v>100</v>
      </c>
      <c r="F154" s="96" t="str">
        <f>HYPERLINK("https://i.ytimg.com/vi/08MqGSL9TNQ/default.jpg")</f>
        <v>https://i.ytimg.com/vi/08MqGSL9TNQ/default.jpg</v>
      </c>
      <c r="G154" s="66"/>
      <c r="H154" s="70" t="s">
        <v>541</v>
      </c>
      <c r="I154" s="71"/>
      <c r="J154" s="71" t="s">
        <v>75</v>
      </c>
      <c r="K154" s="70" t="s">
        <v>541</v>
      </c>
      <c r="L154" s="74">
        <v>23.933968359967068</v>
      </c>
      <c r="M154" s="75">
        <v>1630.528076171875</v>
      </c>
      <c r="N154" s="75">
        <v>5460.84912109375</v>
      </c>
      <c r="O154" s="76"/>
      <c r="P154" s="77"/>
      <c r="Q154" s="77"/>
      <c r="R154" s="82"/>
      <c r="S154" s="49">
        <v>12</v>
      </c>
      <c r="T154" s="49">
        <v>23</v>
      </c>
      <c r="U154" s="50">
        <v>662.334681</v>
      </c>
      <c r="V154" s="50">
        <v>0.002392</v>
      </c>
      <c r="W154" s="50">
        <v>0.03253</v>
      </c>
      <c r="X154" s="50">
        <v>3.17927</v>
      </c>
      <c r="Y154" s="50">
        <v>0.43253968253968256</v>
      </c>
      <c r="Z154" s="50">
        <v>0.25</v>
      </c>
      <c r="AA154" s="72">
        <v>154</v>
      </c>
      <c r="AB154" s="72"/>
      <c r="AC154" s="73"/>
      <c r="AD154" s="80" t="s">
        <v>541</v>
      </c>
      <c r="AE154" s="80" t="s">
        <v>705</v>
      </c>
      <c r="AF154" s="80" t="s">
        <v>855</v>
      </c>
      <c r="AG154" s="80" t="s">
        <v>912</v>
      </c>
      <c r="AH154" s="80" t="s">
        <v>1123</v>
      </c>
      <c r="AI154" s="80">
        <v>15710</v>
      </c>
      <c r="AJ154" s="80">
        <v>15</v>
      </c>
      <c r="AK154" s="80">
        <v>60</v>
      </c>
      <c r="AL154" s="80">
        <v>1</v>
      </c>
      <c r="AM154" s="80" t="s">
        <v>1155</v>
      </c>
      <c r="AN154" s="98" t="str">
        <f>HYPERLINK("https://www.youtube.com/watch?v=08MqGSL9TNQ")</f>
        <v>https://www.youtube.com/watch?v=08MqGSL9TNQ</v>
      </c>
      <c r="AO154" s="80" t="str">
        <f>REPLACE(INDEX(GroupVertices[Group],MATCH(Vertices[[#This Row],[Vertex]],GroupVertices[Vertex],0)),1,1,"")</f>
        <v>1</v>
      </c>
      <c r="AP154" s="49">
        <v>0</v>
      </c>
      <c r="AQ154" s="50">
        <v>0</v>
      </c>
      <c r="AR154" s="49">
        <v>0</v>
      </c>
      <c r="AS154" s="50">
        <v>0</v>
      </c>
      <c r="AT154" s="49">
        <v>0</v>
      </c>
      <c r="AU154" s="50">
        <v>0</v>
      </c>
      <c r="AV154" s="49">
        <v>15</v>
      </c>
      <c r="AW154" s="50">
        <v>100</v>
      </c>
      <c r="AX154" s="49">
        <v>15</v>
      </c>
      <c r="AY154" s="111" t="s">
        <v>1608</v>
      </c>
      <c r="AZ154" s="111" t="s">
        <v>1608</v>
      </c>
      <c r="BA154" s="111" t="s">
        <v>1608</v>
      </c>
      <c r="BB154" s="111" t="s">
        <v>1608</v>
      </c>
      <c r="BC154" s="2"/>
      <c r="BD154" s="3"/>
      <c r="BE154" s="3"/>
      <c r="BF154" s="3"/>
      <c r="BG154" s="3"/>
    </row>
    <row r="155" spans="1:59" ht="15">
      <c r="A155" s="65" t="s">
        <v>357</v>
      </c>
      <c r="B155" s="66" t="s">
        <v>1614</v>
      </c>
      <c r="C155" s="66"/>
      <c r="D155" s="67">
        <v>185.71428571428572</v>
      </c>
      <c r="E155" s="69">
        <v>62.5</v>
      </c>
      <c r="F155" s="96" t="str">
        <f>HYPERLINK("https://i.ytimg.com/vi/39yXz72qdow/default.jpg")</f>
        <v>https://i.ytimg.com/vi/39yXz72qdow/default.jpg</v>
      </c>
      <c r="G155" s="66"/>
      <c r="H155" s="70" t="s">
        <v>542</v>
      </c>
      <c r="I155" s="71"/>
      <c r="J155" s="71" t="s">
        <v>159</v>
      </c>
      <c r="K155" s="70" t="s">
        <v>542</v>
      </c>
      <c r="L155" s="74">
        <v>27.640586406036565</v>
      </c>
      <c r="M155" s="75">
        <v>3459.786376953125</v>
      </c>
      <c r="N155" s="75">
        <v>5460.84912109375</v>
      </c>
      <c r="O155" s="76"/>
      <c r="P155" s="77"/>
      <c r="Q155" s="77"/>
      <c r="R155" s="82"/>
      <c r="S155" s="49">
        <v>2</v>
      </c>
      <c r="T155" s="49">
        <v>0</v>
      </c>
      <c r="U155" s="50">
        <v>0</v>
      </c>
      <c r="V155" s="50">
        <v>0.001773</v>
      </c>
      <c r="W155" s="50">
        <v>0.002807</v>
      </c>
      <c r="X155" s="50">
        <v>0.346703</v>
      </c>
      <c r="Y155" s="50">
        <v>0.5</v>
      </c>
      <c r="Z155" s="50">
        <v>0</v>
      </c>
      <c r="AA155" s="72">
        <v>155</v>
      </c>
      <c r="AB155" s="72"/>
      <c r="AC155" s="73"/>
      <c r="AD155" s="80" t="s">
        <v>542</v>
      </c>
      <c r="AE155" s="80" t="s">
        <v>706</v>
      </c>
      <c r="AF155" s="80" t="s">
        <v>856</v>
      </c>
      <c r="AG155" s="80" t="s">
        <v>962</v>
      </c>
      <c r="AH155" s="80" t="s">
        <v>1124</v>
      </c>
      <c r="AI155" s="80">
        <v>18246</v>
      </c>
      <c r="AJ155" s="80">
        <v>11</v>
      </c>
      <c r="AK155" s="80">
        <v>25</v>
      </c>
      <c r="AL155" s="80">
        <v>1</v>
      </c>
      <c r="AM155" s="80" t="s">
        <v>1155</v>
      </c>
      <c r="AN155" s="98" t="str">
        <f>HYPERLINK("https://www.youtube.com/watch?v=39yXz72qdow")</f>
        <v>https://www.youtube.com/watch?v=39yXz72qdow</v>
      </c>
      <c r="AO155" s="80" t="str">
        <f>REPLACE(INDEX(GroupVertices[Group],MATCH(Vertices[[#This Row],[Vertex]],GroupVertices[Vertex],0)),1,1,"")</f>
        <v>1</v>
      </c>
      <c r="AP155" s="49">
        <v>0</v>
      </c>
      <c r="AQ155" s="50">
        <v>0</v>
      </c>
      <c r="AR155" s="49">
        <v>0</v>
      </c>
      <c r="AS155" s="50">
        <v>0</v>
      </c>
      <c r="AT155" s="49">
        <v>0</v>
      </c>
      <c r="AU155" s="50">
        <v>0</v>
      </c>
      <c r="AV155" s="49">
        <v>12</v>
      </c>
      <c r="AW155" s="50">
        <v>100</v>
      </c>
      <c r="AX155" s="49">
        <v>12</v>
      </c>
      <c r="AY155" s="49"/>
      <c r="AZ155" s="49"/>
      <c r="BA155" s="49"/>
      <c r="BB155" s="49"/>
      <c r="BC155" s="2"/>
      <c r="BD155" s="3"/>
      <c r="BE155" s="3"/>
      <c r="BF155" s="3"/>
      <c r="BG155" s="3"/>
    </row>
    <row r="156" spans="1:59" ht="15">
      <c r="A156" s="65" t="s">
        <v>224</v>
      </c>
      <c r="B156" s="66" t="s">
        <v>1626</v>
      </c>
      <c r="C156" s="66"/>
      <c r="D156" s="67">
        <v>228.57142857142858</v>
      </c>
      <c r="E156" s="69">
        <v>68.75</v>
      </c>
      <c r="F156" s="96" t="str">
        <f>HYPERLINK("https://i.ytimg.com/vi/zMlwGOki4Yg/default.jpg")</f>
        <v>https://i.ytimg.com/vi/zMlwGOki4Yg/default.jpg</v>
      </c>
      <c r="G156" s="66"/>
      <c r="H156" s="70" t="s">
        <v>543</v>
      </c>
      <c r="I156" s="71"/>
      <c r="J156" s="71" t="s">
        <v>159</v>
      </c>
      <c r="K156" s="70" t="s">
        <v>543</v>
      </c>
      <c r="L156" s="74">
        <v>26.71977829522277</v>
      </c>
      <c r="M156" s="75">
        <v>2850.033447265625</v>
      </c>
      <c r="N156" s="75">
        <v>5460.84912109375</v>
      </c>
      <c r="O156" s="76"/>
      <c r="P156" s="77"/>
      <c r="Q156" s="77"/>
      <c r="R156" s="82"/>
      <c r="S156" s="49">
        <v>3</v>
      </c>
      <c r="T156" s="49">
        <v>27</v>
      </c>
      <c r="U156" s="50">
        <v>1427.931907</v>
      </c>
      <c r="V156" s="50">
        <v>0.002283</v>
      </c>
      <c r="W156" s="50">
        <v>0.030701</v>
      </c>
      <c r="X156" s="50">
        <v>3.409375</v>
      </c>
      <c r="Y156" s="50">
        <v>0.40476190476190477</v>
      </c>
      <c r="Z156" s="50">
        <v>0.07142857142857142</v>
      </c>
      <c r="AA156" s="72">
        <v>156</v>
      </c>
      <c r="AB156" s="72"/>
      <c r="AC156" s="73"/>
      <c r="AD156" s="80" t="s">
        <v>543</v>
      </c>
      <c r="AE156" s="80" t="s">
        <v>707</v>
      </c>
      <c r="AF156" s="80" t="s">
        <v>857</v>
      </c>
      <c r="AG156" s="80" t="s">
        <v>963</v>
      </c>
      <c r="AH156" s="80" t="s">
        <v>1125</v>
      </c>
      <c r="AI156" s="80">
        <v>17616</v>
      </c>
      <c r="AJ156" s="80">
        <v>2</v>
      </c>
      <c r="AK156" s="80">
        <v>32</v>
      </c>
      <c r="AL156" s="80">
        <v>0</v>
      </c>
      <c r="AM156" s="80" t="s">
        <v>1155</v>
      </c>
      <c r="AN156" s="98" t="str">
        <f>HYPERLINK("https://www.youtube.com/watch?v=zMlwGOki4Yg")</f>
        <v>https://www.youtube.com/watch?v=zMlwGOki4Yg</v>
      </c>
      <c r="AO156" s="80" t="str">
        <f>REPLACE(INDEX(GroupVertices[Group],MATCH(Vertices[[#This Row],[Vertex]],GroupVertices[Vertex],0)),1,1,"")</f>
        <v>1</v>
      </c>
      <c r="AP156" s="49">
        <v>0</v>
      </c>
      <c r="AQ156" s="50">
        <v>0</v>
      </c>
      <c r="AR156" s="49">
        <v>0</v>
      </c>
      <c r="AS156" s="50">
        <v>0</v>
      </c>
      <c r="AT156" s="49">
        <v>0</v>
      </c>
      <c r="AU156" s="50">
        <v>0</v>
      </c>
      <c r="AV156" s="49">
        <v>5</v>
      </c>
      <c r="AW156" s="50">
        <v>100</v>
      </c>
      <c r="AX156" s="49">
        <v>5</v>
      </c>
      <c r="AY156" s="111" t="s">
        <v>1608</v>
      </c>
      <c r="AZ156" s="111" t="s">
        <v>1608</v>
      </c>
      <c r="BA156" s="111" t="s">
        <v>1608</v>
      </c>
      <c r="BB156" s="111" t="s">
        <v>1608</v>
      </c>
      <c r="BC156" s="2"/>
      <c r="BD156" s="3"/>
      <c r="BE156" s="3"/>
      <c r="BF156" s="3"/>
      <c r="BG156" s="3"/>
    </row>
    <row r="157" spans="1:59" ht="15">
      <c r="A157" s="65" t="s">
        <v>358</v>
      </c>
      <c r="B157" s="66" t="s">
        <v>1614</v>
      </c>
      <c r="C157" s="66"/>
      <c r="D157" s="67">
        <v>142.85714285714286</v>
      </c>
      <c r="E157" s="69">
        <v>56.25</v>
      </c>
      <c r="F157" s="96" t="str">
        <f>HYPERLINK("https://i.ytimg.com/vi/m-pMvG1PY9g/default.jpg")</f>
        <v>https://i.ytimg.com/vi/m-pMvG1PY9g/default.jpg</v>
      </c>
      <c r="G157" s="66"/>
      <c r="H157" s="70" t="s">
        <v>544</v>
      </c>
      <c r="I157" s="71"/>
      <c r="J157" s="71" t="s">
        <v>159</v>
      </c>
      <c r="K157" s="70" t="s">
        <v>544</v>
      </c>
      <c r="L157" s="74">
        <v>3167.169457029715</v>
      </c>
      <c r="M157" s="75">
        <v>2850.033447265625</v>
      </c>
      <c r="N157" s="75">
        <v>4662.0029296875</v>
      </c>
      <c r="O157" s="76"/>
      <c r="P157" s="77"/>
      <c r="Q157" s="77"/>
      <c r="R157" s="82"/>
      <c r="S157" s="49">
        <v>1</v>
      </c>
      <c r="T157" s="49">
        <v>0</v>
      </c>
      <c r="U157" s="50">
        <v>0</v>
      </c>
      <c r="V157" s="50">
        <v>0.001618</v>
      </c>
      <c r="W157" s="50">
        <v>0.001338</v>
      </c>
      <c r="X157" s="50">
        <v>0.253499</v>
      </c>
      <c r="Y157" s="50">
        <v>0</v>
      </c>
      <c r="Z157" s="50">
        <v>0</v>
      </c>
      <c r="AA157" s="72">
        <v>157</v>
      </c>
      <c r="AB157" s="72"/>
      <c r="AC157" s="73"/>
      <c r="AD157" s="80" t="s">
        <v>544</v>
      </c>
      <c r="AE157" s="80" t="s">
        <v>708</v>
      </c>
      <c r="AF157" s="80" t="s">
        <v>858</v>
      </c>
      <c r="AG157" s="80" t="s">
        <v>964</v>
      </c>
      <c r="AH157" s="80" t="s">
        <v>1126</v>
      </c>
      <c r="AI157" s="80">
        <v>2166254</v>
      </c>
      <c r="AJ157" s="80">
        <v>28972</v>
      </c>
      <c r="AK157" s="80">
        <v>518326</v>
      </c>
      <c r="AL157" s="80">
        <v>2463</v>
      </c>
      <c r="AM157" s="80" t="s">
        <v>1155</v>
      </c>
      <c r="AN157" s="98" t="str">
        <f>HYPERLINK("https://www.youtube.com/watch?v=m-pMvG1PY9g")</f>
        <v>https://www.youtube.com/watch?v=m-pMvG1PY9g</v>
      </c>
      <c r="AO157" s="80" t="str">
        <f>REPLACE(INDEX(GroupVertices[Group],MATCH(Vertices[[#This Row],[Vertex]],GroupVertices[Vertex],0)),1,1,"")</f>
        <v>1</v>
      </c>
      <c r="AP157" s="49">
        <v>0</v>
      </c>
      <c r="AQ157" s="50">
        <v>0</v>
      </c>
      <c r="AR157" s="49">
        <v>0</v>
      </c>
      <c r="AS157" s="50">
        <v>0</v>
      </c>
      <c r="AT157" s="49">
        <v>0</v>
      </c>
      <c r="AU157" s="50">
        <v>0</v>
      </c>
      <c r="AV157" s="49">
        <v>30</v>
      </c>
      <c r="AW157" s="50">
        <v>100</v>
      </c>
      <c r="AX157" s="49">
        <v>30</v>
      </c>
      <c r="AY157" s="49"/>
      <c r="AZ157" s="49"/>
      <c r="BA157" s="49"/>
      <c r="BB157" s="49"/>
      <c r="BC157" s="2"/>
      <c r="BD157" s="3"/>
      <c r="BE157" s="3"/>
      <c r="BF157" s="3"/>
      <c r="BG157" s="3"/>
    </row>
    <row r="158" spans="1:59" ht="15">
      <c r="A158" s="65" t="s">
        <v>359</v>
      </c>
      <c r="B158" s="66" t="s">
        <v>1614</v>
      </c>
      <c r="C158" s="66"/>
      <c r="D158" s="67">
        <v>142.85714285714286</v>
      </c>
      <c r="E158" s="69">
        <v>56.25</v>
      </c>
      <c r="F158" s="96" t="str">
        <f>HYPERLINK("https://i.ytimg.com/vi/7TBPrYJDoDE/default.jpg")</f>
        <v>https://i.ytimg.com/vi/7TBPrYJDoDE/default.jpg</v>
      </c>
      <c r="G158" s="66"/>
      <c r="H158" s="70" t="s">
        <v>545</v>
      </c>
      <c r="I158" s="71"/>
      <c r="J158" s="71" t="s">
        <v>159</v>
      </c>
      <c r="K158" s="70" t="s">
        <v>545</v>
      </c>
      <c r="L158" s="74">
        <v>9999</v>
      </c>
      <c r="M158" s="75">
        <v>3459.786376953125</v>
      </c>
      <c r="N158" s="75">
        <v>4662.0029296875</v>
      </c>
      <c r="O158" s="76"/>
      <c r="P158" s="77"/>
      <c r="Q158" s="77"/>
      <c r="R158" s="82"/>
      <c r="S158" s="49">
        <v>1</v>
      </c>
      <c r="T158" s="49">
        <v>0</v>
      </c>
      <c r="U158" s="50">
        <v>0</v>
      </c>
      <c r="V158" s="50">
        <v>0.001618</v>
      </c>
      <c r="W158" s="50">
        <v>0.001338</v>
      </c>
      <c r="X158" s="50">
        <v>0.253499</v>
      </c>
      <c r="Y158" s="50">
        <v>0</v>
      </c>
      <c r="Z158" s="50">
        <v>0</v>
      </c>
      <c r="AA158" s="72">
        <v>158</v>
      </c>
      <c r="AB158" s="72"/>
      <c r="AC158" s="73"/>
      <c r="AD158" s="80" t="s">
        <v>545</v>
      </c>
      <c r="AE158" s="80" t="s">
        <v>709</v>
      </c>
      <c r="AF158" s="80" t="s">
        <v>859</v>
      </c>
      <c r="AG158" s="80" t="s">
        <v>965</v>
      </c>
      <c r="AH158" s="80" t="s">
        <v>1127</v>
      </c>
      <c r="AI158" s="80">
        <v>6840467</v>
      </c>
      <c r="AJ158" s="80">
        <v>35716</v>
      </c>
      <c r="AK158" s="80">
        <v>378316</v>
      </c>
      <c r="AL158" s="80">
        <v>10894</v>
      </c>
      <c r="AM158" s="80" t="s">
        <v>1155</v>
      </c>
      <c r="AN158" s="98" t="str">
        <f>HYPERLINK("https://www.youtube.com/watch?v=7TBPrYJDoDE")</f>
        <v>https://www.youtube.com/watch?v=7TBPrYJDoDE</v>
      </c>
      <c r="AO158" s="80" t="str">
        <f>REPLACE(INDEX(GroupVertices[Group],MATCH(Vertices[[#This Row],[Vertex]],GroupVertices[Vertex],0)),1,1,"")</f>
        <v>1</v>
      </c>
      <c r="AP158" s="49">
        <v>0</v>
      </c>
      <c r="AQ158" s="50">
        <v>0</v>
      </c>
      <c r="AR158" s="49">
        <v>0</v>
      </c>
      <c r="AS158" s="50">
        <v>0</v>
      </c>
      <c r="AT158" s="49">
        <v>0</v>
      </c>
      <c r="AU158" s="50">
        <v>0</v>
      </c>
      <c r="AV158" s="49">
        <v>4</v>
      </c>
      <c r="AW158" s="50">
        <v>100</v>
      </c>
      <c r="AX158" s="49">
        <v>4</v>
      </c>
      <c r="AY158" s="49"/>
      <c r="AZ158" s="49"/>
      <c r="BA158" s="49"/>
      <c r="BB158" s="49"/>
      <c r="BC158" s="2"/>
      <c r="BD158" s="3"/>
      <c r="BE158" s="3"/>
      <c r="BF158" s="3"/>
      <c r="BG158" s="3"/>
    </row>
    <row r="159" spans="1:59" ht="15">
      <c r="A159" s="65" t="s">
        <v>360</v>
      </c>
      <c r="B159" s="66" t="s">
        <v>1614</v>
      </c>
      <c r="C159" s="66"/>
      <c r="D159" s="67">
        <v>142.85714285714286</v>
      </c>
      <c r="E159" s="69">
        <v>56.25</v>
      </c>
      <c r="F159" s="96" t="str">
        <f>HYPERLINK("https://i.ytimg.com/vi/H0gH6EB6OeE/default.jpg")</f>
        <v>https://i.ytimg.com/vi/H0gH6EB6OeE/default.jpg</v>
      </c>
      <c r="G159" s="66"/>
      <c r="H159" s="70" t="s">
        <v>546</v>
      </c>
      <c r="I159" s="71"/>
      <c r="J159" s="71" t="s">
        <v>159</v>
      </c>
      <c r="K159" s="70" t="s">
        <v>546</v>
      </c>
      <c r="L159" s="74">
        <v>273.16603035356746</v>
      </c>
      <c r="M159" s="75">
        <v>2240.28076171875</v>
      </c>
      <c r="N159" s="75">
        <v>4662.0029296875</v>
      </c>
      <c r="O159" s="76"/>
      <c r="P159" s="77"/>
      <c r="Q159" s="77"/>
      <c r="R159" s="82"/>
      <c r="S159" s="49">
        <v>1</v>
      </c>
      <c r="T159" s="49">
        <v>0</v>
      </c>
      <c r="U159" s="50">
        <v>0</v>
      </c>
      <c r="V159" s="50">
        <v>0.001618</v>
      </c>
      <c r="W159" s="50">
        <v>0.001338</v>
      </c>
      <c r="X159" s="50">
        <v>0.253499</v>
      </c>
      <c r="Y159" s="50">
        <v>0</v>
      </c>
      <c r="Z159" s="50">
        <v>0</v>
      </c>
      <c r="AA159" s="72">
        <v>159</v>
      </c>
      <c r="AB159" s="72"/>
      <c r="AC159" s="73"/>
      <c r="AD159" s="80" t="s">
        <v>546</v>
      </c>
      <c r="AE159" s="80" t="s">
        <v>710</v>
      </c>
      <c r="AF159" s="80" t="s">
        <v>860</v>
      </c>
      <c r="AG159" s="80" t="s">
        <v>966</v>
      </c>
      <c r="AH159" s="80" t="s">
        <v>1128</v>
      </c>
      <c r="AI159" s="80">
        <v>186230</v>
      </c>
      <c r="AJ159" s="80">
        <v>144</v>
      </c>
      <c r="AK159" s="80">
        <v>6194</v>
      </c>
      <c r="AL159" s="80">
        <v>76</v>
      </c>
      <c r="AM159" s="80" t="s">
        <v>1155</v>
      </c>
      <c r="AN159" s="98" t="str">
        <f>HYPERLINK("https://www.youtube.com/watch?v=H0gH6EB6OeE")</f>
        <v>https://www.youtube.com/watch?v=H0gH6EB6OeE</v>
      </c>
      <c r="AO159" s="80" t="str">
        <f>REPLACE(INDEX(GroupVertices[Group],MATCH(Vertices[[#This Row],[Vertex]],GroupVertices[Vertex],0)),1,1,"")</f>
        <v>1</v>
      </c>
      <c r="AP159" s="49">
        <v>0</v>
      </c>
      <c r="AQ159" s="50">
        <v>0</v>
      </c>
      <c r="AR159" s="49">
        <v>0</v>
      </c>
      <c r="AS159" s="50">
        <v>0</v>
      </c>
      <c r="AT159" s="49">
        <v>0</v>
      </c>
      <c r="AU159" s="50">
        <v>0</v>
      </c>
      <c r="AV159" s="49">
        <v>39</v>
      </c>
      <c r="AW159" s="50">
        <v>100</v>
      </c>
      <c r="AX159" s="49">
        <v>39</v>
      </c>
      <c r="AY159" s="49"/>
      <c r="AZ159" s="49"/>
      <c r="BA159" s="49"/>
      <c r="BB159" s="49"/>
      <c r="BC159" s="2"/>
      <c r="BD159" s="3"/>
      <c r="BE159" s="3"/>
      <c r="BF159" s="3"/>
      <c r="BG159" s="3"/>
    </row>
    <row r="160" spans="1:59" ht="15">
      <c r="A160" s="65" t="s">
        <v>361</v>
      </c>
      <c r="B160" s="66" t="s">
        <v>1614</v>
      </c>
      <c r="C160" s="66"/>
      <c r="D160" s="67">
        <v>228.57142857142858</v>
      </c>
      <c r="E160" s="69">
        <v>68.75</v>
      </c>
      <c r="F160" s="96" t="str">
        <f>HYPERLINK("https://i.ytimg.com/vi/qvkHyCBZjZ8/default.jpg")</f>
        <v>https://i.ytimg.com/vi/qvkHyCBZjZ8/default.jpg</v>
      </c>
      <c r="G160" s="66"/>
      <c r="H160" s="70" t="s">
        <v>547</v>
      </c>
      <c r="I160" s="71"/>
      <c r="J160" s="71" t="s">
        <v>159</v>
      </c>
      <c r="K160" s="70" t="s">
        <v>547</v>
      </c>
      <c r="L160" s="74">
        <v>1</v>
      </c>
      <c r="M160" s="75">
        <v>411.0228271484375</v>
      </c>
      <c r="N160" s="75">
        <v>9455.08203125</v>
      </c>
      <c r="O160" s="76"/>
      <c r="P160" s="77"/>
      <c r="Q160" s="77"/>
      <c r="R160" s="82"/>
      <c r="S160" s="49">
        <v>3</v>
      </c>
      <c r="T160" s="49">
        <v>0</v>
      </c>
      <c r="U160" s="50">
        <v>0</v>
      </c>
      <c r="V160" s="50">
        <v>0.00173</v>
      </c>
      <c r="W160" s="50">
        <v>0.003786</v>
      </c>
      <c r="X160" s="50">
        <v>0.45807</v>
      </c>
      <c r="Y160" s="50">
        <v>0.6666666666666666</v>
      </c>
      <c r="Z160" s="50">
        <v>0</v>
      </c>
      <c r="AA160" s="72">
        <v>160</v>
      </c>
      <c r="AB160" s="72"/>
      <c r="AC160" s="73"/>
      <c r="AD160" s="80" t="s">
        <v>547</v>
      </c>
      <c r="AE160" s="80"/>
      <c r="AF160" s="80"/>
      <c r="AG160" s="80" t="s">
        <v>967</v>
      </c>
      <c r="AH160" s="80" t="s">
        <v>1129</v>
      </c>
      <c r="AI160" s="80">
        <v>19</v>
      </c>
      <c r="AJ160" s="80">
        <v>0</v>
      </c>
      <c r="AK160" s="80">
        <v>0</v>
      </c>
      <c r="AL160" s="80">
        <v>0</v>
      </c>
      <c r="AM160" s="80" t="s">
        <v>1155</v>
      </c>
      <c r="AN160" s="98" t="str">
        <f>HYPERLINK("https://www.youtube.com/watch?v=qvkHyCBZjZ8")</f>
        <v>https://www.youtube.com/watch?v=qvkHyCBZjZ8</v>
      </c>
      <c r="AO160" s="80" t="str">
        <f>REPLACE(INDEX(GroupVertices[Group],MATCH(Vertices[[#This Row],[Vertex]],GroupVertices[Vertex],0)),1,1,"")</f>
        <v>1</v>
      </c>
      <c r="AP160" s="49"/>
      <c r="AQ160" s="50"/>
      <c r="AR160" s="49"/>
      <c r="AS160" s="50"/>
      <c r="AT160" s="49"/>
      <c r="AU160" s="50"/>
      <c r="AV160" s="49"/>
      <c r="AW160" s="50"/>
      <c r="AX160" s="49"/>
      <c r="AY160" s="49"/>
      <c r="AZ160" s="49"/>
      <c r="BA160" s="49"/>
      <c r="BB160" s="49"/>
      <c r="BC160" s="2"/>
      <c r="BD160" s="3"/>
      <c r="BE160" s="3"/>
      <c r="BF160" s="3"/>
      <c r="BG160" s="3"/>
    </row>
    <row r="161" spans="1:59" ht="15">
      <c r="A161" s="65" t="s">
        <v>225</v>
      </c>
      <c r="B161" s="66" t="s">
        <v>1627</v>
      </c>
      <c r="C161" s="66"/>
      <c r="D161" s="67">
        <v>185.71428571428572</v>
      </c>
      <c r="E161" s="69">
        <v>62.5</v>
      </c>
      <c r="F161" s="96" t="str">
        <f>HYPERLINK("https://i.ytimg.com/vi/owl9we4ldFI/default.jpg")</f>
        <v>https://i.ytimg.com/vi/owl9we4ldFI/default.jpg</v>
      </c>
      <c r="G161" s="66"/>
      <c r="H161" s="70" t="s">
        <v>548</v>
      </c>
      <c r="I161" s="71"/>
      <c r="J161" s="71" t="s">
        <v>159</v>
      </c>
      <c r="K161" s="70" t="s">
        <v>548</v>
      </c>
      <c r="L161" s="74">
        <v>36.638197088845644</v>
      </c>
      <c r="M161" s="75">
        <v>5289.0439453125</v>
      </c>
      <c r="N161" s="75">
        <v>5460.84912109375</v>
      </c>
      <c r="O161" s="76"/>
      <c r="P161" s="77"/>
      <c r="Q161" s="77"/>
      <c r="R161" s="82"/>
      <c r="S161" s="49">
        <v>2</v>
      </c>
      <c r="T161" s="49">
        <v>25</v>
      </c>
      <c r="U161" s="50">
        <v>719.369583</v>
      </c>
      <c r="V161" s="50">
        <v>0.002273</v>
      </c>
      <c r="W161" s="50">
        <v>0.030002</v>
      </c>
      <c r="X161" s="50">
        <v>2.892829</v>
      </c>
      <c r="Y161" s="50">
        <v>0.495</v>
      </c>
      <c r="Z161" s="50">
        <v>0.08</v>
      </c>
      <c r="AA161" s="72">
        <v>161</v>
      </c>
      <c r="AB161" s="72"/>
      <c r="AC161" s="73"/>
      <c r="AD161" s="80" t="s">
        <v>548</v>
      </c>
      <c r="AE161" s="80" t="s">
        <v>711</v>
      </c>
      <c r="AF161" s="80" t="s">
        <v>857</v>
      </c>
      <c r="AG161" s="80" t="s">
        <v>963</v>
      </c>
      <c r="AH161" s="80" t="s">
        <v>1130</v>
      </c>
      <c r="AI161" s="80">
        <v>24402</v>
      </c>
      <c r="AJ161" s="80">
        <v>3</v>
      </c>
      <c r="AK161" s="80">
        <v>39</v>
      </c>
      <c r="AL161" s="80">
        <v>1</v>
      </c>
      <c r="AM161" s="80" t="s">
        <v>1155</v>
      </c>
      <c r="AN161" s="98" t="str">
        <f>HYPERLINK("https://www.youtube.com/watch?v=owl9we4ldFI")</f>
        <v>https://www.youtube.com/watch?v=owl9we4ldFI</v>
      </c>
      <c r="AO161" s="80" t="str">
        <f>REPLACE(INDEX(GroupVertices[Group],MATCH(Vertices[[#This Row],[Vertex]],GroupVertices[Vertex],0)),1,1,"")</f>
        <v>1</v>
      </c>
      <c r="AP161" s="49">
        <v>0</v>
      </c>
      <c r="AQ161" s="50">
        <v>0</v>
      </c>
      <c r="AR161" s="49">
        <v>0</v>
      </c>
      <c r="AS161" s="50">
        <v>0</v>
      </c>
      <c r="AT161" s="49">
        <v>0</v>
      </c>
      <c r="AU161" s="50">
        <v>0</v>
      </c>
      <c r="AV161" s="49">
        <v>5</v>
      </c>
      <c r="AW161" s="50">
        <v>100</v>
      </c>
      <c r="AX161" s="49">
        <v>5</v>
      </c>
      <c r="AY161" s="111" t="s">
        <v>1608</v>
      </c>
      <c r="AZ161" s="111" t="s">
        <v>1608</v>
      </c>
      <c r="BA161" s="111" t="s">
        <v>1608</v>
      </c>
      <c r="BB161" s="111" t="s">
        <v>1608</v>
      </c>
      <c r="BC161" s="2"/>
      <c r="BD161" s="3"/>
      <c r="BE161" s="3"/>
      <c r="BF161" s="3"/>
      <c r="BG161" s="3"/>
    </row>
    <row r="162" spans="1:59" ht="15">
      <c r="A162" s="65" t="s">
        <v>362</v>
      </c>
      <c r="B162" s="66" t="s">
        <v>1614</v>
      </c>
      <c r="C162" s="66"/>
      <c r="D162" s="67">
        <v>142.85714285714286</v>
      </c>
      <c r="E162" s="69">
        <v>56.25</v>
      </c>
      <c r="F162" s="96" t="str">
        <f>HYPERLINK("https://i.ytimg.com/vi/pYVVfRljZFo/default.jpg")</f>
        <v>https://i.ytimg.com/vi/pYVVfRljZFo/default.jpg</v>
      </c>
      <c r="G162" s="66"/>
      <c r="H162" s="70" t="s">
        <v>549</v>
      </c>
      <c r="I162" s="71"/>
      <c r="J162" s="71" t="s">
        <v>159</v>
      </c>
      <c r="K162" s="70" t="s">
        <v>549</v>
      </c>
      <c r="L162" s="74">
        <v>20.75352637721974</v>
      </c>
      <c r="M162" s="75">
        <v>411.0228271484375</v>
      </c>
      <c r="N162" s="75">
        <v>5460.84912109375</v>
      </c>
      <c r="O162" s="76"/>
      <c r="P162" s="77"/>
      <c r="Q162" s="77"/>
      <c r="R162" s="82"/>
      <c r="S162" s="49">
        <v>1</v>
      </c>
      <c r="T162" s="49">
        <v>0</v>
      </c>
      <c r="U162" s="50">
        <v>0</v>
      </c>
      <c r="V162" s="50">
        <v>0.001613</v>
      </c>
      <c r="W162" s="50">
        <v>0.001307</v>
      </c>
      <c r="X162" s="50">
        <v>0.248356</v>
      </c>
      <c r="Y162" s="50">
        <v>0</v>
      </c>
      <c r="Z162" s="50">
        <v>0</v>
      </c>
      <c r="AA162" s="72">
        <v>162</v>
      </c>
      <c r="AB162" s="72"/>
      <c r="AC162" s="73"/>
      <c r="AD162" s="80" t="s">
        <v>549</v>
      </c>
      <c r="AE162" s="80" t="s">
        <v>712</v>
      </c>
      <c r="AF162" s="80" t="s">
        <v>861</v>
      </c>
      <c r="AG162" s="80" t="s">
        <v>968</v>
      </c>
      <c r="AH162" s="80" t="s">
        <v>1131</v>
      </c>
      <c r="AI162" s="80">
        <v>13534</v>
      </c>
      <c r="AJ162" s="80">
        <v>12</v>
      </c>
      <c r="AK162" s="80">
        <v>230</v>
      </c>
      <c r="AL162" s="80">
        <v>5</v>
      </c>
      <c r="AM162" s="80" t="s">
        <v>1155</v>
      </c>
      <c r="AN162" s="98" t="str">
        <f>HYPERLINK("https://www.youtube.com/watch?v=pYVVfRljZFo")</f>
        <v>https://www.youtube.com/watch?v=pYVVfRljZFo</v>
      </c>
      <c r="AO162" s="80" t="str">
        <f>REPLACE(INDEX(GroupVertices[Group],MATCH(Vertices[[#This Row],[Vertex]],GroupVertices[Vertex],0)),1,1,"")</f>
        <v>1</v>
      </c>
      <c r="AP162" s="49">
        <v>0</v>
      </c>
      <c r="AQ162" s="50">
        <v>0</v>
      </c>
      <c r="AR162" s="49">
        <v>0</v>
      </c>
      <c r="AS162" s="50">
        <v>0</v>
      </c>
      <c r="AT162" s="49">
        <v>0</v>
      </c>
      <c r="AU162" s="50">
        <v>0</v>
      </c>
      <c r="AV162" s="49">
        <v>4</v>
      </c>
      <c r="AW162" s="50">
        <v>100</v>
      </c>
      <c r="AX162" s="49">
        <v>4</v>
      </c>
      <c r="AY162" s="49"/>
      <c r="AZ162" s="49"/>
      <c r="BA162" s="49"/>
      <c r="BB162" s="49"/>
      <c r="BC162" s="2"/>
      <c r="BD162" s="3"/>
      <c r="BE162" s="3"/>
      <c r="BF162" s="3"/>
      <c r="BG162" s="3"/>
    </row>
    <row r="163" spans="1:59" ht="15">
      <c r="A163" s="65" t="s">
        <v>226</v>
      </c>
      <c r="B163" s="66" t="s">
        <v>1619</v>
      </c>
      <c r="C163" s="66"/>
      <c r="D163" s="67">
        <v>871.4285714285714</v>
      </c>
      <c r="E163" s="69">
        <v>100</v>
      </c>
      <c r="F163" s="96" t="str">
        <f>HYPERLINK("https://i.ytimg.com/vi/leNjC1CQiow/default.jpg")</f>
        <v>https://i.ytimg.com/vi/leNjC1CQiow/default.jpg</v>
      </c>
      <c r="G163" s="66"/>
      <c r="H163" s="70" t="s">
        <v>550</v>
      </c>
      <c r="I163" s="71"/>
      <c r="J163" s="71" t="s">
        <v>75</v>
      </c>
      <c r="K163" s="70" t="s">
        <v>550</v>
      </c>
      <c r="L163" s="74">
        <v>2.8664634246178027</v>
      </c>
      <c r="M163" s="75">
        <v>9070.21875</v>
      </c>
      <c r="N163" s="75">
        <v>1141.50439453125</v>
      </c>
      <c r="O163" s="76"/>
      <c r="P163" s="77"/>
      <c r="Q163" s="77"/>
      <c r="R163" s="82"/>
      <c r="S163" s="49">
        <v>18</v>
      </c>
      <c r="T163" s="49">
        <v>17</v>
      </c>
      <c r="U163" s="50">
        <v>1945.165544</v>
      </c>
      <c r="V163" s="50">
        <v>0.002268</v>
      </c>
      <c r="W163" s="50">
        <v>0.029147</v>
      </c>
      <c r="X163" s="50">
        <v>3.697217</v>
      </c>
      <c r="Y163" s="50">
        <v>0.3288177339901478</v>
      </c>
      <c r="Z163" s="50">
        <v>0.20689655172413793</v>
      </c>
      <c r="AA163" s="72">
        <v>163</v>
      </c>
      <c r="AB163" s="72"/>
      <c r="AC163" s="73"/>
      <c r="AD163" s="80" t="s">
        <v>550</v>
      </c>
      <c r="AE163" s="80" t="s">
        <v>713</v>
      </c>
      <c r="AF163" s="80" t="s">
        <v>862</v>
      </c>
      <c r="AG163" s="80" t="s">
        <v>946</v>
      </c>
      <c r="AH163" s="80" t="s">
        <v>1132</v>
      </c>
      <c r="AI163" s="80">
        <v>1296</v>
      </c>
      <c r="AJ163" s="80">
        <v>1</v>
      </c>
      <c r="AK163" s="80">
        <v>15</v>
      </c>
      <c r="AL163" s="80">
        <v>0</v>
      </c>
      <c r="AM163" s="80" t="s">
        <v>1155</v>
      </c>
      <c r="AN163" s="98" t="str">
        <f>HYPERLINK("https://www.youtube.com/watch?v=leNjC1CQiow")</f>
        <v>https://www.youtube.com/watch?v=leNjC1CQiow</v>
      </c>
      <c r="AO163" s="80" t="str">
        <f>REPLACE(INDEX(GroupVertices[Group],MATCH(Vertices[[#This Row],[Vertex]],GroupVertices[Vertex],0)),1,1,"")</f>
        <v>8</v>
      </c>
      <c r="AP163" s="49">
        <v>0</v>
      </c>
      <c r="AQ163" s="50">
        <v>0</v>
      </c>
      <c r="AR163" s="49">
        <v>0</v>
      </c>
      <c r="AS163" s="50">
        <v>0</v>
      </c>
      <c r="AT163" s="49">
        <v>0</v>
      </c>
      <c r="AU163" s="50">
        <v>0</v>
      </c>
      <c r="AV163" s="49">
        <v>7</v>
      </c>
      <c r="AW163" s="50">
        <v>100</v>
      </c>
      <c r="AX163" s="49">
        <v>7</v>
      </c>
      <c r="AY163" s="111" t="s">
        <v>1608</v>
      </c>
      <c r="AZ163" s="111" t="s">
        <v>1608</v>
      </c>
      <c r="BA163" s="111" t="s">
        <v>1608</v>
      </c>
      <c r="BB163" s="111" t="s">
        <v>1608</v>
      </c>
      <c r="BC163" s="2"/>
      <c r="BD163" s="3"/>
      <c r="BE163" s="3"/>
      <c r="BF163" s="3"/>
      <c r="BG163" s="3"/>
    </row>
    <row r="164" spans="1:59" ht="15">
      <c r="A164" s="65" t="s">
        <v>363</v>
      </c>
      <c r="B164" s="66" t="s">
        <v>1614</v>
      </c>
      <c r="C164" s="66"/>
      <c r="D164" s="67">
        <v>142.85714285714286</v>
      </c>
      <c r="E164" s="69">
        <v>56.25</v>
      </c>
      <c r="F164" s="96" t="str">
        <f>HYPERLINK("https://i.ytimg.com/vi/piA3_R_bzDY/default.jpg")</f>
        <v>https://i.ytimg.com/vi/piA3_R_bzDY/default.jpg</v>
      </c>
      <c r="G164" s="66"/>
      <c r="H164" s="70" t="s">
        <v>551</v>
      </c>
      <c r="I164" s="71"/>
      <c r="J164" s="71" t="s">
        <v>159</v>
      </c>
      <c r="K164" s="70" t="s">
        <v>551</v>
      </c>
      <c r="L164" s="74">
        <v>1.3186288383450908</v>
      </c>
      <c r="M164" s="75">
        <v>8521.794921875</v>
      </c>
      <c r="N164" s="75">
        <v>1806.177734375</v>
      </c>
      <c r="O164" s="76"/>
      <c r="P164" s="77"/>
      <c r="Q164" s="77"/>
      <c r="R164" s="82"/>
      <c r="S164" s="49">
        <v>1</v>
      </c>
      <c r="T164" s="49">
        <v>0</v>
      </c>
      <c r="U164" s="50">
        <v>0</v>
      </c>
      <c r="V164" s="50">
        <v>0.00161</v>
      </c>
      <c r="W164" s="50">
        <v>0.00127</v>
      </c>
      <c r="X164" s="50">
        <v>0.258367</v>
      </c>
      <c r="Y164" s="50">
        <v>0</v>
      </c>
      <c r="Z164" s="50">
        <v>0</v>
      </c>
      <c r="AA164" s="72">
        <v>164</v>
      </c>
      <c r="AB164" s="72"/>
      <c r="AC164" s="73"/>
      <c r="AD164" s="80" t="s">
        <v>551</v>
      </c>
      <c r="AE164" s="80" t="s">
        <v>714</v>
      </c>
      <c r="AF164" s="80" t="s">
        <v>863</v>
      </c>
      <c r="AG164" s="80" t="s">
        <v>946</v>
      </c>
      <c r="AH164" s="80" t="s">
        <v>1133</v>
      </c>
      <c r="AI164" s="80">
        <v>237</v>
      </c>
      <c r="AJ164" s="80">
        <v>0</v>
      </c>
      <c r="AK164" s="80">
        <v>6</v>
      </c>
      <c r="AL164" s="80">
        <v>0</v>
      </c>
      <c r="AM164" s="80" t="s">
        <v>1155</v>
      </c>
      <c r="AN164" s="98" t="str">
        <f>HYPERLINK("https://www.youtube.com/watch?v=piA3_R_bzDY")</f>
        <v>https://www.youtube.com/watch?v=piA3_R_bzDY</v>
      </c>
      <c r="AO164" s="80" t="str">
        <f>REPLACE(INDEX(GroupVertices[Group],MATCH(Vertices[[#This Row],[Vertex]],GroupVertices[Vertex],0)),1,1,"")</f>
        <v>8</v>
      </c>
      <c r="AP164" s="49">
        <v>0</v>
      </c>
      <c r="AQ164" s="50">
        <v>0</v>
      </c>
      <c r="AR164" s="49">
        <v>0</v>
      </c>
      <c r="AS164" s="50">
        <v>0</v>
      </c>
      <c r="AT164" s="49">
        <v>0</v>
      </c>
      <c r="AU164" s="50">
        <v>0</v>
      </c>
      <c r="AV164" s="49">
        <v>3</v>
      </c>
      <c r="AW164" s="50">
        <v>100</v>
      </c>
      <c r="AX164" s="49">
        <v>3</v>
      </c>
      <c r="AY164" s="49"/>
      <c r="AZ164" s="49"/>
      <c r="BA164" s="49"/>
      <c r="BB164" s="49"/>
      <c r="BC164" s="2"/>
      <c r="BD164" s="3"/>
      <c r="BE164" s="3"/>
      <c r="BF164" s="3"/>
      <c r="BG164" s="3"/>
    </row>
    <row r="165" spans="1:59" ht="15">
      <c r="A165" s="65" t="s">
        <v>364</v>
      </c>
      <c r="B165" s="66" t="s">
        <v>1614</v>
      </c>
      <c r="C165" s="66"/>
      <c r="D165" s="67">
        <v>142.85714285714286</v>
      </c>
      <c r="E165" s="69">
        <v>56.25</v>
      </c>
      <c r="F165" s="96" t="str">
        <f>HYPERLINK("https://i.ytimg.com/vi/_8jVuG99UcQ/default.jpg")</f>
        <v>https://i.ytimg.com/vi/_8jVuG99UcQ/default.jpg</v>
      </c>
      <c r="G165" s="66"/>
      <c r="H165" s="70" t="s">
        <v>552</v>
      </c>
      <c r="I165" s="71"/>
      <c r="J165" s="71" t="s">
        <v>159</v>
      </c>
      <c r="K165" s="70" t="s">
        <v>552</v>
      </c>
      <c r="L165" s="74">
        <v>2.180972942123089</v>
      </c>
      <c r="M165" s="75">
        <v>9618.642578125</v>
      </c>
      <c r="N165" s="75">
        <v>1806.177734375</v>
      </c>
      <c r="O165" s="76"/>
      <c r="P165" s="77"/>
      <c r="Q165" s="77"/>
      <c r="R165" s="82"/>
      <c r="S165" s="49">
        <v>1</v>
      </c>
      <c r="T165" s="49">
        <v>0</v>
      </c>
      <c r="U165" s="50">
        <v>0</v>
      </c>
      <c r="V165" s="50">
        <v>0.00161</v>
      </c>
      <c r="W165" s="50">
        <v>0.00127</v>
      </c>
      <c r="X165" s="50">
        <v>0.258367</v>
      </c>
      <c r="Y165" s="50">
        <v>0</v>
      </c>
      <c r="Z165" s="50">
        <v>0</v>
      </c>
      <c r="AA165" s="72">
        <v>165</v>
      </c>
      <c r="AB165" s="72"/>
      <c r="AC165" s="73"/>
      <c r="AD165" s="80" t="s">
        <v>552</v>
      </c>
      <c r="AE165" s="80" t="s">
        <v>715</v>
      </c>
      <c r="AF165" s="80" t="s">
        <v>864</v>
      </c>
      <c r="AG165" s="80" t="s">
        <v>946</v>
      </c>
      <c r="AH165" s="80" t="s">
        <v>1134</v>
      </c>
      <c r="AI165" s="80">
        <v>827</v>
      </c>
      <c r="AJ165" s="80">
        <v>3</v>
      </c>
      <c r="AK165" s="80">
        <v>15</v>
      </c>
      <c r="AL165" s="80">
        <v>0</v>
      </c>
      <c r="AM165" s="80" t="s">
        <v>1155</v>
      </c>
      <c r="AN165" s="98" t="str">
        <f>HYPERLINK("https://www.youtube.com/watch?v=_8jVuG99UcQ")</f>
        <v>https://www.youtube.com/watch?v=_8jVuG99UcQ</v>
      </c>
      <c r="AO165" s="80" t="str">
        <f>REPLACE(INDEX(GroupVertices[Group],MATCH(Vertices[[#This Row],[Vertex]],GroupVertices[Vertex],0)),1,1,"")</f>
        <v>8</v>
      </c>
      <c r="AP165" s="49">
        <v>0</v>
      </c>
      <c r="AQ165" s="50">
        <v>0</v>
      </c>
      <c r="AR165" s="49">
        <v>0</v>
      </c>
      <c r="AS165" s="50">
        <v>0</v>
      </c>
      <c r="AT165" s="49">
        <v>0</v>
      </c>
      <c r="AU165" s="50">
        <v>0</v>
      </c>
      <c r="AV165" s="49">
        <v>9</v>
      </c>
      <c r="AW165" s="50">
        <v>100</v>
      </c>
      <c r="AX165" s="49">
        <v>9</v>
      </c>
      <c r="AY165" s="49"/>
      <c r="AZ165" s="49"/>
      <c r="BA165" s="49"/>
      <c r="BB165" s="49"/>
      <c r="BC165" s="2"/>
      <c r="BD165" s="3"/>
      <c r="BE165" s="3"/>
      <c r="BF165" s="3"/>
      <c r="BG165" s="3"/>
    </row>
    <row r="166" spans="1:59" ht="15">
      <c r="A166" s="65" t="s">
        <v>365</v>
      </c>
      <c r="B166" s="66" t="s">
        <v>1614</v>
      </c>
      <c r="C166" s="66"/>
      <c r="D166" s="67">
        <v>185.71428571428572</v>
      </c>
      <c r="E166" s="69">
        <v>62.5</v>
      </c>
      <c r="F166" s="96" t="str">
        <f>HYPERLINK("https://i.ytimg.com/vi/aCuI7pgHqTo/default.jpg")</f>
        <v>https://i.ytimg.com/vi/aCuI7pgHqTo/default.jpg</v>
      </c>
      <c r="G166" s="66"/>
      <c r="H166" s="70" t="s">
        <v>553</v>
      </c>
      <c r="I166" s="71"/>
      <c r="J166" s="71" t="s">
        <v>159</v>
      </c>
      <c r="K166" s="70" t="s">
        <v>553</v>
      </c>
      <c r="L166" s="74">
        <v>1.8418817013154694</v>
      </c>
      <c r="M166" s="75">
        <v>9070.21875</v>
      </c>
      <c r="N166" s="75">
        <v>1806.177734375</v>
      </c>
      <c r="O166" s="76"/>
      <c r="P166" s="77"/>
      <c r="Q166" s="77"/>
      <c r="R166" s="82"/>
      <c r="S166" s="49">
        <v>2</v>
      </c>
      <c r="T166" s="49">
        <v>0</v>
      </c>
      <c r="U166" s="50">
        <v>0</v>
      </c>
      <c r="V166" s="50">
        <v>0.001684</v>
      </c>
      <c r="W166" s="50">
        <v>0.002264</v>
      </c>
      <c r="X166" s="50">
        <v>0.369146</v>
      </c>
      <c r="Y166" s="50">
        <v>1</v>
      </c>
      <c r="Z166" s="50">
        <v>0</v>
      </c>
      <c r="AA166" s="72">
        <v>166</v>
      </c>
      <c r="AB166" s="72"/>
      <c r="AC166" s="73"/>
      <c r="AD166" s="80" t="s">
        <v>553</v>
      </c>
      <c r="AE166" s="80" t="s">
        <v>716</v>
      </c>
      <c r="AF166" s="80" t="s">
        <v>865</v>
      </c>
      <c r="AG166" s="80" t="s">
        <v>946</v>
      </c>
      <c r="AH166" s="80" t="s">
        <v>1135</v>
      </c>
      <c r="AI166" s="80">
        <v>595</v>
      </c>
      <c r="AJ166" s="80">
        <v>1</v>
      </c>
      <c r="AK166" s="80">
        <v>8</v>
      </c>
      <c r="AL166" s="80">
        <v>0</v>
      </c>
      <c r="AM166" s="80" t="s">
        <v>1155</v>
      </c>
      <c r="AN166" s="98" t="str">
        <f>HYPERLINK("https://www.youtube.com/watch?v=aCuI7pgHqTo")</f>
        <v>https://www.youtube.com/watch?v=aCuI7pgHqTo</v>
      </c>
      <c r="AO166" s="80" t="str">
        <f>REPLACE(INDEX(GroupVertices[Group],MATCH(Vertices[[#This Row],[Vertex]],GroupVertices[Vertex],0)),1,1,"")</f>
        <v>8</v>
      </c>
      <c r="AP166" s="49">
        <v>0</v>
      </c>
      <c r="AQ166" s="50">
        <v>0</v>
      </c>
      <c r="AR166" s="49">
        <v>0</v>
      </c>
      <c r="AS166" s="50">
        <v>0</v>
      </c>
      <c r="AT166" s="49">
        <v>0</v>
      </c>
      <c r="AU166" s="50">
        <v>0</v>
      </c>
      <c r="AV166" s="49">
        <v>6</v>
      </c>
      <c r="AW166" s="50">
        <v>100</v>
      </c>
      <c r="AX166" s="49">
        <v>6</v>
      </c>
      <c r="AY166" s="49"/>
      <c r="AZ166" s="49"/>
      <c r="BA166" s="49"/>
      <c r="BB166" s="49"/>
      <c r="BC166" s="2"/>
      <c r="BD166" s="3"/>
      <c r="BE166" s="3"/>
      <c r="BF166" s="3"/>
      <c r="BG166" s="3"/>
    </row>
    <row r="167" spans="1:59" ht="15">
      <c r="A167" s="65" t="s">
        <v>366</v>
      </c>
      <c r="B167" s="66" t="s">
        <v>1614</v>
      </c>
      <c r="C167" s="66"/>
      <c r="D167" s="67">
        <v>185.71428571428572</v>
      </c>
      <c r="E167" s="69">
        <v>62.5</v>
      </c>
      <c r="F167" s="96" t="str">
        <f>HYPERLINK("https://i.ytimg.com/vi/oO1MDikdSyw/default.jpg")</f>
        <v>https://i.ytimg.com/vi/oO1MDikdSyw/default.jpg</v>
      </c>
      <c r="G167" s="66"/>
      <c r="H167" s="70" t="s">
        <v>554</v>
      </c>
      <c r="I167" s="71"/>
      <c r="J167" s="71" t="s">
        <v>159</v>
      </c>
      <c r="K167" s="70" t="s">
        <v>554</v>
      </c>
      <c r="L167" s="74">
        <v>4.547303626896952</v>
      </c>
      <c r="M167" s="75">
        <v>9618.642578125</v>
      </c>
      <c r="N167" s="75">
        <v>1141.50439453125</v>
      </c>
      <c r="O167" s="76"/>
      <c r="P167" s="77"/>
      <c r="Q167" s="77"/>
      <c r="R167" s="82"/>
      <c r="S167" s="49">
        <v>2</v>
      </c>
      <c r="T167" s="49">
        <v>0</v>
      </c>
      <c r="U167" s="50">
        <v>0</v>
      </c>
      <c r="V167" s="50">
        <v>0.001684</v>
      </c>
      <c r="W167" s="50">
        <v>0.002264</v>
      </c>
      <c r="X167" s="50">
        <v>0.369146</v>
      </c>
      <c r="Y167" s="50">
        <v>1</v>
      </c>
      <c r="Z167" s="50">
        <v>0</v>
      </c>
      <c r="AA167" s="72">
        <v>167</v>
      </c>
      <c r="AB167" s="72"/>
      <c r="AC167" s="73"/>
      <c r="AD167" s="80" t="s">
        <v>554</v>
      </c>
      <c r="AE167" s="80" t="s">
        <v>717</v>
      </c>
      <c r="AF167" s="80" t="s">
        <v>866</v>
      </c>
      <c r="AG167" s="80" t="s">
        <v>946</v>
      </c>
      <c r="AH167" s="80" t="s">
        <v>1136</v>
      </c>
      <c r="AI167" s="80">
        <v>2446</v>
      </c>
      <c r="AJ167" s="80">
        <v>1</v>
      </c>
      <c r="AK167" s="80">
        <v>21</v>
      </c>
      <c r="AL167" s="80">
        <v>0</v>
      </c>
      <c r="AM167" s="80" t="s">
        <v>1155</v>
      </c>
      <c r="AN167" s="98" t="str">
        <f>HYPERLINK("https://www.youtube.com/watch?v=oO1MDikdSyw")</f>
        <v>https://www.youtube.com/watch?v=oO1MDikdSyw</v>
      </c>
      <c r="AO167" s="80" t="str">
        <f>REPLACE(INDEX(GroupVertices[Group],MATCH(Vertices[[#This Row],[Vertex]],GroupVertices[Vertex],0)),1,1,"")</f>
        <v>8</v>
      </c>
      <c r="AP167" s="49">
        <v>0</v>
      </c>
      <c r="AQ167" s="50">
        <v>0</v>
      </c>
      <c r="AR167" s="49">
        <v>0</v>
      </c>
      <c r="AS167" s="50">
        <v>0</v>
      </c>
      <c r="AT167" s="49">
        <v>0</v>
      </c>
      <c r="AU167" s="50">
        <v>0</v>
      </c>
      <c r="AV167" s="49">
        <v>9</v>
      </c>
      <c r="AW167" s="50">
        <v>100</v>
      </c>
      <c r="AX167" s="49">
        <v>9</v>
      </c>
      <c r="AY167" s="49"/>
      <c r="AZ167" s="49"/>
      <c r="BA167" s="49"/>
      <c r="BB167" s="49"/>
      <c r="BC167" s="2"/>
      <c r="BD167" s="3"/>
      <c r="BE167" s="3"/>
      <c r="BF167" s="3"/>
      <c r="BG167" s="3"/>
    </row>
    <row r="168" spans="1:59" ht="15">
      <c r="A168" s="65" t="s">
        <v>227</v>
      </c>
      <c r="B168" s="66" t="s">
        <v>1622</v>
      </c>
      <c r="C168" s="66"/>
      <c r="D168" s="67">
        <v>742.8571428571429</v>
      </c>
      <c r="E168" s="69">
        <v>100</v>
      </c>
      <c r="F168" s="96" t="str">
        <f>HYPERLINK("https://i.ytimg.com/vi/R_fAtEHVOBA/default.jpg")</f>
        <v>https://i.ytimg.com/vi/R_fAtEHVOBA/default.jpg</v>
      </c>
      <c r="G168" s="66"/>
      <c r="H168" s="70" t="s">
        <v>481</v>
      </c>
      <c r="I168" s="71"/>
      <c r="J168" s="71" t="s">
        <v>75</v>
      </c>
      <c r="K168" s="70" t="s">
        <v>481</v>
      </c>
      <c r="L168" s="74">
        <v>8.597397714301753</v>
      </c>
      <c r="M168" s="75">
        <v>411.0228271484375</v>
      </c>
      <c r="N168" s="75">
        <v>6259.69580078125</v>
      </c>
      <c r="O168" s="76"/>
      <c r="P168" s="77"/>
      <c r="Q168" s="77"/>
      <c r="R168" s="82"/>
      <c r="S168" s="49">
        <v>15</v>
      </c>
      <c r="T168" s="49">
        <v>19</v>
      </c>
      <c r="U168" s="50">
        <v>611.320604</v>
      </c>
      <c r="V168" s="50">
        <v>0.002336</v>
      </c>
      <c r="W168" s="50">
        <v>0.032232</v>
      </c>
      <c r="X168" s="50">
        <v>3.067539</v>
      </c>
      <c r="Y168" s="50">
        <v>0.46153846153846156</v>
      </c>
      <c r="Z168" s="50">
        <v>0.25925925925925924</v>
      </c>
      <c r="AA168" s="72">
        <v>168</v>
      </c>
      <c r="AB168" s="72"/>
      <c r="AC168" s="73"/>
      <c r="AD168" s="80" t="s">
        <v>481</v>
      </c>
      <c r="AE168" s="80" t="s">
        <v>718</v>
      </c>
      <c r="AF168" s="80" t="s">
        <v>867</v>
      </c>
      <c r="AG168" s="80" t="s">
        <v>969</v>
      </c>
      <c r="AH168" s="80" t="s">
        <v>1137</v>
      </c>
      <c r="AI168" s="80">
        <v>5217</v>
      </c>
      <c r="AJ168" s="80">
        <v>13</v>
      </c>
      <c r="AK168" s="80">
        <v>28</v>
      </c>
      <c r="AL168" s="80">
        <v>2</v>
      </c>
      <c r="AM168" s="80" t="s">
        <v>1155</v>
      </c>
      <c r="AN168" s="98" t="str">
        <f>HYPERLINK("https://www.youtube.com/watch?v=R_fAtEHVOBA")</f>
        <v>https://www.youtube.com/watch?v=R_fAtEHVOBA</v>
      </c>
      <c r="AO168" s="80" t="str">
        <f>REPLACE(INDEX(GroupVertices[Group],MATCH(Vertices[[#This Row],[Vertex]],GroupVertices[Vertex],0)),1,1,"")</f>
        <v>1</v>
      </c>
      <c r="AP168" s="49">
        <v>0</v>
      </c>
      <c r="AQ168" s="50">
        <v>0</v>
      </c>
      <c r="AR168" s="49">
        <v>0</v>
      </c>
      <c r="AS168" s="50">
        <v>0</v>
      </c>
      <c r="AT168" s="49">
        <v>0</v>
      </c>
      <c r="AU168" s="50">
        <v>0</v>
      </c>
      <c r="AV168" s="49">
        <v>14</v>
      </c>
      <c r="AW168" s="50">
        <v>100</v>
      </c>
      <c r="AX168" s="49">
        <v>14</v>
      </c>
      <c r="AY168" s="111" t="s">
        <v>1608</v>
      </c>
      <c r="AZ168" s="111" t="s">
        <v>1608</v>
      </c>
      <c r="BA168" s="111" t="s">
        <v>1608</v>
      </c>
      <c r="BB168" s="111" t="s">
        <v>1608</v>
      </c>
      <c r="BC168" s="2"/>
      <c r="BD168" s="3"/>
      <c r="BE168" s="3"/>
      <c r="BF168" s="3"/>
      <c r="BG168" s="3"/>
    </row>
    <row r="169" spans="1:59" ht="15">
      <c r="A169" s="65" t="s">
        <v>228</v>
      </c>
      <c r="B169" s="66" t="s">
        <v>1624</v>
      </c>
      <c r="C169" s="66"/>
      <c r="D169" s="67">
        <v>657.1428571428571</v>
      </c>
      <c r="E169" s="69">
        <v>100</v>
      </c>
      <c r="F169" s="96" t="str">
        <f>HYPERLINK("https://i.ytimg.com/vi/Gs4NPuKIXdo/default.jpg")</f>
        <v>https://i.ytimg.com/vi/Gs4NPuKIXdo/default.jpg</v>
      </c>
      <c r="G169" s="66"/>
      <c r="H169" s="70" t="s">
        <v>555</v>
      </c>
      <c r="I169" s="71"/>
      <c r="J169" s="71" t="s">
        <v>75</v>
      </c>
      <c r="K169" s="70" t="s">
        <v>555</v>
      </c>
      <c r="L169" s="74">
        <v>12.020465326247638</v>
      </c>
      <c r="M169" s="75">
        <v>3459.786376953125</v>
      </c>
      <c r="N169" s="75">
        <v>6259.69580078125</v>
      </c>
      <c r="O169" s="76"/>
      <c r="P169" s="77"/>
      <c r="Q169" s="77"/>
      <c r="R169" s="82"/>
      <c r="S169" s="49">
        <v>13</v>
      </c>
      <c r="T169" s="49">
        <v>21</v>
      </c>
      <c r="U169" s="50">
        <v>577.062238</v>
      </c>
      <c r="V169" s="50">
        <v>0.002387</v>
      </c>
      <c r="W169" s="50">
        <v>0.032302</v>
      </c>
      <c r="X169" s="50">
        <v>3.064065</v>
      </c>
      <c r="Y169" s="50">
        <v>0.46153846153846156</v>
      </c>
      <c r="Z169" s="50">
        <v>0.25925925925925924</v>
      </c>
      <c r="AA169" s="72">
        <v>169</v>
      </c>
      <c r="AB169" s="72"/>
      <c r="AC169" s="73"/>
      <c r="AD169" s="80" t="s">
        <v>555</v>
      </c>
      <c r="AE169" s="80" t="s">
        <v>719</v>
      </c>
      <c r="AF169" s="80" t="s">
        <v>868</v>
      </c>
      <c r="AG169" s="80" t="s">
        <v>912</v>
      </c>
      <c r="AH169" s="80" t="s">
        <v>1138</v>
      </c>
      <c r="AI169" s="80">
        <v>7559</v>
      </c>
      <c r="AJ169" s="80">
        <v>14</v>
      </c>
      <c r="AK169" s="80">
        <v>29</v>
      </c>
      <c r="AL169" s="80">
        <v>0</v>
      </c>
      <c r="AM169" s="80" t="s">
        <v>1155</v>
      </c>
      <c r="AN169" s="98" t="str">
        <f>HYPERLINK("https://www.youtube.com/watch?v=Gs4NPuKIXdo")</f>
        <v>https://www.youtube.com/watch?v=Gs4NPuKIXdo</v>
      </c>
      <c r="AO169" s="80" t="str">
        <f>REPLACE(INDEX(GroupVertices[Group],MATCH(Vertices[[#This Row],[Vertex]],GroupVertices[Vertex],0)),1,1,"")</f>
        <v>1</v>
      </c>
      <c r="AP169" s="49">
        <v>0</v>
      </c>
      <c r="AQ169" s="50">
        <v>0</v>
      </c>
      <c r="AR169" s="49">
        <v>0</v>
      </c>
      <c r="AS169" s="50">
        <v>0</v>
      </c>
      <c r="AT169" s="49">
        <v>0</v>
      </c>
      <c r="AU169" s="50">
        <v>0</v>
      </c>
      <c r="AV169" s="49">
        <v>10</v>
      </c>
      <c r="AW169" s="50">
        <v>100</v>
      </c>
      <c r="AX169" s="49">
        <v>10</v>
      </c>
      <c r="AY169" s="111" t="s">
        <v>1608</v>
      </c>
      <c r="AZ169" s="111" t="s">
        <v>1608</v>
      </c>
      <c r="BA169" s="111" t="s">
        <v>1608</v>
      </c>
      <c r="BB169" s="111" t="s">
        <v>1608</v>
      </c>
      <c r="BC169" s="2"/>
      <c r="BD169" s="3"/>
      <c r="BE169" s="3"/>
      <c r="BF169" s="3"/>
      <c r="BG169" s="3"/>
    </row>
    <row r="170" spans="1:59" ht="15">
      <c r="A170" s="65" t="s">
        <v>229</v>
      </c>
      <c r="B170" s="66" t="s">
        <v>1623</v>
      </c>
      <c r="C170" s="66"/>
      <c r="D170" s="67">
        <v>742.8571428571429</v>
      </c>
      <c r="E170" s="69">
        <v>100</v>
      </c>
      <c r="F170" s="96" t="str">
        <f>HYPERLINK("https://i.ytimg.com/vi/PC-PgkhpsNc/default.jpg")</f>
        <v>https://i.ytimg.com/vi/PC-PgkhpsNc/default.jpg</v>
      </c>
      <c r="G170" s="66"/>
      <c r="H170" s="70" t="s">
        <v>556</v>
      </c>
      <c r="I170" s="71"/>
      <c r="J170" s="71" t="s">
        <v>75</v>
      </c>
      <c r="K170" s="70" t="s">
        <v>556</v>
      </c>
      <c r="L170" s="74">
        <v>40.070034301846896</v>
      </c>
      <c r="M170" s="75">
        <v>411.0228271484375</v>
      </c>
      <c r="N170" s="75">
        <v>4662.0029296875</v>
      </c>
      <c r="O170" s="76"/>
      <c r="P170" s="77"/>
      <c r="Q170" s="77"/>
      <c r="R170" s="82"/>
      <c r="S170" s="49">
        <v>15</v>
      </c>
      <c r="T170" s="49">
        <v>26</v>
      </c>
      <c r="U170" s="50">
        <v>1238.080817</v>
      </c>
      <c r="V170" s="50">
        <v>0.002358</v>
      </c>
      <c r="W170" s="50">
        <v>0.032249</v>
      </c>
      <c r="X170" s="50">
        <v>3.462002</v>
      </c>
      <c r="Y170" s="50">
        <v>0.3916256157635468</v>
      </c>
      <c r="Z170" s="50">
        <v>0.41379310344827586</v>
      </c>
      <c r="AA170" s="72">
        <v>170</v>
      </c>
      <c r="AB170" s="72"/>
      <c r="AC170" s="73"/>
      <c r="AD170" s="80" t="s">
        <v>556</v>
      </c>
      <c r="AE170" s="80" t="s">
        <v>720</v>
      </c>
      <c r="AF170" s="80" t="s">
        <v>869</v>
      </c>
      <c r="AG170" s="80" t="s">
        <v>912</v>
      </c>
      <c r="AH170" s="80" t="s">
        <v>1139</v>
      </c>
      <c r="AI170" s="80">
        <v>26750</v>
      </c>
      <c r="AJ170" s="80">
        <v>43</v>
      </c>
      <c r="AK170" s="80">
        <v>171</v>
      </c>
      <c r="AL170" s="80">
        <v>1</v>
      </c>
      <c r="AM170" s="80" t="s">
        <v>1155</v>
      </c>
      <c r="AN170" s="98" t="str">
        <f>HYPERLINK("https://www.youtube.com/watch?v=PC-PgkhpsNc")</f>
        <v>https://www.youtube.com/watch?v=PC-PgkhpsNc</v>
      </c>
      <c r="AO170" s="80" t="str">
        <f>REPLACE(INDEX(GroupVertices[Group],MATCH(Vertices[[#This Row],[Vertex]],GroupVertices[Vertex],0)),1,1,"")</f>
        <v>1</v>
      </c>
      <c r="AP170" s="49">
        <v>0</v>
      </c>
      <c r="AQ170" s="50">
        <v>0</v>
      </c>
      <c r="AR170" s="49">
        <v>0</v>
      </c>
      <c r="AS170" s="50">
        <v>0</v>
      </c>
      <c r="AT170" s="49">
        <v>0</v>
      </c>
      <c r="AU170" s="50">
        <v>0</v>
      </c>
      <c r="AV170" s="49">
        <v>12</v>
      </c>
      <c r="AW170" s="50">
        <v>100</v>
      </c>
      <c r="AX170" s="49">
        <v>12</v>
      </c>
      <c r="AY170" s="111" t="s">
        <v>1608</v>
      </c>
      <c r="AZ170" s="111" t="s">
        <v>1608</v>
      </c>
      <c r="BA170" s="111" t="s">
        <v>1608</v>
      </c>
      <c r="BB170" s="111" t="s">
        <v>1608</v>
      </c>
      <c r="BC170" s="2"/>
      <c r="BD170" s="3"/>
      <c r="BE170" s="3"/>
      <c r="BF170" s="3"/>
      <c r="BG170" s="3"/>
    </row>
    <row r="171" spans="1:59" ht="15">
      <c r="A171" s="65" t="s">
        <v>230</v>
      </c>
      <c r="B171" s="66" t="s">
        <v>1628</v>
      </c>
      <c r="C171" s="66"/>
      <c r="D171" s="67">
        <v>828.5714285714286</v>
      </c>
      <c r="E171" s="69">
        <v>100</v>
      </c>
      <c r="F171" s="96" t="str">
        <f>HYPERLINK("https://i.ytimg.com/vi/zEgrruOITHw/default.jpg")</f>
        <v>https://i.ytimg.com/vi/zEgrruOITHw/default.jpg</v>
      </c>
      <c r="G171" s="66"/>
      <c r="H171" s="70" t="s">
        <v>557</v>
      </c>
      <c r="I171" s="71"/>
      <c r="J171" s="71" t="s">
        <v>75</v>
      </c>
      <c r="K171" s="70" t="s">
        <v>557</v>
      </c>
      <c r="L171" s="74">
        <v>16.583581075391553</v>
      </c>
      <c r="M171" s="75">
        <v>1630.528076171875</v>
      </c>
      <c r="N171" s="75">
        <v>2131.289794921875</v>
      </c>
      <c r="O171" s="76"/>
      <c r="P171" s="77"/>
      <c r="Q171" s="77"/>
      <c r="R171" s="82"/>
      <c r="S171" s="49">
        <v>17</v>
      </c>
      <c r="T171" s="49">
        <v>32</v>
      </c>
      <c r="U171" s="50">
        <v>3350.473512</v>
      </c>
      <c r="V171" s="50">
        <v>0.002571</v>
      </c>
      <c r="W171" s="50">
        <v>0.034933</v>
      </c>
      <c r="X171" s="50">
        <v>4.281336</v>
      </c>
      <c r="Y171" s="50">
        <v>0.3176470588235294</v>
      </c>
      <c r="Z171" s="50">
        <v>0.4</v>
      </c>
      <c r="AA171" s="72">
        <v>171</v>
      </c>
      <c r="AB171" s="72"/>
      <c r="AC171" s="73"/>
      <c r="AD171" s="80" t="s">
        <v>557</v>
      </c>
      <c r="AE171" s="80" t="s">
        <v>721</v>
      </c>
      <c r="AF171" s="80" t="s">
        <v>870</v>
      </c>
      <c r="AG171" s="80" t="s">
        <v>912</v>
      </c>
      <c r="AH171" s="80" t="s">
        <v>1140</v>
      </c>
      <c r="AI171" s="80">
        <v>10681</v>
      </c>
      <c r="AJ171" s="80">
        <v>3</v>
      </c>
      <c r="AK171" s="80">
        <v>52</v>
      </c>
      <c r="AL171" s="80">
        <v>1</v>
      </c>
      <c r="AM171" s="80" t="s">
        <v>1155</v>
      </c>
      <c r="AN171" s="98" t="str">
        <f>HYPERLINK("https://www.youtube.com/watch?v=zEgrruOITHw")</f>
        <v>https://www.youtube.com/watch?v=zEgrruOITHw</v>
      </c>
      <c r="AO171" s="80" t="str">
        <f>REPLACE(INDEX(GroupVertices[Group],MATCH(Vertices[[#This Row],[Vertex]],GroupVertices[Vertex],0)),1,1,"")</f>
        <v>2</v>
      </c>
      <c r="AP171" s="49">
        <v>0</v>
      </c>
      <c r="AQ171" s="50">
        <v>0</v>
      </c>
      <c r="AR171" s="49">
        <v>0</v>
      </c>
      <c r="AS171" s="50">
        <v>0</v>
      </c>
      <c r="AT171" s="49">
        <v>0</v>
      </c>
      <c r="AU171" s="50">
        <v>0</v>
      </c>
      <c r="AV171" s="49">
        <v>7</v>
      </c>
      <c r="AW171" s="50">
        <v>100</v>
      </c>
      <c r="AX171" s="49">
        <v>7</v>
      </c>
      <c r="AY171" s="111" t="s">
        <v>1608</v>
      </c>
      <c r="AZ171" s="111" t="s">
        <v>1608</v>
      </c>
      <c r="BA171" s="111" t="s">
        <v>1608</v>
      </c>
      <c r="BB171" s="111" t="s">
        <v>1608</v>
      </c>
      <c r="BC171" s="2"/>
      <c r="BD171" s="3"/>
      <c r="BE171" s="3"/>
      <c r="BF171" s="3"/>
      <c r="BG171" s="3"/>
    </row>
    <row r="172" spans="1:59" ht="15">
      <c r="A172" s="65" t="s">
        <v>231</v>
      </c>
      <c r="B172" s="66" t="s">
        <v>1629</v>
      </c>
      <c r="C172" s="66"/>
      <c r="D172" s="67">
        <v>914.2857142857143</v>
      </c>
      <c r="E172" s="69">
        <v>100</v>
      </c>
      <c r="F172" s="96" t="str">
        <f>HYPERLINK("https://i.ytimg.com/vi/pwsImFyc0lE/default.jpg")</f>
        <v>https://i.ytimg.com/vi/pwsImFyc0lE/default.jpg</v>
      </c>
      <c r="G172" s="66"/>
      <c r="H172" s="70" t="s">
        <v>558</v>
      </c>
      <c r="I172" s="71"/>
      <c r="J172" s="71" t="s">
        <v>75</v>
      </c>
      <c r="K172" s="70" t="s">
        <v>558</v>
      </c>
      <c r="L172" s="74">
        <v>125.97412303989447</v>
      </c>
      <c r="M172" s="75">
        <v>1630.528076171875</v>
      </c>
      <c r="N172" s="75">
        <v>4662.0029296875</v>
      </c>
      <c r="O172" s="76"/>
      <c r="P172" s="77"/>
      <c r="Q172" s="77"/>
      <c r="R172" s="82"/>
      <c r="S172" s="49">
        <v>19</v>
      </c>
      <c r="T172" s="49">
        <v>30</v>
      </c>
      <c r="U172" s="50">
        <v>2772.189475</v>
      </c>
      <c r="V172" s="50">
        <v>0.00266</v>
      </c>
      <c r="W172" s="50">
        <v>0.034347</v>
      </c>
      <c r="X172" s="50">
        <v>3.846532</v>
      </c>
      <c r="Y172" s="50">
        <v>0.3446969696969697</v>
      </c>
      <c r="Z172" s="50">
        <v>0.48484848484848486</v>
      </c>
      <c r="AA172" s="72">
        <v>172</v>
      </c>
      <c r="AB172" s="72"/>
      <c r="AC172" s="73"/>
      <c r="AD172" s="80" t="s">
        <v>558</v>
      </c>
      <c r="AE172" s="80" t="s">
        <v>722</v>
      </c>
      <c r="AF172" s="80" t="s">
        <v>857</v>
      </c>
      <c r="AG172" s="80" t="s">
        <v>963</v>
      </c>
      <c r="AH172" s="80" t="s">
        <v>1141</v>
      </c>
      <c r="AI172" s="80">
        <v>85524</v>
      </c>
      <c r="AJ172" s="80">
        <v>13</v>
      </c>
      <c r="AK172" s="80">
        <v>143</v>
      </c>
      <c r="AL172" s="80">
        <v>10</v>
      </c>
      <c r="AM172" s="80" t="s">
        <v>1155</v>
      </c>
      <c r="AN172" s="98" t="str">
        <f>HYPERLINK("https://www.youtube.com/watch?v=pwsImFyc0lE")</f>
        <v>https://www.youtube.com/watch?v=pwsImFyc0lE</v>
      </c>
      <c r="AO172" s="80" t="str">
        <f>REPLACE(INDEX(GroupVertices[Group],MATCH(Vertices[[#This Row],[Vertex]],GroupVertices[Vertex],0)),1,1,"")</f>
        <v>1</v>
      </c>
      <c r="AP172" s="49">
        <v>0</v>
      </c>
      <c r="AQ172" s="50">
        <v>0</v>
      </c>
      <c r="AR172" s="49">
        <v>0</v>
      </c>
      <c r="AS172" s="50">
        <v>0</v>
      </c>
      <c r="AT172" s="49">
        <v>0</v>
      </c>
      <c r="AU172" s="50">
        <v>0</v>
      </c>
      <c r="AV172" s="49">
        <v>5</v>
      </c>
      <c r="AW172" s="50">
        <v>100</v>
      </c>
      <c r="AX172" s="49">
        <v>5</v>
      </c>
      <c r="AY172" s="111" t="s">
        <v>1608</v>
      </c>
      <c r="AZ172" s="111" t="s">
        <v>1608</v>
      </c>
      <c r="BA172" s="111" t="s">
        <v>1608</v>
      </c>
      <c r="BB172" s="111" t="s">
        <v>1608</v>
      </c>
      <c r="BC172" s="2"/>
      <c r="BD172" s="3"/>
      <c r="BE172" s="3"/>
      <c r="BF172" s="3"/>
      <c r="BG172" s="3"/>
    </row>
    <row r="173" spans="1:59" ht="15">
      <c r="A173" s="65" t="s">
        <v>232</v>
      </c>
      <c r="B173" s="66" t="s">
        <v>1625</v>
      </c>
      <c r="C173" s="66"/>
      <c r="D173" s="67">
        <v>700</v>
      </c>
      <c r="E173" s="69">
        <v>100</v>
      </c>
      <c r="F173" s="96" t="str">
        <f>HYPERLINK("https://i.ytimg.com/vi/xKhYGRpbwOc/default.jpg")</f>
        <v>https://i.ytimg.com/vi/xKhYGRpbwOc/default.jpg</v>
      </c>
      <c r="G173" s="66"/>
      <c r="H173" s="70" t="s">
        <v>559</v>
      </c>
      <c r="I173" s="71"/>
      <c r="J173" s="71" t="s">
        <v>75</v>
      </c>
      <c r="K173" s="70" t="s">
        <v>559</v>
      </c>
      <c r="L173" s="74">
        <v>57.37245718409087</v>
      </c>
      <c r="M173" s="75">
        <v>1020.7754516601562</v>
      </c>
      <c r="N173" s="75">
        <v>4662.0029296875</v>
      </c>
      <c r="O173" s="76"/>
      <c r="P173" s="77"/>
      <c r="Q173" s="77"/>
      <c r="R173" s="82"/>
      <c r="S173" s="49">
        <v>14</v>
      </c>
      <c r="T173" s="49">
        <v>23</v>
      </c>
      <c r="U173" s="50">
        <v>4993.614692</v>
      </c>
      <c r="V173" s="50">
        <v>0.002584</v>
      </c>
      <c r="W173" s="50">
        <v>0.033169</v>
      </c>
      <c r="X173" s="50">
        <v>3.659676</v>
      </c>
      <c r="Y173" s="50">
        <v>0.38850574712643676</v>
      </c>
      <c r="Z173" s="50">
        <v>0.23333333333333334</v>
      </c>
      <c r="AA173" s="72">
        <v>173</v>
      </c>
      <c r="AB173" s="72"/>
      <c r="AC173" s="73"/>
      <c r="AD173" s="80" t="s">
        <v>559</v>
      </c>
      <c r="AE173" s="80" t="s">
        <v>723</v>
      </c>
      <c r="AF173" s="80" t="s">
        <v>871</v>
      </c>
      <c r="AG173" s="80" t="s">
        <v>969</v>
      </c>
      <c r="AH173" s="80" t="s">
        <v>1142</v>
      </c>
      <c r="AI173" s="80">
        <v>38588</v>
      </c>
      <c r="AJ173" s="80">
        <v>5</v>
      </c>
      <c r="AK173" s="80">
        <v>74</v>
      </c>
      <c r="AL173" s="80">
        <v>2</v>
      </c>
      <c r="AM173" s="80" t="s">
        <v>1155</v>
      </c>
      <c r="AN173" s="98" t="str">
        <f>HYPERLINK("https://www.youtube.com/watch?v=xKhYGRpbwOc")</f>
        <v>https://www.youtube.com/watch?v=xKhYGRpbwOc</v>
      </c>
      <c r="AO173" s="80" t="str">
        <f>REPLACE(INDEX(GroupVertices[Group],MATCH(Vertices[[#This Row],[Vertex]],GroupVertices[Vertex],0)),1,1,"")</f>
        <v>1</v>
      </c>
      <c r="AP173" s="49">
        <v>0</v>
      </c>
      <c r="AQ173" s="50">
        <v>0</v>
      </c>
      <c r="AR173" s="49">
        <v>0</v>
      </c>
      <c r="AS173" s="50">
        <v>0</v>
      </c>
      <c r="AT173" s="49">
        <v>0</v>
      </c>
      <c r="AU173" s="50">
        <v>0</v>
      </c>
      <c r="AV173" s="49">
        <v>14</v>
      </c>
      <c r="AW173" s="50">
        <v>100</v>
      </c>
      <c r="AX173" s="49">
        <v>14</v>
      </c>
      <c r="AY173" s="111" t="s">
        <v>1608</v>
      </c>
      <c r="AZ173" s="111" t="s">
        <v>1608</v>
      </c>
      <c r="BA173" s="111" t="s">
        <v>1608</v>
      </c>
      <c r="BB173" s="111" t="s">
        <v>1608</v>
      </c>
      <c r="BC173" s="2"/>
      <c r="BD173" s="3"/>
      <c r="BE173" s="3"/>
      <c r="BF173" s="3"/>
      <c r="BG173" s="3"/>
    </row>
    <row r="174" spans="1:59" ht="15">
      <c r="A174" s="65" t="s">
        <v>367</v>
      </c>
      <c r="B174" s="66" t="s">
        <v>1614</v>
      </c>
      <c r="C174" s="66"/>
      <c r="D174" s="67">
        <v>142.85714285714286</v>
      </c>
      <c r="E174" s="69">
        <v>56.25</v>
      </c>
      <c r="F174" s="96" t="str">
        <f>HYPERLINK("https://i.ytimg.com/vi/5s9-rg1ygWs/default.jpg")</f>
        <v>https://i.ytimg.com/vi/5s9-rg1ygWs/default.jpg</v>
      </c>
      <c r="G174" s="66"/>
      <c r="H174" s="70" t="s">
        <v>560</v>
      </c>
      <c r="I174" s="71"/>
      <c r="J174" s="71" t="s">
        <v>159</v>
      </c>
      <c r="K174" s="70" t="s">
        <v>560</v>
      </c>
      <c r="L174" s="74">
        <v>112.88110866422784</v>
      </c>
      <c r="M174" s="75">
        <v>8521.794921875</v>
      </c>
      <c r="N174" s="75">
        <v>476.8309326171875</v>
      </c>
      <c r="O174" s="76"/>
      <c r="P174" s="77"/>
      <c r="Q174" s="77"/>
      <c r="R174" s="82"/>
      <c r="S174" s="49">
        <v>1</v>
      </c>
      <c r="T174" s="49">
        <v>0</v>
      </c>
      <c r="U174" s="50">
        <v>0</v>
      </c>
      <c r="V174" s="50">
        <v>0.00161</v>
      </c>
      <c r="W174" s="50">
        <v>0.00127</v>
      </c>
      <c r="X174" s="50">
        <v>0.258367</v>
      </c>
      <c r="Y174" s="50">
        <v>0</v>
      </c>
      <c r="Z174" s="50">
        <v>0</v>
      </c>
      <c r="AA174" s="72">
        <v>174</v>
      </c>
      <c r="AB174" s="72"/>
      <c r="AC174" s="73"/>
      <c r="AD174" s="80" t="s">
        <v>560</v>
      </c>
      <c r="AE174" s="80" t="s">
        <v>724</v>
      </c>
      <c r="AF174" s="80" t="s">
        <v>872</v>
      </c>
      <c r="AG174" s="80" t="s">
        <v>946</v>
      </c>
      <c r="AH174" s="80" t="s">
        <v>1143</v>
      </c>
      <c r="AI174" s="80">
        <v>76566</v>
      </c>
      <c r="AJ174" s="80">
        <v>53</v>
      </c>
      <c r="AK174" s="80">
        <v>859</v>
      </c>
      <c r="AL174" s="80">
        <v>30</v>
      </c>
      <c r="AM174" s="80" t="s">
        <v>1155</v>
      </c>
      <c r="AN174" s="98" t="str">
        <f>HYPERLINK("https://www.youtube.com/watch?v=5s9-rg1ygWs")</f>
        <v>https://www.youtube.com/watch?v=5s9-rg1ygWs</v>
      </c>
      <c r="AO174" s="80" t="str">
        <f>REPLACE(INDEX(GroupVertices[Group],MATCH(Vertices[[#This Row],[Vertex]],GroupVertices[Vertex],0)),1,1,"")</f>
        <v>8</v>
      </c>
      <c r="AP174" s="49">
        <v>0</v>
      </c>
      <c r="AQ174" s="50">
        <v>0</v>
      </c>
      <c r="AR174" s="49">
        <v>0</v>
      </c>
      <c r="AS174" s="50">
        <v>0</v>
      </c>
      <c r="AT174" s="49">
        <v>0</v>
      </c>
      <c r="AU174" s="50">
        <v>0</v>
      </c>
      <c r="AV174" s="49">
        <v>6</v>
      </c>
      <c r="AW174" s="50">
        <v>100</v>
      </c>
      <c r="AX174" s="49">
        <v>6</v>
      </c>
      <c r="AY174" s="49"/>
      <c r="AZ174" s="49"/>
      <c r="BA174" s="49"/>
      <c r="BB174" s="49"/>
      <c r="BC174" s="2"/>
      <c r="BD174" s="3"/>
      <c r="BE174" s="3"/>
      <c r="BF174" s="3"/>
      <c r="BG174" s="3"/>
    </row>
    <row r="175" spans="1:59" ht="15">
      <c r="A175" s="65" t="s">
        <v>368</v>
      </c>
      <c r="B175" s="66" t="s">
        <v>1614</v>
      </c>
      <c r="C175" s="66"/>
      <c r="D175" s="67">
        <v>142.85714285714286</v>
      </c>
      <c r="E175" s="69">
        <v>56.25</v>
      </c>
      <c r="F175" s="96" t="str">
        <f>HYPERLINK("https://i.ytimg.com/vi/OzyPZwSisZ0/default.jpg")</f>
        <v>https://i.ytimg.com/vi/OzyPZwSisZ0/default.jpg</v>
      </c>
      <c r="G175" s="66"/>
      <c r="H175" s="70" t="s">
        <v>561</v>
      </c>
      <c r="I175" s="71"/>
      <c r="J175" s="71" t="s">
        <v>159</v>
      </c>
      <c r="K175" s="70" t="s">
        <v>561</v>
      </c>
      <c r="L175" s="74">
        <v>2.199973744409723</v>
      </c>
      <c r="M175" s="75">
        <v>8521.794921875</v>
      </c>
      <c r="N175" s="75">
        <v>1141.50439453125</v>
      </c>
      <c r="O175" s="76"/>
      <c r="P175" s="77"/>
      <c r="Q175" s="77"/>
      <c r="R175" s="82"/>
      <c r="S175" s="49">
        <v>1</v>
      </c>
      <c r="T175" s="49">
        <v>0</v>
      </c>
      <c r="U175" s="50">
        <v>0</v>
      </c>
      <c r="V175" s="50">
        <v>0.00161</v>
      </c>
      <c r="W175" s="50">
        <v>0.00127</v>
      </c>
      <c r="X175" s="50">
        <v>0.258367</v>
      </c>
      <c r="Y175" s="50">
        <v>0</v>
      </c>
      <c r="Z175" s="50">
        <v>0</v>
      </c>
      <c r="AA175" s="72">
        <v>175</v>
      </c>
      <c r="AB175" s="72"/>
      <c r="AC175" s="73"/>
      <c r="AD175" s="80" t="s">
        <v>561</v>
      </c>
      <c r="AE175" s="80" t="s">
        <v>725</v>
      </c>
      <c r="AF175" s="80" t="s">
        <v>873</v>
      </c>
      <c r="AG175" s="80" t="s">
        <v>946</v>
      </c>
      <c r="AH175" s="80" t="s">
        <v>1144</v>
      </c>
      <c r="AI175" s="80">
        <v>840</v>
      </c>
      <c r="AJ175" s="80">
        <v>1</v>
      </c>
      <c r="AK175" s="80">
        <v>13</v>
      </c>
      <c r="AL175" s="80">
        <v>0</v>
      </c>
      <c r="AM175" s="80" t="s">
        <v>1155</v>
      </c>
      <c r="AN175" s="98" t="str">
        <f>HYPERLINK("https://www.youtube.com/watch?v=OzyPZwSisZ0")</f>
        <v>https://www.youtube.com/watch?v=OzyPZwSisZ0</v>
      </c>
      <c r="AO175" s="80" t="str">
        <f>REPLACE(INDEX(GroupVertices[Group],MATCH(Vertices[[#This Row],[Vertex]],GroupVertices[Vertex],0)),1,1,"")</f>
        <v>8</v>
      </c>
      <c r="AP175" s="49">
        <v>0</v>
      </c>
      <c r="AQ175" s="50">
        <v>0</v>
      </c>
      <c r="AR175" s="49">
        <v>0</v>
      </c>
      <c r="AS175" s="50">
        <v>0</v>
      </c>
      <c r="AT175" s="49">
        <v>0</v>
      </c>
      <c r="AU175" s="50">
        <v>0</v>
      </c>
      <c r="AV175" s="49">
        <v>5</v>
      </c>
      <c r="AW175" s="50">
        <v>100</v>
      </c>
      <c r="AX175" s="49">
        <v>5</v>
      </c>
      <c r="AY175" s="49"/>
      <c r="AZ175" s="49"/>
      <c r="BA175" s="49"/>
      <c r="BB175" s="49"/>
      <c r="BC175" s="2"/>
      <c r="BD175" s="3"/>
      <c r="BE175" s="3"/>
      <c r="BF175" s="3"/>
      <c r="BG175" s="3"/>
    </row>
    <row r="176" spans="1:59" ht="15">
      <c r="A176" s="65" t="s">
        <v>233</v>
      </c>
      <c r="B176" s="66" t="s">
        <v>1613</v>
      </c>
      <c r="C176" s="66"/>
      <c r="D176" s="67">
        <v>100</v>
      </c>
      <c r="E176" s="69">
        <v>50</v>
      </c>
      <c r="F176" s="96" t="str">
        <f>HYPERLINK("https://i.ytimg.com/vi/imzmS6mzOws/default.jpg")</f>
        <v>https://i.ytimg.com/vi/imzmS6mzOws/default.jpg</v>
      </c>
      <c r="G176" s="66"/>
      <c r="H176" s="70" t="s">
        <v>562</v>
      </c>
      <c r="I176" s="71"/>
      <c r="J176" s="71" t="s">
        <v>159</v>
      </c>
      <c r="K176" s="70" t="s">
        <v>562</v>
      </c>
      <c r="L176" s="74">
        <v>4.494686020564735</v>
      </c>
      <c r="M176" s="75">
        <v>1020.7754516601562</v>
      </c>
      <c r="N176" s="75">
        <v>7058.54248046875</v>
      </c>
      <c r="O176" s="76"/>
      <c r="P176" s="77"/>
      <c r="Q176" s="77"/>
      <c r="R176" s="82"/>
      <c r="S176" s="49">
        <v>0</v>
      </c>
      <c r="T176" s="49">
        <v>10</v>
      </c>
      <c r="U176" s="50">
        <v>5650.596923</v>
      </c>
      <c r="V176" s="50">
        <v>0.002252</v>
      </c>
      <c r="W176" s="50">
        <v>0.00787</v>
      </c>
      <c r="X176" s="50">
        <v>1.761741</v>
      </c>
      <c r="Y176" s="50">
        <v>0.23333333333333334</v>
      </c>
      <c r="Z176" s="50">
        <v>0</v>
      </c>
      <c r="AA176" s="72">
        <v>176</v>
      </c>
      <c r="AB176" s="72"/>
      <c r="AC176" s="73"/>
      <c r="AD176" s="80" t="s">
        <v>562</v>
      </c>
      <c r="AE176" s="80" t="s">
        <v>726</v>
      </c>
      <c r="AF176" s="80" t="s">
        <v>874</v>
      </c>
      <c r="AG176" s="80" t="s">
        <v>970</v>
      </c>
      <c r="AH176" s="80" t="s">
        <v>1145</v>
      </c>
      <c r="AI176" s="80">
        <v>2410</v>
      </c>
      <c r="AJ176" s="80">
        <v>0</v>
      </c>
      <c r="AK176" s="80">
        <v>16</v>
      </c>
      <c r="AL176" s="80">
        <v>0</v>
      </c>
      <c r="AM176" s="80" t="s">
        <v>1155</v>
      </c>
      <c r="AN176" s="98" t="str">
        <f>HYPERLINK("https://www.youtube.com/watch?v=imzmS6mzOws")</f>
        <v>https://www.youtube.com/watch?v=imzmS6mzOws</v>
      </c>
      <c r="AO176" s="80" t="str">
        <f>REPLACE(INDEX(GroupVertices[Group],MATCH(Vertices[[#This Row],[Vertex]],GroupVertices[Vertex],0)),1,1,"")</f>
        <v>1</v>
      </c>
      <c r="AP176" s="49">
        <v>0</v>
      </c>
      <c r="AQ176" s="50">
        <v>0</v>
      </c>
      <c r="AR176" s="49">
        <v>0</v>
      </c>
      <c r="AS176" s="50">
        <v>0</v>
      </c>
      <c r="AT176" s="49">
        <v>0</v>
      </c>
      <c r="AU176" s="50">
        <v>0</v>
      </c>
      <c r="AV176" s="49">
        <v>2</v>
      </c>
      <c r="AW176" s="50">
        <v>100</v>
      </c>
      <c r="AX176" s="49">
        <v>2</v>
      </c>
      <c r="AY176" s="111" t="s">
        <v>1608</v>
      </c>
      <c r="AZ176" s="111" t="s">
        <v>1608</v>
      </c>
      <c r="BA176" s="111" t="s">
        <v>1608</v>
      </c>
      <c r="BB176" s="111" t="s">
        <v>1608</v>
      </c>
      <c r="BC176" s="2"/>
      <c r="BD176" s="3"/>
      <c r="BE176" s="3"/>
      <c r="BF176" s="3"/>
      <c r="BG176" s="3"/>
    </row>
    <row r="177" spans="1:59" ht="15">
      <c r="A177" s="65" t="s">
        <v>234</v>
      </c>
      <c r="B177" s="66" t="s">
        <v>1613</v>
      </c>
      <c r="C177" s="66"/>
      <c r="D177" s="67">
        <v>142.85714285714286</v>
      </c>
      <c r="E177" s="69">
        <v>56.25</v>
      </c>
      <c r="F177" s="96" t="str">
        <f>HYPERLINK("https://i.ytimg.com/vi/J1W5uqAyHTg/default.jpg")</f>
        <v>https://i.ytimg.com/vi/J1W5uqAyHTg/default.jpg</v>
      </c>
      <c r="G177" s="66"/>
      <c r="H177" s="70" t="s">
        <v>563</v>
      </c>
      <c r="I177" s="71"/>
      <c r="J177" s="71" t="s">
        <v>159</v>
      </c>
      <c r="K177" s="70" t="s">
        <v>563</v>
      </c>
      <c r="L177" s="74">
        <v>1.1242360149510675</v>
      </c>
      <c r="M177" s="75">
        <v>2850.033447265625</v>
      </c>
      <c r="N177" s="75">
        <v>9455.08203125</v>
      </c>
      <c r="O177" s="76"/>
      <c r="P177" s="77"/>
      <c r="Q177" s="77"/>
      <c r="R177" s="82"/>
      <c r="S177" s="49">
        <v>1</v>
      </c>
      <c r="T177" s="49">
        <v>10</v>
      </c>
      <c r="U177" s="50">
        <v>0</v>
      </c>
      <c r="V177" s="50">
        <v>0.00202</v>
      </c>
      <c r="W177" s="50">
        <v>0.014015</v>
      </c>
      <c r="X177" s="50">
        <v>1.147247</v>
      </c>
      <c r="Y177" s="50">
        <v>0.7333333333333333</v>
      </c>
      <c r="Z177" s="50">
        <v>0.1</v>
      </c>
      <c r="AA177" s="72">
        <v>177</v>
      </c>
      <c r="AB177" s="72"/>
      <c r="AC177" s="73"/>
      <c r="AD177" s="80" t="s">
        <v>563</v>
      </c>
      <c r="AE177" s="80" t="s">
        <v>727</v>
      </c>
      <c r="AF177" s="80"/>
      <c r="AG177" s="80" t="s">
        <v>971</v>
      </c>
      <c r="AH177" s="80" t="s">
        <v>1146</v>
      </c>
      <c r="AI177" s="80">
        <v>104</v>
      </c>
      <c r="AJ177" s="80">
        <v>0</v>
      </c>
      <c r="AK177" s="80">
        <v>2</v>
      </c>
      <c r="AL177" s="80">
        <v>0</v>
      </c>
      <c r="AM177" s="80" t="s">
        <v>1155</v>
      </c>
      <c r="AN177" s="98" t="str">
        <f>HYPERLINK("https://www.youtube.com/watch?v=J1W5uqAyHTg")</f>
        <v>https://www.youtube.com/watch?v=J1W5uqAyHTg</v>
      </c>
      <c r="AO177" s="80" t="str">
        <f>REPLACE(INDEX(GroupVertices[Group],MATCH(Vertices[[#This Row],[Vertex]],GroupVertices[Vertex],0)),1,1,"")</f>
        <v>1</v>
      </c>
      <c r="AP177" s="49"/>
      <c r="AQ177" s="50"/>
      <c r="AR177" s="49"/>
      <c r="AS177" s="50"/>
      <c r="AT177" s="49"/>
      <c r="AU177" s="50"/>
      <c r="AV177" s="49"/>
      <c r="AW177" s="50"/>
      <c r="AX177" s="49"/>
      <c r="AY177" s="111" t="s">
        <v>1608</v>
      </c>
      <c r="AZ177" s="111" t="s">
        <v>1608</v>
      </c>
      <c r="BA177" s="111" t="s">
        <v>1608</v>
      </c>
      <c r="BB177" s="111" t="s">
        <v>1608</v>
      </c>
      <c r="BC177" s="2"/>
      <c r="BD177" s="3"/>
      <c r="BE177" s="3"/>
      <c r="BF177" s="3"/>
      <c r="BG177" s="3"/>
    </row>
    <row r="178" spans="1:59" ht="15">
      <c r="A178" s="65" t="s">
        <v>369</v>
      </c>
      <c r="B178" s="66" t="s">
        <v>1614</v>
      </c>
      <c r="C178" s="66"/>
      <c r="D178" s="67">
        <v>142.85714285714286</v>
      </c>
      <c r="E178" s="69">
        <v>56.25</v>
      </c>
      <c r="F178" s="96" t="str">
        <f>HYPERLINK("https://i.ytimg.com/vi/H5B6BS39PTM/default.jpg")</f>
        <v>https://i.ytimg.com/vi/H5B6BS39PTM/default.jpg</v>
      </c>
      <c r="G178" s="66"/>
      <c r="H178" s="70" t="s">
        <v>564</v>
      </c>
      <c r="I178" s="71"/>
      <c r="J178" s="71" t="s">
        <v>159</v>
      </c>
      <c r="K178" s="70" t="s">
        <v>564</v>
      </c>
      <c r="L178" s="74">
        <v>1.219240026384237</v>
      </c>
      <c r="M178" s="75">
        <v>411.0228271484375</v>
      </c>
      <c r="N178" s="75">
        <v>8656.2353515625</v>
      </c>
      <c r="O178" s="76"/>
      <c r="P178" s="77"/>
      <c r="Q178" s="77"/>
      <c r="R178" s="82"/>
      <c r="S178" s="49">
        <v>1</v>
      </c>
      <c r="T178" s="49">
        <v>0</v>
      </c>
      <c r="U178" s="50">
        <v>0</v>
      </c>
      <c r="V178" s="50">
        <v>0.001645</v>
      </c>
      <c r="W178" s="50">
        <v>0.001404</v>
      </c>
      <c r="X178" s="50">
        <v>0.246571</v>
      </c>
      <c r="Y178" s="50">
        <v>0</v>
      </c>
      <c r="Z178" s="50">
        <v>0</v>
      </c>
      <c r="AA178" s="72">
        <v>178</v>
      </c>
      <c r="AB178" s="72"/>
      <c r="AC178" s="73"/>
      <c r="AD178" s="80" t="s">
        <v>564</v>
      </c>
      <c r="AE178" s="80" t="s">
        <v>728</v>
      </c>
      <c r="AF178" s="80" t="s">
        <v>875</v>
      </c>
      <c r="AG178" s="80" t="s">
        <v>969</v>
      </c>
      <c r="AH178" s="80" t="s">
        <v>1147</v>
      </c>
      <c r="AI178" s="80">
        <v>169</v>
      </c>
      <c r="AJ178" s="80">
        <v>1</v>
      </c>
      <c r="AK178" s="80">
        <v>3</v>
      </c>
      <c r="AL178" s="80">
        <v>0</v>
      </c>
      <c r="AM178" s="80" t="s">
        <v>1155</v>
      </c>
      <c r="AN178" s="98" t="str">
        <f>HYPERLINK("https://www.youtube.com/watch?v=H5B6BS39PTM")</f>
        <v>https://www.youtube.com/watch?v=H5B6BS39PTM</v>
      </c>
      <c r="AO178" s="80" t="str">
        <f>REPLACE(INDEX(GroupVertices[Group],MATCH(Vertices[[#This Row],[Vertex]],GroupVertices[Vertex],0)),1,1,"")</f>
        <v>1</v>
      </c>
      <c r="AP178" s="49">
        <v>0</v>
      </c>
      <c r="AQ178" s="50">
        <v>0</v>
      </c>
      <c r="AR178" s="49">
        <v>0</v>
      </c>
      <c r="AS178" s="50">
        <v>0</v>
      </c>
      <c r="AT178" s="49">
        <v>0</v>
      </c>
      <c r="AU178" s="50">
        <v>0</v>
      </c>
      <c r="AV178" s="49">
        <v>11</v>
      </c>
      <c r="AW178" s="50">
        <v>100</v>
      </c>
      <c r="AX178" s="49">
        <v>11</v>
      </c>
      <c r="AY178" s="49"/>
      <c r="AZ178" s="49"/>
      <c r="BA178" s="49"/>
      <c r="BB178" s="49"/>
      <c r="BC178" s="2"/>
      <c r="BD178" s="3"/>
      <c r="BE178" s="3"/>
      <c r="BF178" s="3"/>
      <c r="BG178" s="3"/>
    </row>
    <row r="179" spans="1:59" ht="15">
      <c r="A179" s="65" t="s">
        <v>370</v>
      </c>
      <c r="B179" s="66" t="s">
        <v>1614</v>
      </c>
      <c r="C179" s="66"/>
      <c r="D179" s="67">
        <v>228.57142857142858</v>
      </c>
      <c r="E179" s="69">
        <v>68.75</v>
      </c>
      <c r="F179" s="96" t="str">
        <f>HYPERLINK("https://i.ytimg.com/vi/NX0QBphzG-s/default.jpg")</f>
        <v>https://i.ytimg.com/vi/NX0QBphzG-s/default.jpg</v>
      </c>
      <c r="G179" s="66"/>
      <c r="H179" s="70" t="s">
        <v>565</v>
      </c>
      <c r="I179" s="71"/>
      <c r="J179" s="71" t="s">
        <v>159</v>
      </c>
      <c r="K179" s="70" t="s">
        <v>565</v>
      </c>
      <c r="L179" s="74">
        <v>30.544785955539755</v>
      </c>
      <c r="M179" s="75">
        <v>411.0228271484375</v>
      </c>
      <c r="N179" s="75">
        <v>1336.571533203125</v>
      </c>
      <c r="O179" s="76"/>
      <c r="P179" s="77"/>
      <c r="Q179" s="77"/>
      <c r="R179" s="82"/>
      <c r="S179" s="49">
        <v>3</v>
      </c>
      <c r="T179" s="49">
        <v>0</v>
      </c>
      <c r="U179" s="50">
        <v>0</v>
      </c>
      <c r="V179" s="50">
        <v>0.001815</v>
      </c>
      <c r="W179" s="50">
        <v>0.002246</v>
      </c>
      <c r="X179" s="50">
        <v>0.641123</v>
      </c>
      <c r="Y179" s="50">
        <v>0.5</v>
      </c>
      <c r="Z179" s="50">
        <v>0</v>
      </c>
      <c r="AA179" s="72">
        <v>179</v>
      </c>
      <c r="AB179" s="72"/>
      <c r="AC179" s="73"/>
      <c r="AD179" s="80" t="s">
        <v>565</v>
      </c>
      <c r="AE179" s="80"/>
      <c r="AF179" s="80"/>
      <c r="AG179" s="80" t="s">
        <v>950</v>
      </c>
      <c r="AH179" s="80" t="s">
        <v>1148</v>
      </c>
      <c r="AI179" s="80">
        <v>20233</v>
      </c>
      <c r="AJ179" s="80">
        <v>6</v>
      </c>
      <c r="AK179" s="80">
        <v>88</v>
      </c>
      <c r="AL179" s="80">
        <v>2</v>
      </c>
      <c r="AM179" s="80" t="s">
        <v>1155</v>
      </c>
      <c r="AN179" s="98" t="str">
        <f>HYPERLINK("https://www.youtube.com/watch?v=NX0QBphzG-s")</f>
        <v>https://www.youtube.com/watch?v=NX0QBphzG-s</v>
      </c>
      <c r="AO179" s="80" t="str">
        <f>REPLACE(INDEX(GroupVertices[Group],MATCH(Vertices[[#This Row],[Vertex]],GroupVertices[Vertex],0)),1,1,"")</f>
        <v>2</v>
      </c>
      <c r="AP179" s="49"/>
      <c r="AQ179" s="50"/>
      <c r="AR179" s="49"/>
      <c r="AS179" s="50"/>
      <c r="AT179" s="49"/>
      <c r="AU179" s="50"/>
      <c r="AV179" s="49"/>
      <c r="AW179" s="50"/>
      <c r="AX179" s="49"/>
      <c r="AY179" s="49"/>
      <c r="AZ179" s="49"/>
      <c r="BA179" s="49"/>
      <c r="BB179" s="49"/>
      <c r="BC179" s="2"/>
      <c r="BD179" s="3"/>
      <c r="BE179" s="3"/>
      <c r="BF179" s="3"/>
      <c r="BG179" s="3"/>
    </row>
    <row r="180" spans="1:59" ht="15">
      <c r="A180" s="65" t="s">
        <v>371</v>
      </c>
      <c r="B180" s="66" t="s">
        <v>1614</v>
      </c>
      <c r="C180" s="66"/>
      <c r="D180" s="67">
        <v>185.71428571428572</v>
      </c>
      <c r="E180" s="69">
        <v>62.5</v>
      </c>
      <c r="F180" s="96" t="str">
        <f>HYPERLINK("https://i.ytimg.com/vi/j_PUwmDcPBs/default.jpg")</f>
        <v>https://i.ytimg.com/vi/j_PUwmDcPBs/default.jpg</v>
      </c>
      <c r="G180" s="66"/>
      <c r="H180" s="70" t="s">
        <v>566</v>
      </c>
      <c r="I180" s="71"/>
      <c r="J180" s="71" t="s">
        <v>159</v>
      </c>
      <c r="K180" s="70" t="s">
        <v>566</v>
      </c>
      <c r="L180" s="74">
        <v>10.056074689844875</v>
      </c>
      <c r="M180" s="75">
        <v>2850.033447265625</v>
      </c>
      <c r="N180" s="75">
        <v>2926.008056640625</v>
      </c>
      <c r="O180" s="76"/>
      <c r="P180" s="77"/>
      <c r="Q180" s="77"/>
      <c r="R180" s="82"/>
      <c r="S180" s="49">
        <v>2</v>
      </c>
      <c r="T180" s="49">
        <v>0</v>
      </c>
      <c r="U180" s="50">
        <v>0</v>
      </c>
      <c r="V180" s="50">
        <v>0.001748</v>
      </c>
      <c r="W180" s="50">
        <v>0.001895</v>
      </c>
      <c r="X180" s="50">
        <v>0.373717</v>
      </c>
      <c r="Y180" s="50">
        <v>0.5</v>
      </c>
      <c r="Z180" s="50">
        <v>0</v>
      </c>
      <c r="AA180" s="72">
        <v>180</v>
      </c>
      <c r="AB180" s="72"/>
      <c r="AC180" s="73"/>
      <c r="AD180" s="80" t="s">
        <v>566</v>
      </c>
      <c r="AE180" s="80" t="s">
        <v>729</v>
      </c>
      <c r="AF180" s="80" t="s">
        <v>876</v>
      </c>
      <c r="AG180" s="80" t="s">
        <v>894</v>
      </c>
      <c r="AH180" s="80" t="s">
        <v>1149</v>
      </c>
      <c r="AI180" s="80">
        <v>6215</v>
      </c>
      <c r="AJ180" s="80">
        <v>7</v>
      </c>
      <c r="AK180" s="80">
        <v>95</v>
      </c>
      <c r="AL180" s="80">
        <v>0</v>
      </c>
      <c r="AM180" s="80" t="s">
        <v>1155</v>
      </c>
      <c r="AN180" s="98" t="str">
        <f>HYPERLINK("https://www.youtube.com/watch?v=j_PUwmDcPBs")</f>
        <v>https://www.youtube.com/watch?v=j_PUwmDcPBs</v>
      </c>
      <c r="AO180" s="80" t="str">
        <f>REPLACE(INDEX(GroupVertices[Group],MATCH(Vertices[[#This Row],[Vertex]],GroupVertices[Vertex],0)),1,1,"")</f>
        <v>2</v>
      </c>
      <c r="AP180" s="49">
        <v>0</v>
      </c>
      <c r="AQ180" s="50">
        <v>0</v>
      </c>
      <c r="AR180" s="49">
        <v>0</v>
      </c>
      <c r="AS180" s="50">
        <v>0</v>
      </c>
      <c r="AT180" s="49">
        <v>0</v>
      </c>
      <c r="AU180" s="50">
        <v>0</v>
      </c>
      <c r="AV180" s="49">
        <v>11</v>
      </c>
      <c r="AW180" s="50">
        <v>100</v>
      </c>
      <c r="AX180" s="49">
        <v>11</v>
      </c>
      <c r="AY180" s="49"/>
      <c r="AZ180" s="49"/>
      <c r="BA180" s="49"/>
      <c r="BB180" s="49"/>
      <c r="BC180" s="2"/>
      <c r="BD180" s="3"/>
      <c r="BE180" s="3"/>
      <c r="BF180" s="3"/>
      <c r="BG180" s="3"/>
    </row>
    <row r="181" spans="1:59" ht="15">
      <c r="A181" s="65" t="s">
        <v>372</v>
      </c>
      <c r="B181" s="66" t="s">
        <v>1614</v>
      </c>
      <c r="C181" s="66"/>
      <c r="D181" s="67">
        <v>142.85714285714286</v>
      </c>
      <c r="E181" s="69">
        <v>56.25</v>
      </c>
      <c r="F181" s="96" t="str">
        <f>HYPERLINK("https://i.ytimg.com/vi/isBm5RTslow/default.jpg")</f>
        <v>https://i.ytimg.com/vi/isBm5RTslow/default.jpg</v>
      </c>
      <c r="G181" s="66"/>
      <c r="H181" s="70" t="s">
        <v>567</v>
      </c>
      <c r="I181" s="71"/>
      <c r="J181" s="71" t="s">
        <v>159</v>
      </c>
      <c r="K181" s="70" t="s">
        <v>567</v>
      </c>
      <c r="L181" s="74">
        <v>35.54930495780393</v>
      </c>
      <c r="M181" s="75">
        <v>4679.29150390625</v>
      </c>
      <c r="N181" s="75">
        <v>5460.84912109375</v>
      </c>
      <c r="O181" s="76"/>
      <c r="P181" s="77"/>
      <c r="Q181" s="77"/>
      <c r="R181" s="82"/>
      <c r="S181" s="49">
        <v>1</v>
      </c>
      <c r="T181" s="49">
        <v>0</v>
      </c>
      <c r="U181" s="50">
        <v>0</v>
      </c>
      <c r="V181" s="50">
        <v>0.001656</v>
      </c>
      <c r="W181" s="50">
        <v>0.001405</v>
      </c>
      <c r="X181" s="50">
        <v>0.251472</v>
      </c>
      <c r="Y181" s="50">
        <v>0</v>
      </c>
      <c r="Z181" s="50">
        <v>0</v>
      </c>
      <c r="AA181" s="72">
        <v>181</v>
      </c>
      <c r="AB181" s="72"/>
      <c r="AC181" s="73"/>
      <c r="AD181" s="80" t="s">
        <v>567</v>
      </c>
      <c r="AE181" s="80" t="s">
        <v>730</v>
      </c>
      <c r="AF181" s="80" t="s">
        <v>877</v>
      </c>
      <c r="AG181" s="80" t="s">
        <v>912</v>
      </c>
      <c r="AH181" s="80" t="s">
        <v>1150</v>
      </c>
      <c r="AI181" s="80">
        <v>23657</v>
      </c>
      <c r="AJ181" s="80">
        <v>15</v>
      </c>
      <c r="AK181" s="80">
        <v>202</v>
      </c>
      <c r="AL181" s="80">
        <v>7</v>
      </c>
      <c r="AM181" s="80" t="s">
        <v>1155</v>
      </c>
      <c r="AN181" s="98" t="str">
        <f>HYPERLINK("https://www.youtube.com/watch?v=isBm5RTslow")</f>
        <v>https://www.youtube.com/watch?v=isBm5RTslow</v>
      </c>
      <c r="AO181" s="80" t="str">
        <f>REPLACE(INDEX(GroupVertices[Group],MATCH(Vertices[[#This Row],[Vertex]],GroupVertices[Vertex],0)),1,1,"")</f>
        <v>1</v>
      </c>
      <c r="AP181" s="49">
        <v>0</v>
      </c>
      <c r="AQ181" s="50">
        <v>0</v>
      </c>
      <c r="AR181" s="49">
        <v>0</v>
      </c>
      <c r="AS181" s="50">
        <v>0</v>
      </c>
      <c r="AT181" s="49">
        <v>0</v>
      </c>
      <c r="AU181" s="50">
        <v>0</v>
      </c>
      <c r="AV181" s="49">
        <v>16</v>
      </c>
      <c r="AW181" s="50">
        <v>100</v>
      </c>
      <c r="AX181" s="49">
        <v>16</v>
      </c>
      <c r="AY181" s="49"/>
      <c r="AZ181" s="49"/>
      <c r="BA181" s="49"/>
      <c r="BB181" s="49"/>
      <c r="BC181" s="2"/>
      <c r="BD181" s="3"/>
      <c r="BE181" s="3"/>
      <c r="BF181" s="3"/>
      <c r="BG181" s="3"/>
    </row>
    <row r="182" spans="1:59" ht="15">
      <c r="A182" s="65" t="s">
        <v>373</v>
      </c>
      <c r="B182" s="66" t="s">
        <v>1614</v>
      </c>
      <c r="C182" s="66"/>
      <c r="D182" s="67">
        <v>142.85714285714286</v>
      </c>
      <c r="E182" s="69">
        <v>56.25</v>
      </c>
      <c r="F182" s="96" t="str">
        <f>HYPERLINK("https://i.ytimg.com/vi/6Lauxn9oTt4/default.jpg")</f>
        <v>https://i.ytimg.com/vi/6Lauxn9oTt4/default.jpg</v>
      </c>
      <c r="G182" s="66"/>
      <c r="H182" s="70" t="s">
        <v>568</v>
      </c>
      <c r="I182" s="71"/>
      <c r="J182" s="71" t="s">
        <v>159</v>
      </c>
      <c r="K182" s="70" t="s">
        <v>568</v>
      </c>
      <c r="L182" s="74">
        <v>13.98193276229861</v>
      </c>
      <c r="M182" s="75">
        <v>4069.538818359375</v>
      </c>
      <c r="N182" s="75">
        <v>6259.69580078125</v>
      </c>
      <c r="O182" s="76"/>
      <c r="P182" s="77"/>
      <c r="Q182" s="77"/>
      <c r="R182" s="82"/>
      <c r="S182" s="49">
        <v>1</v>
      </c>
      <c r="T182" s="49">
        <v>0</v>
      </c>
      <c r="U182" s="50">
        <v>0</v>
      </c>
      <c r="V182" s="50">
        <v>0.001656</v>
      </c>
      <c r="W182" s="50">
        <v>0.001405</v>
      </c>
      <c r="X182" s="50">
        <v>0.251472</v>
      </c>
      <c r="Y182" s="50">
        <v>0</v>
      </c>
      <c r="Z182" s="50">
        <v>0</v>
      </c>
      <c r="AA182" s="72">
        <v>182</v>
      </c>
      <c r="AB182" s="72"/>
      <c r="AC182" s="73"/>
      <c r="AD182" s="80" t="s">
        <v>568</v>
      </c>
      <c r="AE182" s="80" t="s">
        <v>731</v>
      </c>
      <c r="AF182" s="80"/>
      <c r="AG182" s="80" t="s">
        <v>972</v>
      </c>
      <c r="AH182" s="80" t="s">
        <v>1151</v>
      </c>
      <c r="AI182" s="80">
        <v>8901</v>
      </c>
      <c r="AJ182" s="80">
        <v>6</v>
      </c>
      <c r="AK182" s="80">
        <v>80</v>
      </c>
      <c r="AL182" s="80">
        <v>0</v>
      </c>
      <c r="AM182" s="80" t="s">
        <v>1155</v>
      </c>
      <c r="AN182" s="98" t="str">
        <f>HYPERLINK("https://www.youtube.com/watch?v=6Lauxn9oTt4")</f>
        <v>https://www.youtube.com/watch?v=6Lauxn9oTt4</v>
      </c>
      <c r="AO182" s="80" t="str">
        <f>REPLACE(INDEX(GroupVertices[Group],MATCH(Vertices[[#This Row],[Vertex]],GroupVertices[Vertex],0)),1,1,"")</f>
        <v>1</v>
      </c>
      <c r="AP182" s="49"/>
      <c r="AQ182" s="50"/>
      <c r="AR182" s="49"/>
      <c r="AS182" s="50"/>
      <c r="AT182" s="49"/>
      <c r="AU182" s="50"/>
      <c r="AV182" s="49"/>
      <c r="AW182" s="50"/>
      <c r="AX182" s="49"/>
      <c r="AY182" s="49"/>
      <c r="AZ182" s="49"/>
      <c r="BA182" s="49"/>
      <c r="BB182" s="49"/>
      <c r="BC182" s="2"/>
      <c r="BD182" s="3"/>
      <c r="BE182" s="3"/>
      <c r="BF182" s="3"/>
      <c r="BG182" s="3"/>
    </row>
    <row r="183" spans="1:59" ht="15">
      <c r="A183" s="65" t="s">
        <v>374</v>
      </c>
      <c r="B183" s="66" t="s">
        <v>1614</v>
      </c>
      <c r="C183" s="66"/>
      <c r="D183" s="67">
        <v>185.71428571428572</v>
      </c>
      <c r="E183" s="69">
        <v>62.5</v>
      </c>
      <c r="F183" s="96" t="str">
        <f>HYPERLINK("https://i.ytimg.com/vi/hVfI1U7uHR4/default.jpg")</f>
        <v>https://i.ytimg.com/vi/hVfI1U7uHR4/default.jpg</v>
      </c>
      <c r="G183" s="66"/>
      <c r="H183" s="70" t="s">
        <v>569</v>
      </c>
      <c r="I183" s="71"/>
      <c r="J183" s="71" t="s">
        <v>159</v>
      </c>
      <c r="K183" s="70" t="s">
        <v>569</v>
      </c>
      <c r="L183" s="74">
        <v>1.2294712276155013</v>
      </c>
      <c r="M183" s="75">
        <v>1020.7754516601562</v>
      </c>
      <c r="N183" s="75">
        <v>8656.2353515625</v>
      </c>
      <c r="O183" s="76"/>
      <c r="P183" s="77"/>
      <c r="Q183" s="77"/>
      <c r="R183" s="82"/>
      <c r="S183" s="49">
        <v>2</v>
      </c>
      <c r="T183" s="49">
        <v>0</v>
      </c>
      <c r="U183" s="50">
        <v>0</v>
      </c>
      <c r="V183" s="50">
        <v>0.00173</v>
      </c>
      <c r="W183" s="50">
        <v>0.002766</v>
      </c>
      <c r="X183" s="50">
        <v>0.346067</v>
      </c>
      <c r="Y183" s="50">
        <v>1</v>
      </c>
      <c r="Z183" s="50">
        <v>0</v>
      </c>
      <c r="AA183" s="72">
        <v>183</v>
      </c>
      <c r="AB183" s="72"/>
      <c r="AC183" s="73"/>
      <c r="AD183" s="80" t="s">
        <v>569</v>
      </c>
      <c r="AE183" s="80" t="s">
        <v>732</v>
      </c>
      <c r="AF183" s="80" t="s">
        <v>878</v>
      </c>
      <c r="AG183" s="80" t="s">
        <v>973</v>
      </c>
      <c r="AH183" s="80" t="s">
        <v>1152</v>
      </c>
      <c r="AI183" s="80">
        <v>176</v>
      </c>
      <c r="AJ183" s="80">
        <v>2</v>
      </c>
      <c r="AK183" s="80">
        <v>2</v>
      </c>
      <c r="AL183" s="80">
        <v>0</v>
      </c>
      <c r="AM183" s="80" t="s">
        <v>1155</v>
      </c>
      <c r="AN183" s="98" t="str">
        <f>HYPERLINK("https://www.youtube.com/watch?v=hVfI1U7uHR4")</f>
        <v>https://www.youtube.com/watch?v=hVfI1U7uHR4</v>
      </c>
      <c r="AO183" s="80" t="str">
        <f>REPLACE(INDEX(GroupVertices[Group],MATCH(Vertices[[#This Row],[Vertex]],GroupVertices[Vertex],0)),1,1,"")</f>
        <v>1</v>
      </c>
      <c r="AP183" s="49">
        <v>0</v>
      </c>
      <c r="AQ183" s="50">
        <v>0</v>
      </c>
      <c r="AR183" s="49">
        <v>0</v>
      </c>
      <c r="AS183" s="50">
        <v>0</v>
      </c>
      <c r="AT183" s="49">
        <v>0</v>
      </c>
      <c r="AU183" s="50">
        <v>0</v>
      </c>
      <c r="AV183" s="49">
        <v>10</v>
      </c>
      <c r="AW183" s="50">
        <v>100</v>
      </c>
      <c r="AX183" s="49">
        <v>10</v>
      </c>
      <c r="AY183" s="49"/>
      <c r="AZ183" s="49"/>
      <c r="BA183" s="49"/>
      <c r="BB183" s="49"/>
      <c r="BC183" s="2"/>
      <c r="BD183" s="3"/>
      <c r="BE183" s="3"/>
      <c r="BF183" s="3"/>
      <c r="BG183" s="3"/>
    </row>
    <row r="184" spans="1:59" ht="15">
      <c r="A184" s="83" t="s">
        <v>375</v>
      </c>
      <c r="B184" s="84" t="s">
        <v>1614</v>
      </c>
      <c r="C184" s="84"/>
      <c r="D184" s="85">
        <v>142.85714285714286</v>
      </c>
      <c r="E184" s="86">
        <v>56.25</v>
      </c>
      <c r="F184" s="97" t="str">
        <f>HYPERLINK("https://i.ytimg.com/vi/o-D-Duv8Mcs/default.jpg")</f>
        <v>https://i.ytimg.com/vi/o-D-Duv8Mcs/default.jpg</v>
      </c>
      <c r="G184" s="84"/>
      <c r="H184" s="87" t="s">
        <v>570</v>
      </c>
      <c r="I184" s="88"/>
      <c r="J184" s="88" t="s">
        <v>159</v>
      </c>
      <c r="K184" s="87" t="s">
        <v>570</v>
      </c>
      <c r="L184" s="89">
        <v>1.567100868247226</v>
      </c>
      <c r="M184" s="90">
        <v>1020.7754516601562</v>
      </c>
      <c r="N184" s="90">
        <v>3720.72607421875</v>
      </c>
      <c r="O184" s="91"/>
      <c r="P184" s="92"/>
      <c r="Q184" s="92"/>
      <c r="R184" s="93"/>
      <c r="S184" s="49">
        <v>1</v>
      </c>
      <c r="T184" s="49">
        <v>0</v>
      </c>
      <c r="U184" s="50">
        <v>0</v>
      </c>
      <c r="V184" s="50">
        <v>0.001757</v>
      </c>
      <c r="W184" s="50">
        <v>0.001522</v>
      </c>
      <c r="X184" s="50">
        <v>0.253975</v>
      </c>
      <c r="Y184" s="50">
        <v>0</v>
      </c>
      <c r="Z184" s="50">
        <v>0</v>
      </c>
      <c r="AA184" s="94">
        <v>184</v>
      </c>
      <c r="AB184" s="94"/>
      <c r="AC184" s="95"/>
      <c r="AD184" s="80" t="s">
        <v>570</v>
      </c>
      <c r="AE184" s="80" t="s">
        <v>733</v>
      </c>
      <c r="AF184" s="80" t="s">
        <v>879</v>
      </c>
      <c r="AG184" s="80" t="s">
        <v>974</v>
      </c>
      <c r="AH184" s="80" t="s">
        <v>1153</v>
      </c>
      <c r="AI184" s="80">
        <v>407</v>
      </c>
      <c r="AJ184" s="80">
        <v>10</v>
      </c>
      <c r="AK184" s="80">
        <v>15</v>
      </c>
      <c r="AL184" s="80">
        <v>0</v>
      </c>
      <c r="AM184" s="80" t="s">
        <v>1155</v>
      </c>
      <c r="AN184" s="98" t="str">
        <f>HYPERLINK("https://www.youtube.com/watch?v=o-D-Duv8Mcs")</f>
        <v>https://www.youtube.com/watch?v=o-D-Duv8Mcs</v>
      </c>
      <c r="AO184" s="80" t="str">
        <f>REPLACE(INDEX(GroupVertices[Group],MATCH(Vertices[[#This Row],[Vertex]],GroupVertices[Vertex],0)),1,1,"")</f>
        <v>2</v>
      </c>
      <c r="AP184" s="49">
        <v>0</v>
      </c>
      <c r="AQ184" s="50">
        <v>0</v>
      </c>
      <c r="AR184" s="49">
        <v>0</v>
      </c>
      <c r="AS184" s="50">
        <v>0</v>
      </c>
      <c r="AT184" s="49">
        <v>0</v>
      </c>
      <c r="AU184" s="50">
        <v>0</v>
      </c>
      <c r="AV184" s="49">
        <v>3</v>
      </c>
      <c r="AW184" s="50">
        <v>100</v>
      </c>
      <c r="AX184" s="49">
        <v>3</v>
      </c>
      <c r="AY184" s="49"/>
      <c r="AZ184" s="49"/>
      <c r="BA184" s="49"/>
      <c r="BB184" s="49"/>
      <c r="BC184" s="2"/>
      <c r="BD184" s="3"/>
      <c r="BE184" s="3"/>
      <c r="BF184" s="3"/>
      <c r="BG1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4"/>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4"/>
    <dataValidation allowBlank="1" showInputMessage="1" promptTitle="Vertex Tooltip" prompt="Enter optional text that will pop up when the mouse is hovered over the vertex." errorTitle="Invalid Vertex Image Key" sqref="K3:K1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4"/>
    <dataValidation allowBlank="1" showInputMessage="1" promptTitle="Vertex Label Fill Color" prompt="To select an optional fill color for the Label shape, right-click and select Select Color on the right-click menu." sqref="I3:I184"/>
    <dataValidation allowBlank="1" showInputMessage="1" promptTitle="Vertex Image File" prompt="Enter the path to an image file.  Hover over the column header for examples." errorTitle="Invalid Vertex Image Key" sqref="F3:F184"/>
    <dataValidation allowBlank="1" showInputMessage="1" promptTitle="Vertex Color" prompt="To select an optional vertex color, right-click and select Select Color on the right-click menu." sqref="B3:B184"/>
    <dataValidation allowBlank="1" showInputMessage="1" promptTitle="Vertex Opacity" prompt="Enter an optional vertex opacity between 0 (transparent) and 100 (opaque)." errorTitle="Invalid Vertex Opacity" error="The optional vertex opacity must be a whole number between 0 and 10." sqref="E3:E184"/>
    <dataValidation type="list" allowBlank="1" showInputMessage="1" showErrorMessage="1" promptTitle="Vertex Shape" prompt="Select an optional vertex shape." errorTitle="Invalid Vertex Shape" error="You have entered an invalid vertex shape.  Try selecting from the drop-down list instead." sqref="C3:C1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4">
      <formula1>ValidVertexLabelPositions</formula1>
    </dataValidation>
    <dataValidation allowBlank="1" showInputMessage="1" showErrorMessage="1" promptTitle="Vertex Name" prompt="Enter the name of the vertex." sqref="A3:A1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4.0039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1463</v>
      </c>
      <c r="Z2" s="54" t="s">
        <v>1464</v>
      </c>
      <c r="AA2" s="54" t="s">
        <v>1465</v>
      </c>
      <c r="AB2" s="54" t="s">
        <v>1466</v>
      </c>
      <c r="AC2" s="54" t="s">
        <v>1467</v>
      </c>
      <c r="AD2" s="54" t="s">
        <v>1468</v>
      </c>
      <c r="AE2" s="54" t="s">
        <v>1469</v>
      </c>
      <c r="AF2" s="54" t="s">
        <v>1470</v>
      </c>
      <c r="AG2" s="54" t="s">
        <v>1473</v>
      </c>
      <c r="AH2" s="13" t="s">
        <v>1525</v>
      </c>
      <c r="AI2" s="13" t="s">
        <v>1598</v>
      </c>
    </row>
    <row r="3" spans="1:35" ht="15">
      <c r="A3" s="65" t="s">
        <v>1176</v>
      </c>
      <c r="B3" s="66" t="s">
        <v>1184</v>
      </c>
      <c r="C3" s="66" t="s">
        <v>56</v>
      </c>
      <c r="D3" s="100"/>
      <c r="E3" s="14"/>
      <c r="F3" s="15" t="s">
        <v>1630</v>
      </c>
      <c r="G3" s="64"/>
      <c r="H3" s="64"/>
      <c r="I3" s="101">
        <v>3</v>
      </c>
      <c r="J3" s="51"/>
      <c r="K3" s="49">
        <v>60</v>
      </c>
      <c r="L3" s="49">
        <v>239</v>
      </c>
      <c r="M3" s="49">
        <v>139</v>
      </c>
      <c r="N3" s="49">
        <v>378</v>
      </c>
      <c r="O3" s="49">
        <v>0</v>
      </c>
      <c r="P3" s="50">
        <v>0.212</v>
      </c>
      <c r="Q3" s="50">
        <v>0.34983498349834985</v>
      </c>
      <c r="R3" s="49">
        <v>1</v>
      </c>
      <c r="S3" s="49">
        <v>0</v>
      </c>
      <c r="T3" s="49">
        <v>60</v>
      </c>
      <c r="U3" s="49">
        <v>378</v>
      </c>
      <c r="V3" s="49">
        <v>4</v>
      </c>
      <c r="W3" s="50">
        <v>2.312222</v>
      </c>
      <c r="X3" s="50">
        <v>0.08559322033898305</v>
      </c>
      <c r="Y3" s="49">
        <v>0</v>
      </c>
      <c r="Z3" s="50">
        <v>0</v>
      </c>
      <c r="AA3" s="49">
        <v>1</v>
      </c>
      <c r="AB3" s="50">
        <v>0.19157088122605365</v>
      </c>
      <c r="AC3" s="49">
        <v>0</v>
      </c>
      <c r="AD3" s="50">
        <v>0</v>
      </c>
      <c r="AE3" s="49">
        <v>521</v>
      </c>
      <c r="AF3" s="50">
        <v>99.80842911877394</v>
      </c>
      <c r="AG3" s="49">
        <v>522</v>
      </c>
      <c r="AH3" s="102" t="s">
        <v>1526</v>
      </c>
      <c r="AI3" s="102" t="s">
        <v>1599</v>
      </c>
    </row>
    <row r="4" spans="1:35" ht="15">
      <c r="A4" s="65" t="s">
        <v>1177</v>
      </c>
      <c r="B4" s="66" t="s">
        <v>1185</v>
      </c>
      <c r="C4" s="66" t="s">
        <v>56</v>
      </c>
      <c r="D4" s="100"/>
      <c r="E4" s="14"/>
      <c r="F4" s="15" t="s">
        <v>1631</v>
      </c>
      <c r="G4" s="64"/>
      <c r="H4" s="64"/>
      <c r="I4" s="101">
        <v>4</v>
      </c>
      <c r="J4" s="78"/>
      <c r="K4" s="49">
        <v>43</v>
      </c>
      <c r="L4" s="49">
        <v>92</v>
      </c>
      <c r="M4" s="49">
        <v>25</v>
      </c>
      <c r="N4" s="49">
        <v>117</v>
      </c>
      <c r="O4" s="49">
        <v>0</v>
      </c>
      <c r="P4" s="50">
        <v>0.14285714285714285</v>
      </c>
      <c r="Q4" s="50">
        <v>0.25</v>
      </c>
      <c r="R4" s="49">
        <v>1</v>
      </c>
      <c r="S4" s="49">
        <v>0</v>
      </c>
      <c r="T4" s="49">
        <v>43</v>
      </c>
      <c r="U4" s="49">
        <v>117</v>
      </c>
      <c r="V4" s="49">
        <v>4</v>
      </c>
      <c r="W4" s="50">
        <v>2.35046</v>
      </c>
      <c r="X4" s="50">
        <v>0.05758582502768549</v>
      </c>
      <c r="Y4" s="49">
        <v>30</v>
      </c>
      <c r="Z4" s="50">
        <v>4.189944134078212</v>
      </c>
      <c r="AA4" s="49">
        <v>9</v>
      </c>
      <c r="AB4" s="50">
        <v>1.2569832402234637</v>
      </c>
      <c r="AC4" s="49">
        <v>0</v>
      </c>
      <c r="AD4" s="50">
        <v>0</v>
      </c>
      <c r="AE4" s="49">
        <v>677</v>
      </c>
      <c r="AF4" s="50">
        <v>94.55307262569832</v>
      </c>
      <c r="AG4" s="49">
        <v>716</v>
      </c>
      <c r="AH4" s="102" t="s">
        <v>1527</v>
      </c>
      <c r="AI4" s="102" t="s">
        <v>1600</v>
      </c>
    </row>
    <row r="5" spans="1:35" ht="15">
      <c r="A5" s="65" t="s">
        <v>1178</v>
      </c>
      <c r="B5" s="66" t="s">
        <v>1186</v>
      </c>
      <c r="C5" s="66" t="s">
        <v>56</v>
      </c>
      <c r="D5" s="100"/>
      <c r="E5" s="14"/>
      <c r="F5" s="15" t="s">
        <v>1632</v>
      </c>
      <c r="G5" s="64"/>
      <c r="H5" s="64"/>
      <c r="I5" s="101">
        <v>5</v>
      </c>
      <c r="J5" s="78"/>
      <c r="K5" s="49">
        <v>18</v>
      </c>
      <c r="L5" s="49">
        <v>18</v>
      </c>
      <c r="M5" s="49">
        <v>2</v>
      </c>
      <c r="N5" s="49">
        <v>20</v>
      </c>
      <c r="O5" s="49">
        <v>0</v>
      </c>
      <c r="P5" s="50">
        <v>0</v>
      </c>
      <c r="Q5" s="50">
        <v>0</v>
      </c>
      <c r="R5" s="49">
        <v>1</v>
      </c>
      <c r="S5" s="49">
        <v>0</v>
      </c>
      <c r="T5" s="49">
        <v>18</v>
      </c>
      <c r="U5" s="49">
        <v>20</v>
      </c>
      <c r="V5" s="49">
        <v>3</v>
      </c>
      <c r="W5" s="50">
        <v>2.067901</v>
      </c>
      <c r="X5" s="50">
        <v>0.06209150326797386</v>
      </c>
      <c r="Y5" s="49">
        <v>8</v>
      </c>
      <c r="Z5" s="50">
        <v>2.1108179419525066</v>
      </c>
      <c r="AA5" s="49">
        <v>7</v>
      </c>
      <c r="AB5" s="50">
        <v>1.8469656992084433</v>
      </c>
      <c r="AC5" s="49">
        <v>0</v>
      </c>
      <c r="AD5" s="50">
        <v>0</v>
      </c>
      <c r="AE5" s="49">
        <v>364</v>
      </c>
      <c r="AF5" s="50">
        <v>96.04221635883906</v>
      </c>
      <c r="AG5" s="49">
        <v>379</v>
      </c>
      <c r="AH5" s="102" t="s">
        <v>1528</v>
      </c>
      <c r="AI5" s="102" t="s">
        <v>1601</v>
      </c>
    </row>
    <row r="6" spans="1:35" ht="15">
      <c r="A6" s="65" t="s">
        <v>1179</v>
      </c>
      <c r="B6" s="66" t="s">
        <v>1187</v>
      </c>
      <c r="C6" s="66" t="s">
        <v>56</v>
      </c>
      <c r="D6" s="100"/>
      <c r="E6" s="14"/>
      <c r="F6" s="15" t="s">
        <v>1633</v>
      </c>
      <c r="G6" s="64"/>
      <c r="H6" s="64"/>
      <c r="I6" s="101">
        <v>6</v>
      </c>
      <c r="J6" s="78"/>
      <c r="K6" s="49">
        <v>17</v>
      </c>
      <c r="L6" s="49">
        <v>16</v>
      </c>
      <c r="M6" s="49">
        <v>0</v>
      </c>
      <c r="N6" s="49">
        <v>16</v>
      </c>
      <c r="O6" s="49">
        <v>0</v>
      </c>
      <c r="P6" s="50">
        <v>0</v>
      </c>
      <c r="Q6" s="50">
        <v>0</v>
      </c>
      <c r="R6" s="49">
        <v>1</v>
      </c>
      <c r="S6" s="49">
        <v>0</v>
      </c>
      <c r="T6" s="49">
        <v>17</v>
      </c>
      <c r="U6" s="49">
        <v>16</v>
      </c>
      <c r="V6" s="49">
        <v>3</v>
      </c>
      <c r="W6" s="50">
        <v>2.145329</v>
      </c>
      <c r="X6" s="50">
        <v>0.058823529411764705</v>
      </c>
      <c r="Y6" s="49">
        <v>0</v>
      </c>
      <c r="Z6" s="50">
        <v>0</v>
      </c>
      <c r="AA6" s="49">
        <v>0</v>
      </c>
      <c r="AB6" s="50">
        <v>0</v>
      </c>
      <c r="AC6" s="49">
        <v>0</v>
      </c>
      <c r="AD6" s="50">
        <v>0</v>
      </c>
      <c r="AE6" s="49">
        <v>165</v>
      </c>
      <c r="AF6" s="50">
        <v>100</v>
      </c>
      <c r="AG6" s="49">
        <v>165</v>
      </c>
      <c r="AH6" s="102" t="s">
        <v>1529</v>
      </c>
      <c r="AI6" s="102" t="s">
        <v>1602</v>
      </c>
    </row>
    <row r="7" spans="1:35" ht="15">
      <c r="A7" s="65" t="s">
        <v>1180</v>
      </c>
      <c r="B7" s="66" t="s">
        <v>1188</v>
      </c>
      <c r="C7" s="66" t="s">
        <v>56</v>
      </c>
      <c r="D7" s="100"/>
      <c r="E7" s="14"/>
      <c r="F7" s="15" t="s">
        <v>1634</v>
      </c>
      <c r="G7" s="64"/>
      <c r="H7" s="64"/>
      <c r="I7" s="101">
        <v>7</v>
      </c>
      <c r="J7" s="78"/>
      <c r="K7" s="49">
        <v>15</v>
      </c>
      <c r="L7" s="49">
        <v>14</v>
      </c>
      <c r="M7" s="49">
        <v>0</v>
      </c>
      <c r="N7" s="49">
        <v>14</v>
      </c>
      <c r="O7" s="49">
        <v>0</v>
      </c>
      <c r="P7" s="50">
        <v>0</v>
      </c>
      <c r="Q7" s="50">
        <v>0</v>
      </c>
      <c r="R7" s="49">
        <v>1</v>
      </c>
      <c r="S7" s="49">
        <v>0</v>
      </c>
      <c r="T7" s="49">
        <v>15</v>
      </c>
      <c r="U7" s="49">
        <v>14</v>
      </c>
      <c r="V7" s="49">
        <v>3</v>
      </c>
      <c r="W7" s="50">
        <v>2.062222</v>
      </c>
      <c r="X7" s="50">
        <v>0.06666666666666667</v>
      </c>
      <c r="Y7" s="49">
        <v>2</v>
      </c>
      <c r="Z7" s="50">
        <v>1.4598540145985401</v>
      </c>
      <c r="AA7" s="49">
        <v>1</v>
      </c>
      <c r="AB7" s="50">
        <v>0.7299270072992701</v>
      </c>
      <c r="AC7" s="49">
        <v>0</v>
      </c>
      <c r="AD7" s="50">
        <v>0</v>
      </c>
      <c r="AE7" s="49">
        <v>134</v>
      </c>
      <c r="AF7" s="50">
        <v>97.81021897810218</v>
      </c>
      <c r="AG7" s="49">
        <v>137</v>
      </c>
      <c r="AH7" s="102" t="s">
        <v>1530</v>
      </c>
      <c r="AI7" s="102" t="s">
        <v>1603</v>
      </c>
    </row>
    <row r="8" spans="1:35" ht="15">
      <c r="A8" s="65" t="s">
        <v>1181</v>
      </c>
      <c r="B8" s="66" t="s">
        <v>1189</v>
      </c>
      <c r="C8" s="66" t="s">
        <v>56</v>
      </c>
      <c r="D8" s="100"/>
      <c r="E8" s="14"/>
      <c r="F8" s="15" t="s">
        <v>1635</v>
      </c>
      <c r="G8" s="64"/>
      <c r="H8" s="64"/>
      <c r="I8" s="101">
        <v>8</v>
      </c>
      <c r="J8" s="78"/>
      <c r="K8" s="49">
        <v>11</v>
      </c>
      <c r="L8" s="49">
        <v>10</v>
      </c>
      <c r="M8" s="49">
        <v>0</v>
      </c>
      <c r="N8" s="49">
        <v>10</v>
      </c>
      <c r="O8" s="49">
        <v>0</v>
      </c>
      <c r="P8" s="50">
        <v>0</v>
      </c>
      <c r="Q8" s="50">
        <v>0</v>
      </c>
      <c r="R8" s="49">
        <v>1</v>
      </c>
      <c r="S8" s="49">
        <v>0</v>
      </c>
      <c r="T8" s="49">
        <v>11</v>
      </c>
      <c r="U8" s="49">
        <v>10</v>
      </c>
      <c r="V8" s="49">
        <v>2</v>
      </c>
      <c r="W8" s="50">
        <v>1.652893</v>
      </c>
      <c r="X8" s="50">
        <v>0.09090909090909091</v>
      </c>
      <c r="Y8" s="49">
        <v>1</v>
      </c>
      <c r="Z8" s="50">
        <v>0.6622516556291391</v>
      </c>
      <c r="AA8" s="49">
        <v>2</v>
      </c>
      <c r="AB8" s="50">
        <v>1.3245033112582782</v>
      </c>
      <c r="AC8" s="49">
        <v>0</v>
      </c>
      <c r="AD8" s="50">
        <v>0</v>
      </c>
      <c r="AE8" s="49">
        <v>148</v>
      </c>
      <c r="AF8" s="50">
        <v>98.01324503311258</v>
      </c>
      <c r="AG8" s="49">
        <v>151</v>
      </c>
      <c r="AH8" s="102" t="s">
        <v>1531</v>
      </c>
      <c r="AI8" s="102" t="s">
        <v>1604</v>
      </c>
    </row>
    <row r="9" spans="1:35" ht="15">
      <c r="A9" s="65" t="s">
        <v>1182</v>
      </c>
      <c r="B9" s="66" t="s">
        <v>1190</v>
      </c>
      <c r="C9" s="66" t="s">
        <v>56</v>
      </c>
      <c r="D9" s="100"/>
      <c r="E9" s="14"/>
      <c r="F9" s="15" t="s">
        <v>1636</v>
      </c>
      <c r="G9" s="64"/>
      <c r="H9" s="64"/>
      <c r="I9" s="101">
        <v>9</v>
      </c>
      <c r="J9" s="78"/>
      <c r="K9" s="49">
        <v>11</v>
      </c>
      <c r="L9" s="49">
        <v>10</v>
      </c>
      <c r="M9" s="49">
        <v>0</v>
      </c>
      <c r="N9" s="49">
        <v>10</v>
      </c>
      <c r="O9" s="49">
        <v>0</v>
      </c>
      <c r="P9" s="50">
        <v>0</v>
      </c>
      <c r="Q9" s="50">
        <v>0</v>
      </c>
      <c r="R9" s="49">
        <v>1</v>
      </c>
      <c r="S9" s="49">
        <v>0</v>
      </c>
      <c r="T9" s="49">
        <v>11</v>
      </c>
      <c r="U9" s="49">
        <v>10</v>
      </c>
      <c r="V9" s="49">
        <v>2</v>
      </c>
      <c r="W9" s="50">
        <v>1.652893</v>
      </c>
      <c r="X9" s="50">
        <v>0.09090909090909091</v>
      </c>
      <c r="Y9" s="49">
        <v>1</v>
      </c>
      <c r="Z9" s="50">
        <v>0.5617977528089888</v>
      </c>
      <c r="AA9" s="49">
        <v>1</v>
      </c>
      <c r="AB9" s="50">
        <v>0.5617977528089888</v>
      </c>
      <c r="AC9" s="49">
        <v>0</v>
      </c>
      <c r="AD9" s="50">
        <v>0</v>
      </c>
      <c r="AE9" s="49">
        <v>176</v>
      </c>
      <c r="AF9" s="50">
        <v>98.87640449438203</v>
      </c>
      <c r="AG9" s="49">
        <v>178</v>
      </c>
      <c r="AH9" s="102" t="s">
        <v>1532</v>
      </c>
      <c r="AI9" s="102" t="s">
        <v>1605</v>
      </c>
    </row>
    <row r="10" spans="1:35" ht="14.25" customHeight="1">
      <c r="A10" s="65" t="s">
        <v>1183</v>
      </c>
      <c r="B10" s="66" t="s">
        <v>1191</v>
      </c>
      <c r="C10" s="66" t="s">
        <v>56</v>
      </c>
      <c r="D10" s="100"/>
      <c r="E10" s="14"/>
      <c r="F10" s="15" t="s">
        <v>1637</v>
      </c>
      <c r="G10" s="64"/>
      <c r="H10" s="64"/>
      <c r="I10" s="101">
        <v>10</v>
      </c>
      <c r="J10" s="78"/>
      <c r="K10" s="49">
        <v>7</v>
      </c>
      <c r="L10" s="49">
        <v>0</v>
      </c>
      <c r="M10" s="49">
        <v>12</v>
      </c>
      <c r="N10" s="49">
        <v>12</v>
      </c>
      <c r="O10" s="49">
        <v>0</v>
      </c>
      <c r="P10" s="50">
        <v>0</v>
      </c>
      <c r="Q10" s="50">
        <v>0</v>
      </c>
      <c r="R10" s="49">
        <v>1</v>
      </c>
      <c r="S10" s="49">
        <v>0</v>
      </c>
      <c r="T10" s="49">
        <v>7</v>
      </c>
      <c r="U10" s="49">
        <v>12</v>
      </c>
      <c r="V10" s="49">
        <v>2</v>
      </c>
      <c r="W10" s="50">
        <v>1.469388</v>
      </c>
      <c r="X10" s="50">
        <v>0.14285714285714285</v>
      </c>
      <c r="Y10" s="49">
        <v>0</v>
      </c>
      <c r="Z10" s="50">
        <v>0</v>
      </c>
      <c r="AA10" s="49">
        <v>0</v>
      </c>
      <c r="AB10" s="50">
        <v>0</v>
      </c>
      <c r="AC10" s="49">
        <v>0</v>
      </c>
      <c r="AD10" s="50">
        <v>0</v>
      </c>
      <c r="AE10" s="49">
        <v>45</v>
      </c>
      <c r="AF10" s="50">
        <v>100</v>
      </c>
      <c r="AG10" s="49">
        <v>45</v>
      </c>
      <c r="AH10" s="102" t="s">
        <v>1533</v>
      </c>
      <c r="AI10" s="102" t="s">
        <v>1606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1176</v>
      </c>
      <c r="B2" s="102" t="s">
        <v>228</v>
      </c>
      <c r="C2" s="80">
        <f>VLOOKUP(GroupVertices[[#This Row],[Vertex]],Vertices[],MATCH("ID",Vertices[[#Headers],[Vertex]:[Top Word Pairs in Tags by Salience]],0),FALSE)</f>
        <v>169</v>
      </c>
    </row>
    <row r="3" spans="1:3" ht="15">
      <c r="A3" s="81" t="s">
        <v>1176</v>
      </c>
      <c r="B3" s="102" t="s">
        <v>374</v>
      </c>
      <c r="C3" s="80">
        <f>VLOOKUP(GroupVertices[[#This Row],[Vertex]],Vertices[],MATCH("ID",Vertices[[#Headers],[Vertex]:[Top Word Pairs in Tags by Salience]],0),FALSE)</f>
        <v>183</v>
      </c>
    </row>
    <row r="4" spans="1:3" ht="15">
      <c r="A4" s="81" t="s">
        <v>1176</v>
      </c>
      <c r="B4" s="102" t="s">
        <v>215</v>
      </c>
      <c r="C4" s="80">
        <f>VLOOKUP(GroupVertices[[#This Row],[Vertex]],Vertices[],MATCH("ID",Vertices[[#Headers],[Vertex]:[Top Word Pairs in Tags by Salience]],0),FALSE)</f>
        <v>112</v>
      </c>
    </row>
    <row r="5" spans="1:3" ht="15">
      <c r="A5" s="81" t="s">
        <v>1176</v>
      </c>
      <c r="B5" s="102" t="s">
        <v>229</v>
      </c>
      <c r="C5" s="80">
        <f>VLOOKUP(GroupVertices[[#This Row],[Vertex]],Vertices[],MATCH("ID",Vertices[[#Headers],[Vertex]:[Top Word Pairs in Tags by Salience]],0),FALSE)</f>
        <v>170</v>
      </c>
    </row>
    <row r="6" spans="1:3" ht="15">
      <c r="A6" s="81" t="s">
        <v>1176</v>
      </c>
      <c r="B6" s="102" t="s">
        <v>373</v>
      </c>
      <c r="C6" s="80">
        <f>VLOOKUP(GroupVertices[[#This Row],[Vertex]],Vertices[],MATCH("ID",Vertices[[#Headers],[Vertex]:[Top Word Pairs in Tags by Salience]],0),FALSE)</f>
        <v>182</v>
      </c>
    </row>
    <row r="7" spans="1:3" ht="15">
      <c r="A7" s="81" t="s">
        <v>1176</v>
      </c>
      <c r="B7" s="102" t="s">
        <v>372</v>
      </c>
      <c r="C7" s="80">
        <f>VLOOKUP(GroupVertices[[#This Row],[Vertex]],Vertices[],MATCH("ID",Vertices[[#Headers],[Vertex]:[Top Word Pairs in Tags by Salience]],0),FALSE)</f>
        <v>181</v>
      </c>
    </row>
    <row r="8" spans="1:3" ht="15">
      <c r="A8" s="81" t="s">
        <v>1176</v>
      </c>
      <c r="B8" s="102" t="s">
        <v>227</v>
      </c>
      <c r="C8" s="80">
        <f>VLOOKUP(GroupVertices[[#This Row],[Vertex]],Vertices[],MATCH("ID",Vertices[[#Headers],[Vertex]:[Top Word Pairs in Tags by Salience]],0),FALSE)</f>
        <v>168</v>
      </c>
    </row>
    <row r="9" spans="1:3" ht="15">
      <c r="A9" s="81" t="s">
        <v>1176</v>
      </c>
      <c r="B9" s="102" t="s">
        <v>369</v>
      </c>
      <c r="C9" s="80">
        <f>VLOOKUP(GroupVertices[[#This Row],[Vertex]],Vertices[],MATCH("ID",Vertices[[#Headers],[Vertex]:[Top Word Pairs in Tags by Salience]],0),FALSE)</f>
        <v>178</v>
      </c>
    </row>
    <row r="10" spans="1:3" ht="15">
      <c r="A10" s="81" t="s">
        <v>1176</v>
      </c>
      <c r="B10" s="102" t="s">
        <v>234</v>
      </c>
      <c r="C10" s="80">
        <f>VLOOKUP(GroupVertices[[#This Row],[Vertex]],Vertices[],MATCH("ID",Vertices[[#Headers],[Vertex]:[Top Word Pairs in Tags by Salience]],0),FALSE)</f>
        <v>177</v>
      </c>
    </row>
    <row r="11" spans="1:3" ht="15">
      <c r="A11" s="81" t="s">
        <v>1176</v>
      </c>
      <c r="B11" s="102" t="s">
        <v>221</v>
      </c>
      <c r="C11" s="80">
        <f>VLOOKUP(GroupVertices[[#This Row],[Vertex]],Vertices[],MATCH("ID",Vertices[[#Headers],[Vertex]:[Top Word Pairs in Tags by Salience]],0),FALSE)</f>
        <v>146</v>
      </c>
    </row>
    <row r="12" spans="1:3" ht="15">
      <c r="A12" s="81" t="s">
        <v>1176</v>
      </c>
      <c r="B12" s="102" t="s">
        <v>231</v>
      </c>
      <c r="C12" s="80">
        <f>VLOOKUP(GroupVertices[[#This Row],[Vertex]],Vertices[],MATCH("ID",Vertices[[#Headers],[Vertex]:[Top Word Pairs in Tags by Salience]],0),FALSE)</f>
        <v>172</v>
      </c>
    </row>
    <row r="13" spans="1:3" ht="15">
      <c r="A13" s="81" t="s">
        <v>1176</v>
      </c>
      <c r="B13" s="102" t="s">
        <v>224</v>
      </c>
      <c r="C13" s="80">
        <f>VLOOKUP(GroupVertices[[#This Row],[Vertex]],Vertices[],MATCH("ID",Vertices[[#Headers],[Vertex]:[Top Word Pairs in Tags by Salience]],0),FALSE)</f>
        <v>156</v>
      </c>
    </row>
    <row r="14" spans="1:3" ht="15">
      <c r="A14" s="81" t="s">
        <v>1176</v>
      </c>
      <c r="B14" s="102" t="s">
        <v>232</v>
      </c>
      <c r="C14" s="80">
        <f>VLOOKUP(GroupVertices[[#This Row],[Vertex]],Vertices[],MATCH("ID",Vertices[[#Headers],[Vertex]:[Top Word Pairs in Tags by Salience]],0),FALSE)</f>
        <v>173</v>
      </c>
    </row>
    <row r="15" spans="1:3" ht="15">
      <c r="A15" s="81" t="s">
        <v>1176</v>
      </c>
      <c r="B15" s="102" t="s">
        <v>204</v>
      </c>
      <c r="C15" s="80">
        <f>VLOOKUP(GroupVertices[[#This Row],[Vertex]],Vertices[],MATCH("ID",Vertices[[#Headers],[Vertex]:[Top Word Pairs in Tags by Salience]],0),FALSE)</f>
        <v>61</v>
      </c>
    </row>
    <row r="16" spans="1:3" ht="15">
      <c r="A16" s="81" t="s">
        <v>1176</v>
      </c>
      <c r="B16" s="102" t="s">
        <v>203</v>
      </c>
      <c r="C16" s="80">
        <f>VLOOKUP(GroupVertices[[#This Row],[Vertex]],Vertices[],MATCH("ID",Vertices[[#Headers],[Vertex]:[Top Word Pairs in Tags by Salience]],0),FALSE)</f>
        <v>58</v>
      </c>
    </row>
    <row r="17" spans="1:3" ht="15">
      <c r="A17" s="81" t="s">
        <v>1176</v>
      </c>
      <c r="B17" s="102" t="s">
        <v>206</v>
      </c>
      <c r="C17" s="80">
        <f>VLOOKUP(GroupVertices[[#This Row],[Vertex]],Vertices[],MATCH("ID",Vertices[[#Headers],[Vertex]:[Top Word Pairs in Tags by Salience]],0),FALSE)</f>
        <v>65</v>
      </c>
    </row>
    <row r="18" spans="1:3" ht="15">
      <c r="A18" s="81" t="s">
        <v>1176</v>
      </c>
      <c r="B18" s="102" t="s">
        <v>233</v>
      </c>
      <c r="C18" s="80">
        <f>VLOOKUP(GroupVertices[[#This Row],[Vertex]],Vertices[],MATCH("ID",Vertices[[#Headers],[Vertex]:[Top Word Pairs in Tags by Salience]],0),FALSE)</f>
        <v>176</v>
      </c>
    </row>
    <row r="19" spans="1:3" ht="15">
      <c r="A19" s="81" t="s">
        <v>1176</v>
      </c>
      <c r="B19" s="102" t="s">
        <v>214</v>
      </c>
      <c r="C19" s="80">
        <f>VLOOKUP(GroupVertices[[#This Row],[Vertex]],Vertices[],MATCH("ID",Vertices[[#Headers],[Vertex]:[Top Word Pairs in Tags by Salience]],0),FALSE)</f>
        <v>110</v>
      </c>
    </row>
    <row r="20" spans="1:3" ht="15">
      <c r="A20" s="81" t="s">
        <v>1176</v>
      </c>
      <c r="B20" s="102" t="s">
        <v>219</v>
      </c>
      <c r="C20" s="80">
        <f>VLOOKUP(GroupVertices[[#This Row],[Vertex]],Vertices[],MATCH("ID",Vertices[[#Headers],[Vertex]:[Top Word Pairs in Tags by Salience]],0),FALSE)</f>
        <v>135</v>
      </c>
    </row>
    <row r="21" spans="1:3" ht="15">
      <c r="A21" s="81" t="s">
        <v>1176</v>
      </c>
      <c r="B21" s="102" t="s">
        <v>199</v>
      </c>
      <c r="C21" s="80">
        <f>VLOOKUP(GroupVertices[[#This Row],[Vertex]],Vertices[],MATCH("ID",Vertices[[#Headers],[Vertex]:[Top Word Pairs in Tags by Salience]],0),FALSE)</f>
        <v>26</v>
      </c>
    </row>
    <row r="22" spans="1:3" ht="15">
      <c r="A22" s="81" t="s">
        <v>1176</v>
      </c>
      <c r="B22" s="102" t="s">
        <v>196</v>
      </c>
      <c r="C22" s="80">
        <f>VLOOKUP(GroupVertices[[#This Row],[Vertex]],Vertices[],MATCH("ID",Vertices[[#Headers],[Vertex]:[Top Word Pairs in Tags by Salience]],0),FALSE)</f>
        <v>6</v>
      </c>
    </row>
    <row r="23" spans="1:3" ht="15">
      <c r="A23" s="81" t="s">
        <v>1176</v>
      </c>
      <c r="B23" s="102" t="s">
        <v>223</v>
      </c>
      <c r="C23" s="80">
        <f>VLOOKUP(GroupVertices[[#This Row],[Vertex]],Vertices[],MATCH("ID",Vertices[[#Headers],[Vertex]:[Top Word Pairs in Tags by Salience]],0),FALSE)</f>
        <v>154</v>
      </c>
    </row>
    <row r="24" spans="1:3" ht="15">
      <c r="A24" s="81" t="s">
        <v>1176</v>
      </c>
      <c r="B24" s="102" t="s">
        <v>225</v>
      </c>
      <c r="C24" s="80">
        <f>VLOOKUP(GroupVertices[[#This Row],[Vertex]],Vertices[],MATCH("ID",Vertices[[#Headers],[Vertex]:[Top Word Pairs in Tags by Salience]],0),FALSE)</f>
        <v>161</v>
      </c>
    </row>
    <row r="25" spans="1:3" ht="15">
      <c r="A25" s="81" t="s">
        <v>1176</v>
      </c>
      <c r="B25" s="102" t="s">
        <v>222</v>
      </c>
      <c r="C25" s="80">
        <f>VLOOKUP(GroupVertices[[#This Row],[Vertex]],Vertices[],MATCH("ID",Vertices[[#Headers],[Vertex]:[Top Word Pairs in Tags by Salience]],0),FALSE)</f>
        <v>152</v>
      </c>
    </row>
    <row r="26" spans="1:3" ht="15">
      <c r="A26" s="81" t="s">
        <v>1176</v>
      </c>
      <c r="B26" s="102" t="s">
        <v>212</v>
      </c>
      <c r="C26" s="80">
        <f>VLOOKUP(GroupVertices[[#This Row],[Vertex]],Vertices[],MATCH("ID",Vertices[[#Headers],[Vertex]:[Top Word Pairs in Tags by Salience]],0),FALSE)</f>
        <v>104</v>
      </c>
    </row>
    <row r="27" spans="1:3" ht="15">
      <c r="A27" s="81" t="s">
        <v>1176</v>
      </c>
      <c r="B27" s="102" t="s">
        <v>205</v>
      </c>
      <c r="C27" s="80">
        <f>VLOOKUP(GroupVertices[[#This Row],[Vertex]],Vertices[],MATCH("ID",Vertices[[#Headers],[Vertex]:[Top Word Pairs in Tags by Salience]],0),FALSE)</f>
        <v>63</v>
      </c>
    </row>
    <row r="28" spans="1:3" ht="15">
      <c r="A28" s="81" t="s">
        <v>1176</v>
      </c>
      <c r="B28" s="102" t="s">
        <v>362</v>
      </c>
      <c r="C28" s="80">
        <f>VLOOKUP(GroupVertices[[#This Row],[Vertex]],Vertices[],MATCH("ID",Vertices[[#Headers],[Vertex]:[Top Word Pairs in Tags by Salience]],0),FALSE)</f>
        <v>162</v>
      </c>
    </row>
    <row r="29" spans="1:3" ht="15">
      <c r="A29" s="81" t="s">
        <v>1176</v>
      </c>
      <c r="B29" s="102" t="s">
        <v>361</v>
      </c>
      <c r="C29" s="80">
        <f>VLOOKUP(GroupVertices[[#This Row],[Vertex]],Vertices[],MATCH("ID",Vertices[[#Headers],[Vertex]:[Top Word Pairs in Tags by Salience]],0),FALSE)</f>
        <v>160</v>
      </c>
    </row>
    <row r="30" spans="1:3" ht="15">
      <c r="A30" s="81" t="s">
        <v>1176</v>
      </c>
      <c r="B30" s="102" t="s">
        <v>360</v>
      </c>
      <c r="C30" s="80">
        <f>VLOOKUP(GroupVertices[[#This Row],[Vertex]],Vertices[],MATCH("ID",Vertices[[#Headers],[Vertex]:[Top Word Pairs in Tags by Salience]],0),FALSE)</f>
        <v>159</v>
      </c>
    </row>
    <row r="31" spans="1:3" ht="15">
      <c r="A31" s="81" t="s">
        <v>1176</v>
      </c>
      <c r="B31" s="102" t="s">
        <v>359</v>
      </c>
      <c r="C31" s="80">
        <f>VLOOKUP(GroupVertices[[#This Row],[Vertex]],Vertices[],MATCH("ID",Vertices[[#Headers],[Vertex]:[Top Word Pairs in Tags by Salience]],0),FALSE)</f>
        <v>158</v>
      </c>
    </row>
    <row r="32" spans="1:3" ht="15">
      <c r="A32" s="81" t="s">
        <v>1176</v>
      </c>
      <c r="B32" s="102" t="s">
        <v>358</v>
      </c>
      <c r="C32" s="80">
        <f>VLOOKUP(GroupVertices[[#This Row],[Vertex]],Vertices[],MATCH("ID",Vertices[[#Headers],[Vertex]:[Top Word Pairs in Tags by Salience]],0),FALSE)</f>
        <v>157</v>
      </c>
    </row>
    <row r="33" spans="1:3" ht="15">
      <c r="A33" s="81" t="s">
        <v>1176</v>
      </c>
      <c r="B33" s="102" t="s">
        <v>357</v>
      </c>
      <c r="C33" s="80">
        <f>VLOOKUP(GroupVertices[[#This Row],[Vertex]],Vertices[],MATCH("ID",Vertices[[#Headers],[Vertex]:[Top Word Pairs in Tags by Salience]],0),FALSE)</f>
        <v>155</v>
      </c>
    </row>
    <row r="34" spans="1:3" ht="15">
      <c r="A34" s="81" t="s">
        <v>1176</v>
      </c>
      <c r="B34" s="102" t="s">
        <v>356</v>
      </c>
      <c r="C34" s="80">
        <f>VLOOKUP(GroupVertices[[#This Row],[Vertex]],Vertices[],MATCH("ID",Vertices[[#Headers],[Vertex]:[Top Word Pairs in Tags by Salience]],0),FALSE)</f>
        <v>153</v>
      </c>
    </row>
    <row r="35" spans="1:3" ht="15">
      <c r="A35" s="81" t="s">
        <v>1176</v>
      </c>
      <c r="B35" s="102" t="s">
        <v>355</v>
      </c>
      <c r="C35" s="80">
        <f>VLOOKUP(GroupVertices[[#This Row],[Vertex]],Vertices[],MATCH("ID",Vertices[[#Headers],[Vertex]:[Top Word Pairs in Tags by Salience]],0),FALSE)</f>
        <v>151</v>
      </c>
    </row>
    <row r="36" spans="1:3" ht="15">
      <c r="A36" s="81" t="s">
        <v>1176</v>
      </c>
      <c r="B36" s="102" t="s">
        <v>354</v>
      </c>
      <c r="C36" s="80">
        <f>VLOOKUP(GroupVertices[[#This Row],[Vertex]],Vertices[],MATCH("ID",Vertices[[#Headers],[Vertex]:[Top Word Pairs in Tags by Salience]],0),FALSE)</f>
        <v>150</v>
      </c>
    </row>
    <row r="37" spans="1:3" ht="15">
      <c r="A37" s="81" t="s">
        <v>1176</v>
      </c>
      <c r="B37" s="102" t="s">
        <v>353</v>
      </c>
      <c r="C37" s="80">
        <f>VLOOKUP(GroupVertices[[#This Row],[Vertex]],Vertices[],MATCH("ID",Vertices[[#Headers],[Vertex]:[Top Word Pairs in Tags by Salience]],0),FALSE)</f>
        <v>149</v>
      </c>
    </row>
    <row r="38" spans="1:3" ht="15">
      <c r="A38" s="81" t="s">
        <v>1176</v>
      </c>
      <c r="B38" s="102" t="s">
        <v>352</v>
      </c>
      <c r="C38" s="80">
        <f>VLOOKUP(GroupVertices[[#This Row],[Vertex]],Vertices[],MATCH("ID",Vertices[[#Headers],[Vertex]:[Top Word Pairs in Tags by Salience]],0),FALSE)</f>
        <v>148</v>
      </c>
    </row>
    <row r="39" spans="1:3" ht="15">
      <c r="A39" s="81" t="s">
        <v>1176</v>
      </c>
      <c r="B39" s="102" t="s">
        <v>351</v>
      </c>
      <c r="C39" s="80">
        <f>VLOOKUP(GroupVertices[[#This Row],[Vertex]],Vertices[],MATCH("ID",Vertices[[#Headers],[Vertex]:[Top Word Pairs in Tags by Salience]],0),FALSE)</f>
        <v>147</v>
      </c>
    </row>
    <row r="40" spans="1:3" ht="15">
      <c r="A40" s="81" t="s">
        <v>1176</v>
      </c>
      <c r="B40" s="102" t="s">
        <v>344</v>
      </c>
      <c r="C40" s="80">
        <f>VLOOKUP(GroupVertices[[#This Row],[Vertex]],Vertices[],MATCH("ID",Vertices[[#Headers],[Vertex]:[Top Word Pairs in Tags by Salience]],0),FALSE)</f>
        <v>138</v>
      </c>
    </row>
    <row r="41" spans="1:3" ht="15">
      <c r="A41" s="81" t="s">
        <v>1176</v>
      </c>
      <c r="B41" s="102" t="s">
        <v>343</v>
      </c>
      <c r="C41" s="80">
        <f>VLOOKUP(GroupVertices[[#This Row],[Vertex]],Vertices[],MATCH("ID",Vertices[[#Headers],[Vertex]:[Top Word Pairs in Tags by Salience]],0),FALSE)</f>
        <v>137</v>
      </c>
    </row>
    <row r="42" spans="1:3" ht="15">
      <c r="A42" s="81" t="s">
        <v>1176</v>
      </c>
      <c r="B42" s="102" t="s">
        <v>342</v>
      </c>
      <c r="C42" s="80">
        <f>VLOOKUP(GroupVertices[[#This Row],[Vertex]],Vertices[],MATCH("ID",Vertices[[#Headers],[Vertex]:[Top Word Pairs in Tags by Salience]],0),FALSE)</f>
        <v>136</v>
      </c>
    </row>
    <row r="43" spans="1:3" ht="15">
      <c r="A43" s="81" t="s">
        <v>1176</v>
      </c>
      <c r="B43" s="102" t="s">
        <v>323</v>
      </c>
      <c r="C43" s="80">
        <f>VLOOKUP(GroupVertices[[#This Row],[Vertex]],Vertices[],MATCH("ID",Vertices[[#Headers],[Vertex]:[Top Word Pairs in Tags by Salience]],0),FALSE)</f>
        <v>113</v>
      </c>
    </row>
    <row r="44" spans="1:3" ht="15">
      <c r="A44" s="81" t="s">
        <v>1176</v>
      </c>
      <c r="B44" s="102" t="s">
        <v>322</v>
      </c>
      <c r="C44" s="80">
        <f>VLOOKUP(GroupVertices[[#This Row],[Vertex]],Vertices[],MATCH("ID",Vertices[[#Headers],[Vertex]:[Top Word Pairs in Tags by Salience]],0),FALSE)</f>
        <v>111</v>
      </c>
    </row>
    <row r="45" spans="1:3" ht="15">
      <c r="A45" s="81" t="s">
        <v>1176</v>
      </c>
      <c r="B45" s="102" t="s">
        <v>321</v>
      </c>
      <c r="C45" s="80">
        <f>VLOOKUP(GroupVertices[[#This Row],[Vertex]],Vertices[],MATCH("ID",Vertices[[#Headers],[Vertex]:[Top Word Pairs in Tags by Salience]],0),FALSE)</f>
        <v>109</v>
      </c>
    </row>
    <row r="46" spans="1:3" ht="15">
      <c r="A46" s="81" t="s">
        <v>1176</v>
      </c>
      <c r="B46" s="102" t="s">
        <v>319</v>
      </c>
      <c r="C46" s="80">
        <f>VLOOKUP(GroupVertices[[#This Row],[Vertex]],Vertices[],MATCH("ID",Vertices[[#Headers],[Vertex]:[Top Word Pairs in Tags by Salience]],0),FALSE)</f>
        <v>106</v>
      </c>
    </row>
    <row r="47" spans="1:3" ht="15">
      <c r="A47" s="81" t="s">
        <v>1176</v>
      </c>
      <c r="B47" s="102" t="s">
        <v>318</v>
      </c>
      <c r="C47" s="80">
        <f>VLOOKUP(GroupVertices[[#This Row],[Vertex]],Vertices[],MATCH("ID",Vertices[[#Headers],[Vertex]:[Top Word Pairs in Tags by Salience]],0),FALSE)</f>
        <v>105</v>
      </c>
    </row>
    <row r="48" spans="1:3" ht="15">
      <c r="A48" s="81" t="s">
        <v>1176</v>
      </c>
      <c r="B48" s="102" t="s">
        <v>284</v>
      </c>
      <c r="C48" s="80">
        <f>VLOOKUP(GroupVertices[[#This Row],[Vertex]],Vertices[],MATCH("ID",Vertices[[#Headers],[Vertex]:[Top Word Pairs in Tags by Salience]],0),FALSE)</f>
        <v>64</v>
      </c>
    </row>
    <row r="49" spans="1:3" ht="15">
      <c r="A49" s="81" t="s">
        <v>1176</v>
      </c>
      <c r="B49" s="102" t="s">
        <v>283</v>
      </c>
      <c r="C49" s="80">
        <f>VLOOKUP(GroupVertices[[#This Row],[Vertex]],Vertices[],MATCH("ID",Vertices[[#Headers],[Vertex]:[Top Word Pairs in Tags by Salience]],0),FALSE)</f>
        <v>62</v>
      </c>
    </row>
    <row r="50" spans="1:3" ht="15">
      <c r="A50" s="81" t="s">
        <v>1176</v>
      </c>
      <c r="B50" s="102" t="s">
        <v>282</v>
      </c>
      <c r="C50" s="80">
        <f>VLOOKUP(GroupVertices[[#This Row],[Vertex]],Vertices[],MATCH("ID",Vertices[[#Headers],[Vertex]:[Top Word Pairs in Tags by Salience]],0),FALSE)</f>
        <v>60</v>
      </c>
    </row>
    <row r="51" spans="1:3" ht="15">
      <c r="A51" s="81" t="s">
        <v>1176</v>
      </c>
      <c r="B51" s="102" t="s">
        <v>281</v>
      </c>
      <c r="C51" s="80">
        <f>VLOOKUP(GroupVertices[[#This Row],[Vertex]],Vertices[],MATCH("ID",Vertices[[#Headers],[Vertex]:[Top Word Pairs in Tags by Salience]],0),FALSE)</f>
        <v>59</v>
      </c>
    </row>
    <row r="52" spans="1:3" ht="15">
      <c r="A52" s="81" t="s">
        <v>1176</v>
      </c>
      <c r="B52" s="102" t="s">
        <v>258</v>
      </c>
      <c r="C52" s="80">
        <f>VLOOKUP(GroupVertices[[#This Row],[Vertex]],Vertices[],MATCH("ID",Vertices[[#Headers],[Vertex]:[Top Word Pairs in Tags by Salience]],0),FALSE)</f>
        <v>32</v>
      </c>
    </row>
    <row r="53" spans="1:3" ht="15">
      <c r="A53" s="81" t="s">
        <v>1176</v>
      </c>
      <c r="B53" s="102" t="s">
        <v>257</v>
      </c>
      <c r="C53" s="80">
        <f>VLOOKUP(GroupVertices[[#This Row],[Vertex]],Vertices[],MATCH("ID",Vertices[[#Headers],[Vertex]:[Top Word Pairs in Tags by Salience]],0),FALSE)</f>
        <v>31</v>
      </c>
    </row>
    <row r="54" spans="1:3" ht="15">
      <c r="A54" s="81" t="s">
        <v>1176</v>
      </c>
      <c r="B54" s="102" t="s">
        <v>256</v>
      </c>
      <c r="C54" s="80">
        <f>VLOOKUP(GroupVertices[[#This Row],[Vertex]],Vertices[],MATCH("ID",Vertices[[#Headers],[Vertex]:[Top Word Pairs in Tags by Salience]],0),FALSE)</f>
        <v>30</v>
      </c>
    </row>
    <row r="55" spans="1:3" ht="15">
      <c r="A55" s="81" t="s">
        <v>1176</v>
      </c>
      <c r="B55" s="102" t="s">
        <v>255</v>
      </c>
      <c r="C55" s="80">
        <f>VLOOKUP(GroupVertices[[#This Row],[Vertex]],Vertices[],MATCH("ID",Vertices[[#Headers],[Vertex]:[Top Word Pairs in Tags by Salience]],0),FALSE)</f>
        <v>29</v>
      </c>
    </row>
    <row r="56" spans="1:3" ht="15">
      <c r="A56" s="81" t="s">
        <v>1176</v>
      </c>
      <c r="B56" s="102" t="s">
        <v>254</v>
      </c>
      <c r="C56" s="80">
        <f>VLOOKUP(GroupVertices[[#This Row],[Vertex]],Vertices[],MATCH("ID",Vertices[[#Headers],[Vertex]:[Top Word Pairs in Tags by Salience]],0),FALSE)</f>
        <v>28</v>
      </c>
    </row>
    <row r="57" spans="1:3" ht="15">
      <c r="A57" s="81" t="s">
        <v>1176</v>
      </c>
      <c r="B57" s="102" t="s">
        <v>253</v>
      </c>
      <c r="C57" s="80">
        <f>VLOOKUP(GroupVertices[[#This Row],[Vertex]],Vertices[],MATCH("ID",Vertices[[#Headers],[Vertex]:[Top Word Pairs in Tags by Salience]],0),FALSE)</f>
        <v>27</v>
      </c>
    </row>
    <row r="58" spans="1:3" ht="15">
      <c r="A58" s="81" t="s">
        <v>1176</v>
      </c>
      <c r="B58" s="102" t="s">
        <v>239</v>
      </c>
      <c r="C58" s="80">
        <f>VLOOKUP(GroupVertices[[#This Row],[Vertex]],Vertices[],MATCH("ID",Vertices[[#Headers],[Vertex]:[Top Word Pairs in Tags by Salience]],0),FALSE)</f>
        <v>10</v>
      </c>
    </row>
    <row r="59" spans="1:3" ht="15">
      <c r="A59" s="81" t="s">
        <v>1176</v>
      </c>
      <c r="B59" s="102" t="s">
        <v>238</v>
      </c>
      <c r="C59" s="80">
        <f>VLOOKUP(GroupVertices[[#This Row],[Vertex]],Vertices[],MATCH("ID",Vertices[[#Headers],[Vertex]:[Top Word Pairs in Tags by Salience]],0),FALSE)</f>
        <v>9</v>
      </c>
    </row>
    <row r="60" spans="1:3" ht="15">
      <c r="A60" s="81" t="s">
        <v>1176</v>
      </c>
      <c r="B60" s="102" t="s">
        <v>237</v>
      </c>
      <c r="C60" s="80">
        <f>VLOOKUP(GroupVertices[[#This Row],[Vertex]],Vertices[],MATCH("ID",Vertices[[#Headers],[Vertex]:[Top Word Pairs in Tags by Salience]],0),FALSE)</f>
        <v>8</v>
      </c>
    </row>
    <row r="61" spans="1:3" ht="15">
      <c r="A61" s="81" t="s">
        <v>1176</v>
      </c>
      <c r="B61" s="102" t="s">
        <v>236</v>
      </c>
      <c r="C61" s="80">
        <f>VLOOKUP(GroupVertices[[#This Row],[Vertex]],Vertices[],MATCH("ID",Vertices[[#Headers],[Vertex]:[Top Word Pairs in Tags by Salience]],0),FALSE)</f>
        <v>7</v>
      </c>
    </row>
    <row r="62" spans="1:3" ht="15">
      <c r="A62" s="81" t="s">
        <v>1177</v>
      </c>
      <c r="B62" s="102" t="s">
        <v>230</v>
      </c>
      <c r="C62" s="80">
        <f>VLOOKUP(GroupVertices[[#This Row],[Vertex]],Vertices[],MATCH("ID",Vertices[[#Headers],[Vertex]:[Top Word Pairs in Tags by Salience]],0),FALSE)</f>
        <v>171</v>
      </c>
    </row>
    <row r="63" spans="1:3" ht="15">
      <c r="A63" s="81" t="s">
        <v>1177</v>
      </c>
      <c r="B63" s="102" t="s">
        <v>375</v>
      </c>
      <c r="C63" s="80">
        <f>VLOOKUP(GroupVertices[[#This Row],[Vertex]],Vertices[],MATCH("ID",Vertices[[#Headers],[Vertex]:[Top Word Pairs in Tags by Salience]],0),FALSE)</f>
        <v>184</v>
      </c>
    </row>
    <row r="64" spans="1:3" ht="15">
      <c r="A64" s="81" t="s">
        <v>1177</v>
      </c>
      <c r="B64" s="102" t="s">
        <v>371</v>
      </c>
      <c r="C64" s="80">
        <f>VLOOKUP(GroupVertices[[#This Row],[Vertex]],Vertices[],MATCH("ID",Vertices[[#Headers],[Vertex]:[Top Word Pairs in Tags by Salience]],0),FALSE)</f>
        <v>180</v>
      </c>
    </row>
    <row r="65" spans="1:3" ht="15">
      <c r="A65" s="81" t="s">
        <v>1177</v>
      </c>
      <c r="B65" s="102" t="s">
        <v>210</v>
      </c>
      <c r="C65" s="80">
        <f>VLOOKUP(GroupVertices[[#This Row],[Vertex]],Vertices[],MATCH("ID",Vertices[[#Headers],[Vertex]:[Top Word Pairs in Tags by Salience]],0),FALSE)</f>
        <v>90</v>
      </c>
    </row>
    <row r="66" spans="1:3" ht="15">
      <c r="A66" s="81" t="s">
        <v>1177</v>
      </c>
      <c r="B66" s="102" t="s">
        <v>370</v>
      </c>
      <c r="C66" s="80">
        <f>VLOOKUP(GroupVertices[[#This Row],[Vertex]],Vertices[],MATCH("ID",Vertices[[#Headers],[Vertex]:[Top Word Pairs in Tags by Salience]],0),FALSE)</f>
        <v>179</v>
      </c>
    </row>
    <row r="67" spans="1:3" ht="15">
      <c r="A67" s="81" t="s">
        <v>1177</v>
      </c>
      <c r="B67" s="102" t="s">
        <v>209</v>
      </c>
      <c r="C67" s="80">
        <f>VLOOKUP(GroupVertices[[#This Row],[Vertex]],Vertices[],MATCH("ID",Vertices[[#Headers],[Vertex]:[Top Word Pairs in Tags by Salience]],0),FALSE)</f>
        <v>82</v>
      </c>
    </row>
    <row r="68" spans="1:3" ht="15">
      <c r="A68" s="81" t="s">
        <v>1177</v>
      </c>
      <c r="B68" s="102" t="s">
        <v>198</v>
      </c>
      <c r="C68" s="80">
        <f>VLOOKUP(GroupVertices[[#This Row],[Vertex]],Vertices[],MATCH("ID",Vertices[[#Headers],[Vertex]:[Top Word Pairs in Tags by Salience]],0),FALSE)</f>
        <v>22</v>
      </c>
    </row>
    <row r="69" spans="1:3" ht="15">
      <c r="A69" s="81" t="s">
        <v>1177</v>
      </c>
      <c r="B69" s="102" t="s">
        <v>220</v>
      </c>
      <c r="C69" s="80">
        <f>VLOOKUP(GroupVertices[[#This Row],[Vertex]],Vertices[],MATCH("ID",Vertices[[#Headers],[Vertex]:[Top Word Pairs in Tags by Salience]],0),FALSE)</f>
        <v>140</v>
      </c>
    </row>
    <row r="70" spans="1:3" ht="15">
      <c r="A70" s="81" t="s">
        <v>1177</v>
      </c>
      <c r="B70" s="102" t="s">
        <v>213</v>
      </c>
      <c r="C70" s="80">
        <f>VLOOKUP(GroupVertices[[#This Row],[Vertex]],Vertices[],MATCH("ID",Vertices[[#Headers],[Vertex]:[Top Word Pairs in Tags by Salience]],0),FALSE)</f>
        <v>108</v>
      </c>
    </row>
    <row r="71" spans="1:3" ht="15">
      <c r="A71" s="81" t="s">
        <v>1177</v>
      </c>
      <c r="B71" s="102" t="s">
        <v>218</v>
      </c>
      <c r="C71" s="80">
        <f>VLOOKUP(GroupVertices[[#This Row],[Vertex]],Vertices[],MATCH("ID",Vertices[[#Headers],[Vertex]:[Top Word Pairs in Tags by Salience]],0),FALSE)</f>
        <v>130</v>
      </c>
    </row>
    <row r="72" spans="1:3" ht="15">
      <c r="A72" s="81" t="s">
        <v>1177</v>
      </c>
      <c r="B72" s="102" t="s">
        <v>216</v>
      </c>
      <c r="C72" s="80">
        <f>VLOOKUP(GroupVertices[[#This Row],[Vertex]],Vertices[],MATCH("ID",Vertices[[#Headers],[Vertex]:[Top Word Pairs in Tags by Salience]],0),FALSE)</f>
        <v>114</v>
      </c>
    </row>
    <row r="73" spans="1:3" ht="15">
      <c r="A73" s="81" t="s">
        <v>1177</v>
      </c>
      <c r="B73" s="102" t="s">
        <v>195</v>
      </c>
      <c r="C73" s="80">
        <f>VLOOKUP(GroupVertices[[#This Row],[Vertex]],Vertices[],MATCH("ID",Vertices[[#Headers],[Vertex]:[Top Word Pairs in Tags by Salience]],0),FALSE)</f>
        <v>3</v>
      </c>
    </row>
    <row r="74" spans="1:3" ht="15">
      <c r="A74" s="81" t="s">
        <v>1177</v>
      </c>
      <c r="B74" s="102" t="s">
        <v>350</v>
      </c>
      <c r="C74" s="80">
        <f>VLOOKUP(GroupVertices[[#This Row],[Vertex]],Vertices[],MATCH("ID",Vertices[[#Headers],[Vertex]:[Top Word Pairs in Tags by Salience]],0),FALSE)</f>
        <v>145</v>
      </c>
    </row>
    <row r="75" spans="1:3" ht="15">
      <c r="A75" s="81" t="s">
        <v>1177</v>
      </c>
      <c r="B75" s="102" t="s">
        <v>349</v>
      </c>
      <c r="C75" s="80">
        <f>VLOOKUP(GroupVertices[[#This Row],[Vertex]],Vertices[],MATCH("ID",Vertices[[#Headers],[Vertex]:[Top Word Pairs in Tags by Salience]],0),FALSE)</f>
        <v>144</v>
      </c>
    </row>
    <row r="76" spans="1:3" ht="15">
      <c r="A76" s="81" t="s">
        <v>1177</v>
      </c>
      <c r="B76" s="102" t="s">
        <v>348</v>
      </c>
      <c r="C76" s="80">
        <f>VLOOKUP(GroupVertices[[#This Row],[Vertex]],Vertices[],MATCH("ID",Vertices[[#Headers],[Vertex]:[Top Word Pairs in Tags by Salience]],0),FALSE)</f>
        <v>143</v>
      </c>
    </row>
    <row r="77" spans="1:3" ht="15">
      <c r="A77" s="81" t="s">
        <v>1177</v>
      </c>
      <c r="B77" s="102" t="s">
        <v>347</v>
      </c>
      <c r="C77" s="80">
        <f>VLOOKUP(GroupVertices[[#This Row],[Vertex]],Vertices[],MATCH("ID",Vertices[[#Headers],[Vertex]:[Top Word Pairs in Tags by Salience]],0),FALSE)</f>
        <v>142</v>
      </c>
    </row>
    <row r="78" spans="1:3" ht="15">
      <c r="A78" s="81" t="s">
        <v>1177</v>
      </c>
      <c r="B78" s="102" t="s">
        <v>346</v>
      </c>
      <c r="C78" s="80">
        <f>VLOOKUP(GroupVertices[[#This Row],[Vertex]],Vertices[],MATCH("ID",Vertices[[#Headers],[Vertex]:[Top Word Pairs in Tags by Salience]],0),FALSE)</f>
        <v>141</v>
      </c>
    </row>
    <row r="79" spans="1:3" ht="15">
      <c r="A79" s="81" t="s">
        <v>1177</v>
      </c>
      <c r="B79" s="102" t="s">
        <v>345</v>
      </c>
      <c r="C79" s="80">
        <f>VLOOKUP(GroupVertices[[#This Row],[Vertex]],Vertices[],MATCH("ID",Vertices[[#Headers],[Vertex]:[Top Word Pairs in Tags by Salience]],0),FALSE)</f>
        <v>139</v>
      </c>
    </row>
    <row r="80" spans="1:3" ht="15">
      <c r="A80" s="81" t="s">
        <v>1177</v>
      </c>
      <c r="B80" s="102" t="s">
        <v>341</v>
      </c>
      <c r="C80" s="80">
        <f>VLOOKUP(GroupVertices[[#This Row],[Vertex]],Vertices[],MATCH("ID",Vertices[[#Headers],[Vertex]:[Top Word Pairs in Tags by Salience]],0),FALSE)</f>
        <v>134</v>
      </c>
    </row>
    <row r="81" spans="1:3" ht="15">
      <c r="A81" s="81" t="s">
        <v>1177</v>
      </c>
      <c r="B81" s="102" t="s">
        <v>340</v>
      </c>
      <c r="C81" s="80">
        <f>VLOOKUP(GroupVertices[[#This Row],[Vertex]],Vertices[],MATCH("ID",Vertices[[#Headers],[Vertex]:[Top Word Pairs in Tags by Salience]],0),FALSE)</f>
        <v>133</v>
      </c>
    </row>
    <row r="82" spans="1:3" ht="15">
      <c r="A82" s="81" t="s">
        <v>1177</v>
      </c>
      <c r="B82" s="102" t="s">
        <v>339</v>
      </c>
      <c r="C82" s="80">
        <f>VLOOKUP(GroupVertices[[#This Row],[Vertex]],Vertices[],MATCH("ID",Vertices[[#Headers],[Vertex]:[Top Word Pairs in Tags by Salience]],0),FALSE)</f>
        <v>132</v>
      </c>
    </row>
    <row r="83" spans="1:3" ht="15">
      <c r="A83" s="81" t="s">
        <v>1177</v>
      </c>
      <c r="B83" s="102" t="s">
        <v>338</v>
      </c>
      <c r="C83" s="80">
        <f>VLOOKUP(GroupVertices[[#This Row],[Vertex]],Vertices[],MATCH("ID",Vertices[[#Headers],[Vertex]:[Top Word Pairs in Tags by Salience]],0),FALSE)</f>
        <v>131</v>
      </c>
    </row>
    <row r="84" spans="1:3" ht="15">
      <c r="A84" s="81" t="s">
        <v>1177</v>
      </c>
      <c r="B84" s="102" t="s">
        <v>328</v>
      </c>
      <c r="C84" s="80">
        <f>VLOOKUP(GroupVertices[[#This Row],[Vertex]],Vertices[],MATCH("ID",Vertices[[#Headers],[Vertex]:[Top Word Pairs in Tags by Salience]],0),FALSE)</f>
        <v>119</v>
      </c>
    </row>
    <row r="85" spans="1:3" ht="15">
      <c r="A85" s="81" t="s">
        <v>1177</v>
      </c>
      <c r="B85" s="102" t="s">
        <v>327</v>
      </c>
      <c r="C85" s="80">
        <f>VLOOKUP(GroupVertices[[#This Row],[Vertex]],Vertices[],MATCH("ID",Vertices[[#Headers],[Vertex]:[Top Word Pairs in Tags by Salience]],0),FALSE)</f>
        <v>118</v>
      </c>
    </row>
    <row r="86" spans="1:3" ht="15">
      <c r="A86" s="81" t="s">
        <v>1177</v>
      </c>
      <c r="B86" s="102" t="s">
        <v>326</v>
      </c>
      <c r="C86" s="80">
        <f>VLOOKUP(GroupVertices[[#This Row],[Vertex]],Vertices[],MATCH("ID",Vertices[[#Headers],[Vertex]:[Top Word Pairs in Tags by Salience]],0),FALSE)</f>
        <v>117</v>
      </c>
    </row>
    <row r="87" spans="1:3" ht="15">
      <c r="A87" s="81" t="s">
        <v>1177</v>
      </c>
      <c r="B87" s="102" t="s">
        <v>325</v>
      </c>
      <c r="C87" s="80">
        <f>VLOOKUP(GroupVertices[[#This Row],[Vertex]],Vertices[],MATCH("ID",Vertices[[#Headers],[Vertex]:[Top Word Pairs in Tags by Salience]],0),FALSE)</f>
        <v>116</v>
      </c>
    </row>
    <row r="88" spans="1:3" ht="15">
      <c r="A88" s="81" t="s">
        <v>1177</v>
      </c>
      <c r="B88" s="102" t="s">
        <v>324</v>
      </c>
      <c r="C88" s="80">
        <f>VLOOKUP(GroupVertices[[#This Row],[Vertex]],Vertices[],MATCH("ID",Vertices[[#Headers],[Vertex]:[Top Word Pairs in Tags by Salience]],0),FALSE)</f>
        <v>115</v>
      </c>
    </row>
    <row r="89" spans="1:3" ht="15">
      <c r="A89" s="81" t="s">
        <v>1177</v>
      </c>
      <c r="B89" s="102" t="s">
        <v>320</v>
      </c>
      <c r="C89" s="80">
        <f>VLOOKUP(GroupVertices[[#This Row],[Vertex]],Vertices[],MATCH("ID",Vertices[[#Headers],[Vertex]:[Top Word Pairs in Tags by Salience]],0),FALSE)</f>
        <v>107</v>
      </c>
    </row>
    <row r="90" spans="1:3" ht="15">
      <c r="A90" s="81" t="s">
        <v>1177</v>
      </c>
      <c r="B90" s="102" t="s">
        <v>307</v>
      </c>
      <c r="C90" s="80">
        <f>VLOOKUP(GroupVertices[[#This Row],[Vertex]],Vertices[],MATCH("ID",Vertices[[#Headers],[Vertex]:[Top Word Pairs in Tags by Salience]],0),FALSE)</f>
        <v>92</v>
      </c>
    </row>
    <row r="91" spans="1:3" ht="15">
      <c r="A91" s="81" t="s">
        <v>1177</v>
      </c>
      <c r="B91" s="102" t="s">
        <v>306</v>
      </c>
      <c r="C91" s="80">
        <f>VLOOKUP(GroupVertices[[#This Row],[Vertex]],Vertices[],MATCH("ID",Vertices[[#Headers],[Vertex]:[Top Word Pairs in Tags by Salience]],0),FALSE)</f>
        <v>91</v>
      </c>
    </row>
    <row r="92" spans="1:3" ht="15">
      <c r="A92" s="81" t="s">
        <v>1177</v>
      </c>
      <c r="B92" s="102" t="s">
        <v>305</v>
      </c>
      <c r="C92" s="80">
        <f>VLOOKUP(GroupVertices[[#This Row],[Vertex]],Vertices[],MATCH("ID",Vertices[[#Headers],[Vertex]:[Top Word Pairs in Tags by Salience]],0),FALSE)</f>
        <v>89</v>
      </c>
    </row>
    <row r="93" spans="1:3" ht="15">
      <c r="A93" s="81" t="s">
        <v>1177</v>
      </c>
      <c r="B93" s="102" t="s">
        <v>304</v>
      </c>
      <c r="C93" s="80">
        <f>VLOOKUP(GroupVertices[[#This Row],[Vertex]],Vertices[],MATCH("ID",Vertices[[#Headers],[Vertex]:[Top Word Pairs in Tags by Salience]],0),FALSE)</f>
        <v>88</v>
      </c>
    </row>
    <row r="94" spans="1:3" ht="15">
      <c r="A94" s="81" t="s">
        <v>1177</v>
      </c>
      <c r="B94" s="102" t="s">
        <v>303</v>
      </c>
      <c r="C94" s="80">
        <f>VLOOKUP(GroupVertices[[#This Row],[Vertex]],Vertices[],MATCH("ID",Vertices[[#Headers],[Vertex]:[Top Word Pairs in Tags by Salience]],0),FALSE)</f>
        <v>87</v>
      </c>
    </row>
    <row r="95" spans="1:3" ht="15">
      <c r="A95" s="81" t="s">
        <v>1177</v>
      </c>
      <c r="B95" s="102" t="s">
        <v>302</v>
      </c>
      <c r="C95" s="80">
        <f>VLOOKUP(GroupVertices[[#This Row],[Vertex]],Vertices[],MATCH("ID",Vertices[[#Headers],[Vertex]:[Top Word Pairs in Tags by Salience]],0),FALSE)</f>
        <v>86</v>
      </c>
    </row>
    <row r="96" spans="1:3" ht="15">
      <c r="A96" s="81" t="s">
        <v>1177</v>
      </c>
      <c r="B96" s="102" t="s">
        <v>301</v>
      </c>
      <c r="C96" s="80">
        <f>VLOOKUP(GroupVertices[[#This Row],[Vertex]],Vertices[],MATCH("ID",Vertices[[#Headers],[Vertex]:[Top Word Pairs in Tags by Salience]],0),FALSE)</f>
        <v>85</v>
      </c>
    </row>
    <row r="97" spans="1:3" ht="15">
      <c r="A97" s="81" t="s">
        <v>1177</v>
      </c>
      <c r="B97" s="102" t="s">
        <v>300</v>
      </c>
      <c r="C97" s="80">
        <f>VLOOKUP(GroupVertices[[#This Row],[Vertex]],Vertices[],MATCH("ID",Vertices[[#Headers],[Vertex]:[Top Word Pairs in Tags by Salience]],0),FALSE)</f>
        <v>84</v>
      </c>
    </row>
    <row r="98" spans="1:3" ht="15">
      <c r="A98" s="81" t="s">
        <v>1177</v>
      </c>
      <c r="B98" s="102" t="s">
        <v>299</v>
      </c>
      <c r="C98" s="80">
        <f>VLOOKUP(GroupVertices[[#This Row],[Vertex]],Vertices[],MATCH("ID",Vertices[[#Headers],[Vertex]:[Top Word Pairs in Tags by Salience]],0),FALSE)</f>
        <v>83</v>
      </c>
    </row>
    <row r="99" spans="1:3" ht="15">
      <c r="A99" s="81" t="s">
        <v>1177</v>
      </c>
      <c r="B99" s="102" t="s">
        <v>259</v>
      </c>
      <c r="C99" s="80">
        <f>VLOOKUP(GroupVertices[[#This Row],[Vertex]],Vertices[],MATCH("ID",Vertices[[#Headers],[Vertex]:[Top Word Pairs in Tags by Salience]],0),FALSE)</f>
        <v>33</v>
      </c>
    </row>
    <row r="100" spans="1:3" ht="15">
      <c r="A100" s="81" t="s">
        <v>1177</v>
      </c>
      <c r="B100" s="102" t="s">
        <v>252</v>
      </c>
      <c r="C100" s="80">
        <f>VLOOKUP(GroupVertices[[#This Row],[Vertex]],Vertices[],MATCH("ID",Vertices[[#Headers],[Vertex]:[Top Word Pairs in Tags by Salience]],0),FALSE)</f>
        <v>25</v>
      </c>
    </row>
    <row r="101" spans="1:3" ht="15">
      <c r="A101" s="81" t="s">
        <v>1177</v>
      </c>
      <c r="B101" s="102" t="s">
        <v>251</v>
      </c>
      <c r="C101" s="80">
        <f>VLOOKUP(GroupVertices[[#This Row],[Vertex]],Vertices[],MATCH("ID",Vertices[[#Headers],[Vertex]:[Top Word Pairs in Tags by Salience]],0),FALSE)</f>
        <v>24</v>
      </c>
    </row>
    <row r="102" spans="1:3" ht="15">
      <c r="A102" s="81" t="s">
        <v>1177</v>
      </c>
      <c r="B102" s="102" t="s">
        <v>250</v>
      </c>
      <c r="C102" s="80">
        <f>VLOOKUP(GroupVertices[[#This Row],[Vertex]],Vertices[],MATCH("ID",Vertices[[#Headers],[Vertex]:[Top Word Pairs in Tags by Salience]],0),FALSE)</f>
        <v>23</v>
      </c>
    </row>
    <row r="103" spans="1:3" ht="15">
      <c r="A103" s="81" t="s">
        <v>1177</v>
      </c>
      <c r="B103" s="102" t="s">
        <v>235</v>
      </c>
      <c r="C103" s="80">
        <f>VLOOKUP(GroupVertices[[#This Row],[Vertex]],Vertices[],MATCH("ID",Vertices[[#Headers],[Vertex]:[Top Word Pairs in Tags by Salience]],0),FALSE)</f>
        <v>5</v>
      </c>
    </row>
    <row r="104" spans="1:3" ht="15">
      <c r="A104" s="81" t="s">
        <v>1177</v>
      </c>
      <c r="B104" s="102" t="s">
        <v>376</v>
      </c>
      <c r="C104" s="80">
        <f>VLOOKUP(GroupVertices[[#This Row],[Vertex]],Vertices[],MATCH("ID",Vertices[[#Headers],[Vertex]:[Top Word Pairs in Tags by Salience]],0),FALSE)</f>
        <v>4</v>
      </c>
    </row>
    <row r="105" spans="1:3" ht="15">
      <c r="A105" s="81" t="s">
        <v>1178</v>
      </c>
      <c r="B105" s="102" t="s">
        <v>202</v>
      </c>
      <c r="C105" s="80">
        <f>VLOOKUP(GroupVertices[[#This Row],[Vertex]],Vertices[],MATCH("ID",Vertices[[#Headers],[Vertex]:[Top Word Pairs in Tags by Salience]],0),FALSE)</f>
        <v>49</v>
      </c>
    </row>
    <row r="106" spans="1:3" ht="15">
      <c r="A106" s="81" t="s">
        <v>1178</v>
      </c>
      <c r="B106" s="102" t="s">
        <v>208</v>
      </c>
      <c r="C106" s="80">
        <f>VLOOKUP(GroupVertices[[#This Row],[Vertex]],Vertices[],MATCH("ID",Vertices[[#Headers],[Vertex]:[Top Word Pairs in Tags by Salience]],0),FALSE)</f>
        <v>73</v>
      </c>
    </row>
    <row r="107" spans="1:3" ht="15">
      <c r="A107" s="81" t="s">
        <v>1178</v>
      </c>
      <c r="B107" s="102" t="s">
        <v>298</v>
      </c>
      <c r="C107" s="80">
        <f>VLOOKUP(GroupVertices[[#This Row],[Vertex]],Vertices[],MATCH("ID",Vertices[[#Headers],[Vertex]:[Top Word Pairs in Tags by Salience]],0),FALSE)</f>
        <v>81</v>
      </c>
    </row>
    <row r="108" spans="1:3" ht="15">
      <c r="A108" s="81" t="s">
        <v>1178</v>
      </c>
      <c r="B108" s="102" t="s">
        <v>297</v>
      </c>
      <c r="C108" s="80">
        <f>VLOOKUP(GroupVertices[[#This Row],[Vertex]],Vertices[],MATCH("ID",Vertices[[#Headers],[Vertex]:[Top Word Pairs in Tags by Salience]],0),FALSE)</f>
        <v>80</v>
      </c>
    </row>
    <row r="109" spans="1:3" ht="15">
      <c r="A109" s="81" t="s">
        <v>1178</v>
      </c>
      <c r="B109" s="102" t="s">
        <v>296</v>
      </c>
      <c r="C109" s="80">
        <f>VLOOKUP(GroupVertices[[#This Row],[Vertex]],Vertices[],MATCH("ID",Vertices[[#Headers],[Vertex]:[Top Word Pairs in Tags by Salience]],0),FALSE)</f>
        <v>79</v>
      </c>
    </row>
    <row r="110" spans="1:3" ht="15">
      <c r="A110" s="81" t="s">
        <v>1178</v>
      </c>
      <c r="B110" s="102" t="s">
        <v>295</v>
      </c>
      <c r="C110" s="80">
        <f>VLOOKUP(GroupVertices[[#This Row],[Vertex]],Vertices[],MATCH("ID",Vertices[[#Headers],[Vertex]:[Top Word Pairs in Tags by Salience]],0),FALSE)</f>
        <v>78</v>
      </c>
    </row>
    <row r="111" spans="1:3" ht="15">
      <c r="A111" s="81" t="s">
        <v>1178</v>
      </c>
      <c r="B111" s="102" t="s">
        <v>294</v>
      </c>
      <c r="C111" s="80">
        <f>VLOOKUP(GroupVertices[[#This Row],[Vertex]],Vertices[],MATCH("ID",Vertices[[#Headers],[Vertex]:[Top Word Pairs in Tags by Salience]],0),FALSE)</f>
        <v>77</v>
      </c>
    </row>
    <row r="112" spans="1:3" ht="15">
      <c r="A112" s="81" t="s">
        <v>1178</v>
      </c>
      <c r="B112" s="102" t="s">
        <v>293</v>
      </c>
      <c r="C112" s="80">
        <f>VLOOKUP(GroupVertices[[#This Row],[Vertex]],Vertices[],MATCH("ID",Vertices[[#Headers],[Vertex]:[Top Word Pairs in Tags by Salience]],0),FALSE)</f>
        <v>76</v>
      </c>
    </row>
    <row r="113" spans="1:3" ht="15">
      <c r="A113" s="81" t="s">
        <v>1178</v>
      </c>
      <c r="B113" s="102" t="s">
        <v>292</v>
      </c>
      <c r="C113" s="80">
        <f>VLOOKUP(GroupVertices[[#This Row],[Vertex]],Vertices[],MATCH("ID",Vertices[[#Headers],[Vertex]:[Top Word Pairs in Tags by Salience]],0),FALSE)</f>
        <v>75</v>
      </c>
    </row>
    <row r="114" spans="1:3" ht="15">
      <c r="A114" s="81" t="s">
        <v>1178</v>
      </c>
      <c r="B114" s="102" t="s">
        <v>291</v>
      </c>
      <c r="C114" s="80">
        <f>VLOOKUP(GroupVertices[[#This Row],[Vertex]],Vertices[],MATCH("ID",Vertices[[#Headers],[Vertex]:[Top Word Pairs in Tags by Salience]],0),FALSE)</f>
        <v>74</v>
      </c>
    </row>
    <row r="115" spans="1:3" ht="15">
      <c r="A115" s="81" t="s">
        <v>1178</v>
      </c>
      <c r="B115" s="102" t="s">
        <v>280</v>
      </c>
      <c r="C115" s="80">
        <f>VLOOKUP(GroupVertices[[#This Row],[Vertex]],Vertices[],MATCH("ID",Vertices[[#Headers],[Vertex]:[Top Word Pairs in Tags by Salience]],0),FALSE)</f>
        <v>57</v>
      </c>
    </row>
    <row r="116" spans="1:3" ht="15">
      <c r="A116" s="81" t="s">
        <v>1178</v>
      </c>
      <c r="B116" s="102" t="s">
        <v>279</v>
      </c>
      <c r="C116" s="80">
        <f>VLOOKUP(GroupVertices[[#This Row],[Vertex]],Vertices[],MATCH("ID",Vertices[[#Headers],[Vertex]:[Top Word Pairs in Tags by Salience]],0),FALSE)</f>
        <v>56</v>
      </c>
    </row>
    <row r="117" spans="1:3" ht="15">
      <c r="A117" s="81" t="s">
        <v>1178</v>
      </c>
      <c r="B117" s="102" t="s">
        <v>278</v>
      </c>
      <c r="C117" s="80">
        <f>VLOOKUP(GroupVertices[[#This Row],[Vertex]],Vertices[],MATCH("ID",Vertices[[#Headers],[Vertex]:[Top Word Pairs in Tags by Salience]],0),FALSE)</f>
        <v>55</v>
      </c>
    </row>
    <row r="118" spans="1:3" ht="15">
      <c r="A118" s="81" t="s">
        <v>1178</v>
      </c>
      <c r="B118" s="102" t="s">
        <v>277</v>
      </c>
      <c r="C118" s="80">
        <f>VLOOKUP(GroupVertices[[#This Row],[Vertex]],Vertices[],MATCH("ID",Vertices[[#Headers],[Vertex]:[Top Word Pairs in Tags by Salience]],0),FALSE)</f>
        <v>54</v>
      </c>
    </row>
    <row r="119" spans="1:3" ht="15">
      <c r="A119" s="81" t="s">
        <v>1178</v>
      </c>
      <c r="B119" s="102" t="s">
        <v>276</v>
      </c>
      <c r="C119" s="80">
        <f>VLOOKUP(GroupVertices[[#This Row],[Vertex]],Vertices[],MATCH("ID",Vertices[[#Headers],[Vertex]:[Top Word Pairs in Tags by Salience]],0),FALSE)</f>
        <v>53</v>
      </c>
    </row>
    <row r="120" spans="1:3" ht="15">
      <c r="A120" s="81" t="s">
        <v>1178</v>
      </c>
      <c r="B120" s="102" t="s">
        <v>275</v>
      </c>
      <c r="C120" s="80">
        <f>VLOOKUP(GroupVertices[[#This Row],[Vertex]],Vertices[],MATCH("ID",Vertices[[#Headers],[Vertex]:[Top Word Pairs in Tags by Salience]],0),FALSE)</f>
        <v>52</v>
      </c>
    </row>
    <row r="121" spans="1:3" ht="15">
      <c r="A121" s="81" t="s">
        <v>1178</v>
      </c>
      <c r="B121" s="102" t="s">
        <v>274</v>
      </c>
      <c r="C121" s="80">
        <f>VLOOKUP(GroupVertices[[#This Row],[Vertex]],Vertices[],MATCH("ID",Vertices[[#Headers],[Vertex]:[Top Word Pairs in Tags by Salience]],0),FALSE)</f>
        <v>51</v>
      </c>
    </row>
    <row r="122" spans="1:3" ht="15">
      <c r="A122" s="81" t="s">
        <v>1178</v>
      </c>
      <c r="B122" s="102" t="s">
        <v>273</v>
      </c>
      <c r="C122" s="80">
        <f>VLOOKUP(GroupVertices[[#This Row],[Vertex]],Vertices[],MATCH("ID",Vertices[[#Headers],[Vertex]:[Top Word Pairs in Tags by Salience]],0),FALSE)</f>
        <v>50</v>
      </c>
    </row>
    <row r="123" spans="1:3" ht="15">
      <c r="A123" s="81" t="s">
        <v>1179</v>
      </c>
      <c r="B123" s="102" t="s">
        <v>200</v>
      </c>
      <c r="C123" s="80">
        <f>VLOOKUP(GroupVertices[[#This Row],[Vertex]],Vertices[],MATCH("ID",Vertices[[#Headers],[Vertex]:[Top Word Pairs in Tags by Salience]],0),FALSE)</f>
        <v>34</v>
      </c>
    </row>
    <row r="124" spans="1:3" ht="15">
      <c r="A124" s="81" t="s">
        <v>1179</v>
      </c>
      <c r="B124" s="102" t="s">
        <v>207</v>
      </c>
      <c r="C124" s="80">
        <f>VLOOKUP(GroupVertices[[#This Row],[Vertex]],Vertices[],MATCH("ID",Vertices[[#Headers],[Vertex]:[Top Word Pairs in Tags by Salience]],0),FALSE)</f>
        <v>66</v>
      </c>
    </row>
    <row r="125" spans="1:3" ht="15">
      <c r="A125" s="81" t="s">
        <v>1179</v>
      </c>
      <c r="B125" s="102" t="s">
        <v>290</v>
      </c>
      <c r="C125" s="80">
        <f>VLOOKUP(GroupVertices[[#This Row],[Vertex]],Vertices[],MATCH("ID",Vertices[[#Headers],[Vertex]:[Top Word Pairs in Tags by Salience]],0),FALSE)</f>
        <v>72</v>
      </c>
    </row>
    <row r="126" spans="1:3" ht="15">
      <c r="A126" s="81" t="s">
        <v>1179</v>
      </c>
      <c r="B126" s="102" t="s">
        <v>289</v>
      </c>
      <c r="C126" s="80">
        <f>VLOOKUP(GroupVertices[[#This Row],[Vertex]],Vertices[],MATCH("ID",Vertices[[#Headers],[Vertex]:[Top Word Pairs in Tags by Salience]],0),FALSE)</f>
        <v>71</v>
      </c>
    </row>
    <row r="127" spans="1:3" ht="15">
      <c r="A127" s="81" t="s">
        <v>1179</v>
      </c>
      <c r="B127" s="102" t="s">
        <v>288</v>
      </c>
      <c r="C127" s="80">
        <f>VLOOKUP(GroupVertices[[#This Row],[Vertex]],Vertices[],MATCH("ID",Vertices[[#Headers],[Vertex]:[Top Word Pairs in Tags by Salience]],0),FALSE)</f>
        <v>70</v>
      </c>
    </row>
    <row r="128" spans="1:3" ht="15">
      <c r="A128" s="81" t="s">
        <v>1179</v>
      </c>
      <c r="B128" s="102" t="s">
        <v>287</v>
      </c>
      <c r="C128" s="80">
        <f>VLOOKUP(GroupVertices[[#This Row],[Vertex]],Vertices[],MATCH("ID",Vertices[[#Headers],[Vertex]:[Top Word Pairs in Tags by Salience]],0),FALSE)</f>
        <v>69</v>
      </c>
    </row>
    <row r="129" spans="1:3" ht="15">
      <c r="A129" s="81" t="s">
        <v>1179</v>
      </c>
      <c r="B129" s="102" t="s">
        <v>286</v>
      </c>
      <c r="C129" s="80">
        <f>VLOOKUP(GroupVertices[[#This Row],[Vertex]],Vertices[],MATCH("ID",Vertices[[#Headers],[Vertex]:[Top Word Pairs in Tags by Salience]],0),FALSE)</f>
        <v>68</v>
      </c>
    </row>
    <row r="130" spans="1:3" ht="15">
      <c r="A130" s="81" t="s">
        <v>1179</v>
      </c>
      <c r="B130" s="102" t="s">
        <v>285</v>
      </c>
      <c r="C130" s="80">
        <f>VLOOKUP(GroupVertices[[#This Row],[Vertex]],Vertices[],MATCH("ID",Vertices[[#Headers],[Vertex]:[Top Word Pairs in Tags by Salience]],0),FALSE)</f>
        <v>67</v>
      </c>
    </row>
    <row r="131" spans="1:3" ht="15">
      <c r="A131" s="81" t="s">
        <v>1179</v>
      </c>
      <c r="B131" s="102" t="s">
        <v>268</v>
      </c>
      <c r="C131" s="80">
        <f>VLOOKUP(GroupVertices[[#This Row],[Vertex]],Vertices[],MATCH("ID",Vertices[[#Headers],[Vertex]:[Top Word Pairs in Tags by Salience]],0),FALSE)</f>
        <v>43</v>
      </c>
    </row>
    <row r="132" spans="1:3" ht="15">
      <c r="A132" s="81" t="s">
        <v>1179</v>
      </c>
      <c r="B132" s="102" t="s">
        <v>267</v>
      </c>
      <c r="C132" s="80">
        <f>VLOOKUP(GroupVertices[[#This Row],[Vertex]],Vertices[],MATCH("ID",Vertices[[#Headers],[Vertex]:[Top Word Pairs in Tags by Salience]],0),FALSE)</f>
        <v>42</v>
      </c>
    </row>
    <row r="133" spans="1:3" ht="15">
      <c r="A133" s="81" t="s">
        <v>1179</v>
      </c>
      <c r="B133" s="102" t="s">
        <v>266</v>
      </c>
      <c r="C133" s="80">
        <f>VLOOKUP(GroupVertices[[#This Row],[Vertex]],Vertices[],MATCH("ID",Vertices[[#Headers],[Vertex]:[Top Word Pairs in Tags by Salience]],0),FALSE)</f>
        <v>41</v>
      </c>
    </row>
    <row r="134" spans="1:3" ht="15">
      <c r="A134" s="81" t="s">
        <v>1179</v>
      </c>
      <c r="B134" s="102" t="s">
        <v>265</v>
      </c>
      <c r="C134" s="80">
        <f>VLOOKUP(GroupVertices[[#This Row],[Vertex]],Vertices[],MATCH("ID",Vertices[[#Headers],[Vertex]:[Top Word Pairs in Tags by Salience]],0),FALSE)</f>
        <v>40</v>
      </c>
    </row>
    <row r="135" spans="1:3" ht="15">
      <c r="A135" s="81" t="s">
        <v>1179</v>
      </c>
      <c r="B135" s="102" t="s">
        <v>264</v>
      </c>
      <c r="C135" s="80">
        <f>VLOOKUP(GroupVertices[[#This Row],[Vertex]],Vertices[],MATCH("ID",Vertices[[#Headers],[Vertex]:[Top Word Pairs in Tags by Salience]],0),FALSE)</f>
        <v>39</v>
      </c>
    </row>
    <row r="136" spans="1:3" ht="15">
      <c r="A136" s="81" t="s">
        <v>1179</v>
      </c>
      <c r="B136" s="102" t="s">
        <v>263</v>
      </c>
      <c r="C136" s="80">
        <f>VLOOKUP(GroupVertices[[#This Row],[Vertex]],Vertices[],MATCH("ID",Vertices[[#Headers],[Vertex]:[Top Word Pairs in Tags by Salience]],0),FALSE)</f>
        <v>38</v>
      </c>
    </row>
    <row r="137" spans="1:3" ht="15">
      <c r="A137" s="81" t="s">
        <v>1179</v>
      </c>
      <c r="B137" s="102" t="s">
        <v>262</v>
      </c>
      <c r="C137" s="80">
        <f>VLOOKUP(GroupVertices[[#This Row],[Vertex]],Vertices[],MATCH("ID",Vertices[[#Headers],[Vertex]:[Top Word Pairs in Tags by Salience]],0),FALSE)</f>
        <v>37</v>
      </c>
    </row>
    <row r="138" spans="1:3" ht="15">
      <c r="A138" s="81" t="s">
        <v>1179</v>
      </c>
      <c r="B138" s="102" t="s">
        <v>261</v>
      </c>
      <c r="C138" s="80">
        <f>VLOOKUP(GroupVertices[[#This Row],[Vertex]],Vertices[],MATCH("ID",Vertices[[#Headers],[Vertex]:[Top Word Pairs in Tags by Salience]],0),FALSE)</f>
        <v>36</v>
      </c>
    </row>
    <row r="139" spans="1:3" ht="15">
      <c r="A139" s="81" t="s">
        <v>1179</v>
      </c>
      <c r="B139" s="102" t="s">
        <v>260</v>
      </c>
      <c r="C139" s="80">
        <f>VLOOKUP(GroupVertices[[#This Row],[Vertex]],Vertices[],MATCH("ID",Vertices[[#Headers],[Vertex]:[Top Word Pairs in Tags by Salience]],0),FALSE)</f>
        <v>35</v>
      </c>
    </row>
    <row r="140" spans="1:3" ht="15">
      <c r="A140" s="81" t="s">
        <v>1180</v>
      </c>
      <c r="B140" s="102" t="s">
        <v>217</v>
      </c>
      <c r="C140" s="80">
        <f>VLOOKUP(GroupVertices[[#This Row],[Vertex]],Vertices[],MATCH("ID",Vertices[[#Headers],[Vertex]:[Top Word Pairs in Tags by Salience]],0),FALSE)</f>
        <v>120</v>
      </c>
    </row>
    <row r="141" spans="1:3" ht="15">
      <c r="A141" s="81" t="s">
        <v>1180</v>
      </c>
      <c r="B141" s="102" t="s">
        <v>201</v>
      </c>
      <c r="C141" s="80">
        <f>VLOOKUP(GroupVertices[[#This Row],[Vertex]],Vertices[],MATCH("ID",Vertices[[#Headers],[Vertex]:[Top Word Pairs in Tags by Salience]],0),FALSE)</f>
        <v>44</v>
      </c>
    </row>
    <row r="142" spans="1:3" ht="15">
      <c r="A142" s="81" t="s">
        <v>1180</v>
      </c>
      <c r="B142" s="102" t="s">
        <v>337</v>
      </c>
      <c r="C142" s="80">
        <f>VLOOKUP(GroupVertices[[#This Row],[Vertex]],Vertices[],MATCH("ID",Vertices[[#Headers],[Vertex]:[Top Word Pairs in Tags by Salience]],0),FALSE)</f>
        <v>129</v>
      </c>
    </row>
    <row r="143" spans="1:3" ht="15">
      <c r="A143" s="81" t="s">
        <v>1180</v>
      </c>
      <c r="B143" s="102" t="s">
        <v>336</v>
      </c>
      <c r="C143" s="80">
        <f>VLOOKUP(GroupVertices[[#This Row],[Vertex]],Vertices[],MATCH("ID",Vertices[[#Headers],[Vertex]:[Top Word Pairs in Tags by Salience]],0),FALSE)</f>
        <v>128</v>
      </c>
    </row>
    <row r="144" spans="1:3" ht="15">
      <c r="A144" s="81" t="s">
        <v>1180</v>
      </c>
      <c r="B144" s="102" t="s">
        <v>335</v>
      </c>
      <c r="C144" s="80">
        <f>VLOOKUP(GroupVertices[[#This Row],[Vertex]],Vertices[],MATCH("ID",Vertices[[#Headers],[Vertex]:[Top Word Pairs in Tags by Salience]],0),FALSE)</f>
        <v>127</v>
      </c>
    </row>
    <row r="145" spans="1:3" ht="15">
      <c r="A145" s="81" t="s">
        <v>1180</v>
      </c>
      <c r="B145" s="102" t="s">
        <v>334</v>
      </c>
      <c r="C145" s="80">
        <f>VLOOKUP(GroupVertices[[#This Row],[Vertex]],Vertices[],MATCH("ID",Vertices[[#Headers],[Vertex]:[Top Word Pairs in Tags by Salience]],0),FALSE)</f>
        <v>126</v>
      </c>
    </row>
    <row r="146" spans="1:3" ht="15">
      <c r="A146" s="81" t="s">
        <v>1180</v>
      </c>
      <c r="B146" s="102" t="s">
        <v>333</v>
      </c>
      <c r="C146" s="80">
        <f>VLOOKUP(GroupVertices[[#This Row],[Vertex]],Vertices[],MATCH("ID",Vertices[[#Headers],[Vertex]:[Top Word Pairs in Tags by Salience]],0),FALSE)</f>
        <v>125</v>
      </c>
    </row>
    <row r="147" spans="1:3" ht="15">
      <c r="A147" s="81" t="s">
        <v>1180</v>
      </c>
      <c r="B147" s="102" t="s">
        <v>332</v>
      </c>
      <c r="C147" s="80">
        <f>VLOOKUP(GroupVertices[[#This Row],[Vertex]],Vertices[],MATCH("ID",Vertices[[#Headers],[Vertex]:[Top Word Pairs in Tags by Salience]],0),FALSE)</f>
        <v>124</v>
      </c>
    </row>
    <row r="148" spans="1:3" ht="15">
      <c r="A148" s="81" t="s">
        <v>1180</v>
      </c>
      <c r="B148" s="102" t="s">
        <v>331</v>
      </c>
      <c r="C148" s="80">
        <f>VLOOKUP(GroupVertices[[#This Row],[Vertex]],Vertices[],MATCH("ID",Vertices[[#Headers],[Vertex]:[Top Word Pairs in Tags by Salience]],0),FALSE)</f>
        <v>123</v>
      </c>
    </row>
    <row r="149" spans="1:3" ht="15">
      <c r="A149" s="81" t="s">
        <v>1180</v>
      </c>
      <c r="B149" s="102" t="s">
        <v>330</v>
      </c>
      <c r="C149" s="80">
        <f>VLOOKUP(GroupVertices[[#This Row],[Vertex]],Vertices[],MATCH("ID",Vertices[[#Headers],[Vertex]:[Top Word Pairs in Tags by Salience]],0),FALSE)</f>
        <v>122</v>
      </c>
    </row>
    <row r="150" spans="1:3" ht="15">
      <c r="A150" s="81" t="s">
        <v>1180</v>
      </c>
      <c r="B150" s="102" t="s">
        <v>329</v>
      </c>
      <c r="C150" s="80">
        <f>VLOOKUP(GroupVertices[[#This Row],[Vertex]],Vertices[],MATCH("ID",Vertices[[#Headers],[Vertex]:[Top Word Pairs in Tags by Salience]],0),FALSE)</f>
        <v>121</v>
      </c>
    </row>
    <row r="151" spans="1:3" ht="15">
      <c r="A151" s="81" t="s">
        <v>1180</v>
      </c>
      <c r="B151" s="102" t="s">
        <v>272</v>
      </c>
      <c r="C151" s="80">
        <f>VLOOKUP(GroupVertices[[#This Row],[Vertex]],Vertices[],MATCH("ID",Vertices[[#Headers],[Vertex]:[Top Word Pairs in Tags by Salience]],0),FALSE)</f>
        <v>48</v>
      </c>
    </row>
    <row r="152" spans="1:3" ht="15">
      <c r="A152" s="81" t="s">
        <v>1180</v>
      </c>
      <c r="B152" s="102" t="s">
        <v>271</v>
      </c>
      <c r="C152" s="80">
        <f>VLOOKUP(GroupVertices[[#This Row],[Vertex]],Vertices[],MATCH("ID",Vertices[[#Headers],[Vertex]:[Top Word Pairs in Tags by Salience]],0),FALSE)</f>
        <v>47</v>
      </c>
    </row>
    <row r="153" spans="1:3" ht="15">
      <c r="A153" s="81" t="s">
        <v>1180</v>
      </c>
      <c r="B153" s="102" t="s">
        <v>270</v>
      </c>
      <c r="C153" s="80">
        <f>VLOOKUP(GroupVertices[[#This Row],[Vertex]],Vertices[],MATCH("ID",Vertices[[#Headers],[Vertex]:[Top Word Pairs in Tags by Salience]],0),FALSE)</f>
        <v>46</v>
      </c>
    </row>
    <row r="154" spans="1:3" ht="15">
      <c r="A154" s="81" t="s">
        <v>1180</v>
      </c>
      <c r="B154" s="102" t="s">
        <v>269</v>
      </c>
      <c r="C154" s="80">
        <f>VLOOKUP(GroupVertices[[#This Row],[Vertex]],Vertices[],MATCH("ID",Vertices[[#Headers],[Vertex]:[Top Word Pairs in Tags by Salience]],0),FALSE)</f>
        <v>45</v>
      </c>
    </row>
    <row r="155" spans="1:3" ht="15">
      <c r="A155" s="81" t="s">
        <v>1181</v>
      </c>
      <c r="B155" s="102" t="s">
        <v>197</v>
      </c>
      <c r="C155" s="80">
        <f>VLOOKUP(GroupVertices[[#This Row],[Vertex]],Vertices[],MATCH("ID",Vertices[[#Headers],[Vertex]:[Top Word Pairs in Tags by Salience]],0),FALSE)</f>
        <v>11</v>
      </c>
    </row>
    <row r="156" spans="1:3" ht="15">
      <c r="A156" s="81" t="s">
        <v>1181</v>
      </c>
      <c r="B156" s="102" t="s">
        <v>249</v>
      </c>
      <c r="C156" s="80">
        <f>VLOOKUP(GroupVertices[[#This Row],[Vertex]],Vertices[],MATCH("ID",Vertices[[#Headers],[Vertex]:[Top Word Pairs in Tags by Salience]],0),FALSE)</f>
        <v>21</v>
      </c>
    </row>
    <row r="157" spans="1:3" ht="15">
      <c r="A157" s="81" t="s">
        <v>1181</v>
      </c>
      <c r="B157" s="102" t="s">
        <v>248</v>
      </c>
      <c r="C157" s="80">
        <f>VLOOKUP(GroupVertices[[#This Row],[Vertex]],Vertices[],MATCH("ID",Vertices[[#Headers],[Vertex]:[Top Word Pairs in Tags by Salience]],0),FALSE)</f>
        <v>20</v>
      </c>
    </row>
    <row r="158" spans="1:3" ht="15">
      <c r="A158" s="81" t="s">
        <v>1181</v>
      </c>
      <c r="B158" s="102" t="s">
        <v>247</v>
      </c>
      <c r="C158" s="80">
        <f>VLOOKUP(GroupVertices[[#This Row],[Vertex]],Vertices[],MATCH("ID",Vertices[[#Headers],[Vertex]:[Top Word Pairs in Tags by Salience]],0),FALSE)</f>
        <v>19</v>
      </c>
    </row>
    <row r="159" spans="1:3" ht="15">
      <c r="A159" s="81" t="s">
        <v>1181</v>
      </c>
      <c r="B159" s="102" t="s">
        <v>246</v>
      </c>
      <c r="C159" s="80">
        <f>VLOOKUP(GroupVertices[[#This Row],[Vertex]],Vertices[],MATCH("ID",Vertices[[#Headers],[Vertex]:[Top Word Pairs in Tags by Salience]],0),FALSE)</f>
        <v>18</v>
      </c>
    </row>
    <row r="160" spans="1:3" ht="15">
      <c r="A160" s="81" t="s">
        <v>1181</v>
      </c>
      <c r="B160" s="102" t="s">
        <v>245</v>
      </c>
      <c r="C160" s="80">
        <f>VLOOKUP(GroupVertices[[#This Row],[Vertex]],Vertices[],MATCH("ID",Vertices[[#Headers],[Vertex]:[Top Word Pairs in Tags by Salience]],0),FALSE)</f>
        <v>17</v>
      </c>
    </row>
    <row r="161" spans="1:3" ht="15">
      <c r="A161" s="81" t="s">
        <v>1181</v>
      </c>
      <c r="B161" s="102" t="s">
        <v>244</v>
      </c>
      <c r="C161" s="80">
        <f>VLOOKUP(GroupVertices[[#This Row],[Vertex]],Vertices[],MATCH("ID",Vertices[[#Headers],[Vertex]:[Top Word Pairs in Tags by Salience]],0),FALSE)</f>
        <v>16</v>
      </c>
    </row>
    <row r="162" spans="1:3" ht="15">
      <c r="A162" s="81" t="s">
        <v>1181</v>
      </c>
      <c r="B162" s="102" t="s">
        <v>243</v>
      </c>
      <c r="C162" s="80">
        <f>VLOOKUP(GroupVertices[[#This Row],[Vertex]],Vertices[],MATCH("ID",Vertices[[#Headers],[Vertex]:[Top Word Pairs in Tags by Salience]],0),FALSE)</f>
        <v>15</v>
      </c>
    </row>
    <row r="163" spans="1:3" ht="15">
      <c r="A163" s="81" t="s">
        <v>1181</v>
      </c>
      <c r="B163" s="102" t="s">
        <v>242</v>
      </c>
      <c r="C163" s="80">
        <f>VLOOKUP(GroupVertices[[#This Row],[Vertex]],Vertices[],MATCH("ID",Vertices[[#Headers],[Vertex]:[Top Word Pairs in Tags by Salience]],0),FALSE)</f>
        <v>14</v>
      </c>
    </row>
    <row r="164" spans="1:3" ht="15">
      <c r="A164" s="81" t="s">
        <v>1181</v>
      </c>
      <c r="B164" s="102" t="s">
        <v>241</v>
      </c>
      <c r="C164" s="80">
        <f>VLOOKUP(GroupVertices[[#This Row],[Vertex]],Vertices[],MATCH("ID",Vertices[[#Headers],[Vertex]:[Top Word Pairs in Tags by Salience]],0),FALSE)</f>
        <v>13</v>
      </c>
    </row>
    <row r="165" spans="1:3" ht="15">
      <c r="A165" s="81" t="s">
        <v>1181</v>
      </c>
      <c r="B165" s="102" t="s">
        <v>240</v>
      </c>
      <c r="C165" s="80">
        <f>VLOOKUP(GroupVertices[[#This Row],[Vertex]],Vertices[],MATCH("ID",Vertices[[#Headers],[Vertex]:[Top Word Pairs in Tags by Salience]],0),FALSE)</f>
        <v>12</v>
      </c>
    </row>
    <row r="166" spans="1:3" ht="15">
      <c r="A166" s="81" t="s">
        <v>1182</v>
      </c>
      <c r="B166" s="102" t="s">
        <v>211</v>
      </c>
      <c r="C166" s="80">
        <f>VLOOKUP(GroupVertices[[#This Row],[Vertex]],Vertices[],MATCH("ID",Vertices[[#Headers],[Vertex]:[Top Word Pairs in Tags by Salience]],0),FALSE)</f>
        <v>93</v>
      </c>
    </row>
    <row r="167" spans="1:3" ht="15">
      <c r="A167" s="81" t="s">
        <v>1182</v>
      </c>
      <c r="B167" s="102" t="s">
        <v>317</v>
      </c>
      <c r="C167" s="80">
        <f>VLOOKUP(GroupVertices[[#This Row],[Vertex]],Vertices[],MATCH("ID",Vertices[[#Headers],[Vertex]:[Top Word Pairs in Tags by Salience]],0),FALSE)</f>
        <v>103</v>
      </c>
    </row>
    <row r="168" spans="1:3" ht="15">
      <c r="A168" s="81" t="s">
        <v>1182</v>
      </c>
      <c r="B168" s="102" t="s">
        <v>316</v>
      </c>
      <c r="C168" s="80">
        <f>VLOOKUP(GroupVertices[[#This Row],[Vertex]],Vertices[],MATCH("ID",Vertices[[#Headers],[Vertex]:[Top Word Pairs in Tags by Salience]],0),FALSE)</f>
        <v>102</v>
      </c>
    </row>
    <row r="169" spans="1:3" ht="15">
      <c r="A169" s="81" t="s">
        <v>1182</v>
      </c>
      <c r="B169" s="102" t="s">
        <v>315</v>
      </c>
      <c r="C169" s="80">
        <f>VLOOKUP(GroupVertices[[#This Row],[Vertex]],Vertices[],MATCH("ID",Vertices[[#Headers],[Vertex]:[Top Word Pairs in Tags by Salience]],0),FALSE)</f>
        <v>101</v>
      </c>
    </row>
    <row r="170" spans="1:3" ht="15">
      <c r="A170" s="81" t="s">
        <v>1182</v>
      </c>
      <c r="B170" s="102" t="s">
        <v>314</v>
      </c>
      <c r="C170" s="80">
        <f>VLOOKUP(GroupVertices[[#This Row],[Vertex]],Vertices[],MATCH("ID",Vertices[[#Headers],[Vertex]:[Top Word Pairs in Tags by Salience]],0),FALSE)</f>
        <v>100</v>
      </c>
    </row>
    <row r="171" spans="1:3" ht="15">
      <c r="A171" s="81" t="s">
        <v>1182</v>
      </c>
      <c r="B171" s="102" t="s">
        <v>313</v>
      </c>
      <c r="C171" s="80">
        <f>VLOOKUP(GroupVertices[[#This Row],[Vertex]],Vertices[],MATCH("ID",Vertices[[#Headers],[Vertex]:[Top Word Pairs in Tags by Salience]],0),FALSE)</f>
        <v>99</v>
      </c>
    </row>
    <row r="172" spans="1:3" ht="15">
      <c r="A172" s="81" t="s">
        <v>1182</v>
      </c>
      <c r="B172" s="102" t="s">
        <v>312</v>
      </c>
      <c r="C172" s="80">
        <f>VLOOKUP(GroupVertices[[#This Row],[Vertex]],Vertices[],MATCH("ID",Vertices[[#Headers],[Vertex]:[Top Word Pairs in Tags by Salience]],0),FALSE)</f>
        <v>98</v>
      </c>
    </row>
    <row r="173" spans="1:3" ht="15">
      <c r="A173" s="81" t="s">
        <v>1182</v>
      </c>
      <c r="B173" s="102" t="s">
        <v>311</v>
      </c>
      <c r="C173" s="80">
        <f>VLOOKUP(GroupVertices[[#This Row],[Vertex]],Vertices[],MATCH("ID",Vertices[[#Headers],[Vertex]:[Top Word Pairs in Tags by Salience]],0),FALSE)</f>
        <v>97</v>
      </c>
    </row>
    <row r="174" spans="1:3" ht="15">
      <c r="A174" s="81" t="s">
        <v>1182</v>
      </c>
      <c r="B174" s="102" t="s">
        <v>310</v>
      </c>
      <c r="C174" s="80">
        <f>VLOOKUP(GroupVertices[[#This Row],[Vertex]],Vertices[],MATCH("ID",Vertices[[#Headers],[Vertex]:[Top Word Pairs in Tags by Salience]],0),FALSE)</f>
        <v>96</v>
      </c>
    </row>
    <row r="175" spans="1:3" ht="15">
      <c r="A175" s="81" t="s">
        <v>1182</v>
      </c>
      <c r="B175" s="102" t="s">
        <v>309</v>
      </c>
      <c r="C175" s="80">
        <f>VLOOKUP(GroupVertices[[#This Row],[Vertex]],Vertices[],MATCH("ID",Vertices[[#Headers],[Vertex]:[Top Word Pairs in Tags by Salience]],0),FALSE)</f>
        <v>95</v>
      </c>
    </row>
    <row r="176" spans="1:3" ht="15">
      <c r="A176" s="81" t="s">
        <v>1182</v>
      </c>
      <c r="B176" s="102" t="s">
        <v>308</v>
      </c>
      <c r="C176" s="80">
        <f>VLOOKUP(GroupVertices[[#This Row],[Vertex]],Vertices[],MATCH("ID",Vertices[[#Headers],[Vertex]:[Top Word Pairs in Tags by Salience]],0),FALSE)</f>
        <v>94</v>
      </c>
    </row>
    <row r="177" spans="1:3" ht="15">
      <c r="A177" s="81" t="s">
        <v>1183</v>
      </c>
      <c r="B177" s="102" t="s">
        <v>226</v>
      </c>
      <c r="C177" s="80">
        <f>VLOOKUP(GroupVertices[[#This Row],[Vertex]],Vertices[],MATCH("ID",Vertices[[#Headers],[Vertex]:[Top Word Pairs in Tags by Salience]],0),FALSE)</f>
        <v>163</v>
      </c>
    </row>
    <row r="178" spans="1:3" ht="15">
      <c r="A178" s="81" t="s">
        <v>1183</v>
      </c>
      <c r="B178" s="102" t="s">
        <v>368</v>
      </c>
      <c r="C178" s="80">
        <f>VLOOKUP(GroupVertices[[#This Row],[Vertex]],Vertices[],MATCH("ID",Vertices[[#Headers],[Vertex]:[Top Word Pairs in Tags by Salience]],0),FALSE)</f>
        <v>175</v>
      </c>
    </row>
    <row r="179" spans="1:3" ht="15">
      <c r="A179" s="81" t="s">
        <v>1183</v>
      </c>
      <c r="B179" s="102" t="s">
        <v>367</v>
      </c>
      <c r="C179" s="80">
        <f>VLOOKUP(GroupVertices[[#This Row],[Vertex]],Vertices[],MATCH("ID",Vertices[[#Headers],[Vertex]:[Top Word Pairs in Tags by Salience]],0),FALSE)</f>
        <v>174</v>
      </c>
    </row>
    <row r="180" spans="1:3" ht="15">
      <c r="A180" s="81" t="s">
        <v>1183</v>
      </c>
      <c r="B180" s="102" t="s">
        <v>366</v>
      </c>
      <c r="C180" s="80">
        <f>VLOOKUP(GroupVertices[[#This Row],[Vertex]],Vertices[],MATCH("ID",Vertices[[#Headers],[Vertex]:[Top Word Pairs in Tags by Salience]],0),FALSE)</f>
        <v>167</v>
      </c>
    </row>
    <row r="181" spans="1:3" ht="15">
      <c r="A181" s="81" t="s">
        <v>1183</v>
      </c>
      <c r="B181" s="102" t="s">
        <v>365</v>
      </c>
      <c r="C181" s="80">
        <f>VLOOKUP(GroupVertices[[#This Row],[Vertex]],Vertices[],MATCH("ID",Vertices[[#Headers],[Vertex]:[Top Word Pairs in Tags by Salience]],0),FALSE)</f>
        <v>166</v>
      </c>
    </row>
    <row r="182" spans="1:3" ht="15">
      <c r="A182" s="81" t="s">
        <v>1183</v>
      </c>
      <c r="B182" s="102" t="s">
        <v>364</v>
      </c>
      <c r="C182" s="80">
        <f>VLOOKUP(GroupVertices[[#This Row],[Vertex]],Vertices[],MATCH("ID",Vertices[[#Headers],[Vertex]:[Top Word Pairs in Tags by Salience]],0),FALSE)</f>
        <v>165</v>
      </c>
    </row>
    <row r="183" spans="1:3" ht="15">
      <c r="A183" s="81" t="s">
        <v>1183</v>
      </c>
      <c r="B183" s="102" t="s">
        <v>363</v>
      </c>
      <c r="C183" s="80">
        <f>VLOOKUP(GroupVertices[[#This Row],[Vertex]],Vertices[],MATCH("ID",Vertices[[#Headers],[Vertex]:[Top Word Pairs in Tags by Salience]],0),FALSE)</f>
        <v>164</v>
      </c>
    </row>
  </sheetData>
  <dataValidations count="3" xWindow="58" yWindow="226">
    <dataValidation allowBlank="1" showInputMessage="1" showErrorMessage="1" promptTitle="Group Name" prompt="Enter the name of the group.  The group name must also be entered on the Groups worksheet." sqref="A2:A183"/>
    <dataValidation allowBlank="1" showInputMessage="1" showErrorMessage="1" promptTitle="Vertex Name" prompt="Enter the name of a vertex to include in the group." sqref="B2:B183"/>
    <dataValidation allowBlank="1" showInputMessage="1" promptTitle="Vertex ID" prompt="This is the value of the hidden ID cell in the Vertices worksheet.  It gets filled in by the items on the NodeXL, Analysis, Groups menu." sqref="C2:C1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1477</v>
      </c>
      <c r="B2" s="35" t="s">
        <v>1156</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142</v>
      </c>
      <c r="J2" s="38">
        <f>MIN(Vertices[Betweenness Centrality])</f>
        <v>0</v>
      </c>
      <c r="K2" s="39">
        <f>COUNTIF(Vertices[Betweenness Centrality],"&gt;= "&amp;J2)-COUNTIF(Vertices[Betweenness Centrality],"&gt;="&amp;J3)</f>
        <v>144</v>
      </c>
      <c r="L2" s="38">
        <f>MIN(Vertices[Closeness Centrality])</f>
        <v>0.001276</v>
      </c>
      <c r="M2" s="39">
        <f>COUNTIF(Vertices[Closeness Centrality],"&gt;= "&amp;L2)-COUNTIF(Vertices[Closeness Centrality],"&gt;="&amp;L3)</f>
        <v>10</v>
      </c>
      <c r="N2" s="38">
        <f>MIN(Vertices[Eigenvector Centrality])</f>
        <v>1.5E-05</v>
      </c>
      <c r="O2" s="39">
        <f>COUNTIF(Vertices[Eigenvector Centrality],"&gt;= "&amp;N2)-COUNTIF(Vertices[Eigenvector Centrality],"&gt;="&amp;N3)</f>
        <v>92</v>
      </c>
      <c r="P2" s="38">
        <f>MIN(Vertices[PageRank])</f>
        <v>0.246571</v>
      </c>
      <c r="Q2" s="39">
        <f>COUNTIF(Vertices[PageRank],"&gt;= "&amp;P2)-COUNTIF(Vertices[PageRank],"&gt;="&amp;P3)</f>
        <v>84</v>
      </c>
      <c r="R2" s="38">
        <f>MIN(Vertices[Clustering Coefficient])</f>
        <v>0</v>
      </c>
      <c r="S2" s="44">
        <f>COUNTIF(Vertices[Clustering Coefficient],"&gt;= "&amp;R2)-COUNTIF(Vertices[Clustering Coefficient],"&gt;="&amp;R3)</f>
        <v>116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0"/>
      <c r="B3" s="110"/>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116</v>
      </c>
      <c r="H3" s="40">
        <f aca="true" t="shared" si="3" ref="H3:H35">H2+($H$36-$H$2)/BinDivisor</f>
        <v>0.9411764705882353</v>
      </c>
      <c r="I3" s="41">
        <f>COUNTIF(Vertices[Out-Degree],"&gt;= "&amp;H3)-COUNTIF(Vertices[Out-Degree],"&gt;="&amp;H4)</f>
        <v>0</v>
      </c>
      <c r="J3" s="40">
        <f aca="true" t="shared" si="4" ref="J3:J35">J2+($J$36-$J$2)/BinDivisor</f>
        <v>166.19402714705882</v>
      </c>
      <c r="K3" s="41">
        <f>COUNTIF(Vertices[Betweenness Centrality],"&gt;= "&amp;J3)-COUNTIF(Vertices[Betweenness Centrality],"&gt;="&amp;J4)</f>
        <v>2</v>
      </c>
      <c r="L3" s="40">
        <f aca="true" t="shared" si="5" ref="L3:L35">L2+($L$36-$L$2)/BinDivisor</f>
        <v>0.0013167058823529412</v>
      </c>
      <c r="M3" s="41">
        <f>COUNTIF(Vertices[Closeness Centrality],"&gt;= "&amp;L3)-COUNTIF(Vertices[Closeness Centrality],"&gt;="&amp;L4)</f>
        <v>8</v>
      </c>
      <c r="N3" s="40">
        <f aca="true" t="shared" si="6" ref="N3:N35">N2+($N$36-$N$2)/BinDivisor</f>
        <v>0.001042</v>
      </c>
      <c r="O3" s="41">
        <f>COUNTIF(Vertices[Eigenvector Centrality],"&gt;= "&amp;N3)-COUNTIF(Vertices[Eigenvector Centrality],"&gt;="&amp;N4)</f>
        <v>36</v>
      </c>
      <c r="P3" s="40">
        <f aca="true" t="shared" si="7" ref="P3:P35">P2+($P$36-$P$2)/BinDivisor</f>
        <v>0.37427964705882355</v>
      </c>
      <c r="Q3" s="41">
        <f>COUNTIF(Vertices[PageRank],"&gt;= "&amp;P3)-COUNTIF(Vertices[PageRank],"&gt;="&amp;P4)</f>
        <v>35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182</v>
      </c>
      <c r="D4" s="33">
        <f t="shared" si="1"/>
        <v>0</v>
      </c>
      <c r="E4" s="3">
        <f>COUNTIF(Vertices[Degree],"&gt;= "&amp;D4)-COUNTIF(Vertices[Degree],"&gt;="&amp;D5)</f>
        <v>0</v>
      </c>
      <c r="F4" s="38">
        <f t="shared" si="2"/>
        <v>1.2352941176470589</v>
      </c>
      <c r="G4" s="39">
        <f>COUNTIF(Vertices[In-Degree],"&gt;= "&amp;F4)-COUNTIF(Vertices[In-Degree],"&gt;="&amp;F5)</f>
        <v>0</v>
      </c>
      <c r="H4" s="38">
        <f t="shared" si="3"/>
        <v>1.8823529411764706</v>
      </c>
      <c r="I4" s="39">
        <f>COUNTIF(Vertices[Out-Degree],"&gt;= "&amp;H4)-COUNTIF(Vertices[Out-Degree],"&gt;="&amp;H5)</f>
        <v>0</v>
      </c>
      <c r="J4" s="38">
        <f t="shared" si="4"/>
        <v>332.38805429411764</v>
      </c>
      <c r="K4" s="39">
        <f>COUNTIF(Vertices[Betweenness Centrality],"&gt;= "&amp;J4)-COUNTIF(Vertices[Betweenness Centrality],"&gt;="&amp;J5)</f>
        <v>0</v>
      </c>
      <c r="L4" s="38">
        <f t="shared" si="5"/>
        <v>0.0013574117647058824</v>
      </c>
      <c r="M4" s="39">
        <f>COUNTIF(Vertices[Closeness Centrality],"&gt;= "&amp;L4)-COUNTIF(Vertices[Closeness Centrality],"&gt;="&amp;L5)</f>
        <v>10</v>
      </c>
      <c r="N4" s="38">
        <f t="shared" si="6"/>
        <v>0.0020689999999999997</v>
      </c>
      <c r="O4" s="39">
        <f>COUNTIF(Vertices[Eigenvector Centrality],"&gt;= "&amp;N4)-COUNTIF(Vertices[Eigenvector Centrality],"&gt;="&amp;N5)</f>
        <v>11</v>
      </c>
      <c r="P4" s="38">
        <f t="shared" si="7"/>
        <v>0.501988294117647</v>
      </c>
      <c r="Q4" s="39">
        <f>COUNTIF(Vertices[PageRank],"&gt;= "&amp;P4)-COUNTIF(Vertices[PageRank],"&gt;="&amp;P5)</f>
        <v>17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0"/>
      <c r="B5" s="110"/>
      <c r="D5" s="33">
        <f t="shared" si="1"/>
        <v>0</v>
      </c>
      <c r="E5" s="3">
        <f>COUNTIF(Vertices[Degree],"&gt;= "&amp;D5)-COUNTIF(Vertices[Degree],"&gt;="&amp;D6)</f>
        <v>0</v>
      </c>
      <c r="F5" s="40">
        <f t="shared" si="2"/>
        <v>1.8529411764705883</v>
      </c>
      <c r="G5" s="41">
        <f>COUNTIF(Vertices[In-Degree],"&gt;= "&amp;F5)-COUNTIF(Vertices[In-Degree],"&gt;="&amp;F6)</f>
        <v>20</v>
      </c>
      <c r="H5" s="40">
        <f t="shared" si="3"/>
        <v>2.8235294117647056</v>
      </c>
      <c r="I5" s="41">
        <f>COUNTIF(Vertices[Out-Degree],"&gt;= "&amp;H5)-COUNTIF(Vertices[Out-Degree],"&gt;="&amp;H6)</f>
        <v>0</v>
      </c>
      <c r="J5" s="40">
        <f t="shared" si="4"/>
        <v>498.58208144117646</v>
      </c>
      <c r="K5" s="41">
        <f>COUNTIF(Vertices[Betweenness Centrality],"&gt;= "&amp;J5)-COUNTIF(Vertices[Betweenness Centrality],"&gt;="&amp;J6)</f>
        <v>3</v>
      </c>
      <c r="L5" s="40">
        <f t="shared" si="5"/>
        <v>0.0013981176470588236</v>
      </c>
      <c r="M5" s="41">
        <f>COUNTIF(Vertices[Closeness Centrality],"&gt;= "&amp;L5)-COUNTIF(Vertices[Closeness Centrality],"&gt;="&amp;L6)</f>
        <v>0</v>
      </c>
      <c r="N5" s="40">
        <f t="shared" si="6"/>
        <v>0.003096</v>
      </c>
      <c r="O5" s="41">
        <f>COUNTIF(Vertices[Eigenvector Centrality],"&gt;= "&amp;N5)-COUNTIF(Vertices[Eigenvector Centrality],"&gt;="&amp;N6)</f>
        <v>3</v>
      </c>
      <c r="P5" s="40">
        <f t="shared" si="7"/>
        <v>0.6296969411764706</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529</v>
      </c>
      <c r="D6" s="33">
        <f t="shared" si="1"/>
        <v>0</v>
      </c>
      <c r="E6" s="3">
        <f>COUNTIF(Vertices[Degree],"&gt;= "&amp;D6)-COUNTIF(Vertices[Degree],"&gt;="&amp;D7)</f>
        <v>0</v>
      </c>
      <c r="F6" s="38">
        <f t="shared" si="2"/>
        <v>2.4705882352941178</v>
      </c>
      <c r="G6" s="39">
        <f>COUNTIF(Vertices[In-Degree],"&gt;= "&amp;F6)-COUNTIF(Vertices[In-Degree],"&gt;="&amp;F7)</f>
        <v>6</v>
      </c>
      <c r="H6" s="38">
        <f t="shared" si="3"/>
        <v>3.764705882352941</v>
      </c>
      <c r="I6" s="39">
        <f>COUNTIF(Vertices[Out-Degree],"&gt;= "&amp;H6)-COUNTIF(Vertices[Out-Degree],"&gt;="&amp;H7)</f>
        <v>0</v>
      </c>
      <c r="J6" s="38">
        <f t="shared" si="4"/>
        <v>664.7761085882353</v>
      </c>
      <c r="K6" s="39">
        <f>COUNTIF(Vertices[Betweenness Centrality],"&gt;= "&amp;J6)-COUNTIF(Vertices[Betweenness Centrality],"&gt;="&amp;J7)</f>
        <v>2</v>
      </c>
      <c r="L6" s="38">
        <f t="shared" si="5"/>
        <v>0.0014388235294117647</v>
      </c>
      <c r="M6" s="39">
        <f>COUNTIF(Vertices[Closeness Centrality],"&gt;= "&amp;L6)-COUNTIF(Vertices[Closeness Centrality],"&gt;="&amp;L7)</f>
        <v>9</v>
      </c>
      <c r="N6" s="38">
        <f t="shared" si="6"/>
        <v>0.004123</v>
      </c>
      <c r="O6" s="39">
        <f>COUNTIF(Vertices[Eigenvector Centrality],"&gt;= "&amp;N6)-COUNTIF(Vertices[Eigenvector Centrality],"&gt;="&amp;N7)</f>
        <v>0</v>
      </c>
      <c r="P6" s="38">
        <f t="shared" si="7"/>
        <v>0.7574055882352941</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259</v>
      </c>
      <c r="D7" s="33">
        <f t="shared" si="1"/>
        <v>0</v>
      </c>
      <c r="E7" s="3">
        <f>COUNTIF(Vertices[Degree],"&gt;= "&amp;D7)-COUNTIF(Vertices[Degree],"&gt;="&amp;D8)</f>
        <v>0</v>
      </c>
      <c r="F7" s="40">
        <f t="shared" si="2"/>
        <v>3.088235294117647</v>
      </c>
      <c r="G7" s="41">
        <f>COUNTIF(Vertices[In-Degree],"&gt;= "&amp;F7)-COUNTIF(Vertices[In-Degree],"&gt;="&amp;F8)</f>
        <v>0</v>
      </c>
      <c r="H7" s="40">
        <f t="shared" si="3"/>
        <v>4.705882352941177</v>
      </c>
      <c r="I7" s="41">
        <f>COUNTIF(Vertices[Out-Degree],"&gt;= "&amp;H7)-COUNTIF(Vertices[Out-Degree],"&gt;="&amp;H8)</f>
        <v>0</v>
      </c>
      <c r="J7" s="40">
        <f t="shared" si="4"/>
        <v>830.9701357352941</v>
      </c>
      <c r="K7" s="41">
        <f>COUNTIF(Vertices[Betweenness Centrality],"&gt;= "&amp;J7)-COUNTIF(Vertices[Betweenness Centrality],"&gt;="&amp;J8)</f>
        <v>3</v>
      </c>
      <c r="L7" s="40">
        <f t="shared" si="5"/>
        <v>0.001479529411764706</v>
      </c>
      <c r="M7" s="41">
        <f>COUNTIF(Vertices[Closeness Centrality],"&gt;= "&amp;L7)-COUNTIF(Vertices[Closeness Centrality],"&gt;="&amp;L8)</f>
        <v>17</v>
      </c>
      <c r="N7" s="40">
        <f t="shared" si="6"/>
        <v>0.00515</v>
      </c>
      <c r="O7" s="41">
        <f>COUNTIF(Vertices[Eigenvector Centrality],"&gt;= "&amp;N7)-COUNTIF(Vertices[Eigenvector Centrality],"&gt;="&amp;N8)</f>
        <v>3</v>
      </c>
      <c r="P7" s="40">
        <f t="shared" si="7"/>
        <v>0.8851142352941177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788</v>
      </c>
      <c r="D8" s="33">
        <f t="shared" si="1"/>
        <v>0</v>
      </c>
      <c r="E8" s="3">
        <f>COUNTIF(Vertices[Degree],"&gt;= "&amp;D8)-COUNTIF(Vertices[Degree],"&gt;="&amp;D9)</f>
        <v>0</v>
      </c>
      <c r="F8" s="38">
        <f t="shared" si="2"/>
        <v>3.7058823529411766</v>
      </c>
      <c r="G8" s="39">
        <f>COUNTIF(Vertices[In-Degree],"&gt;= "&amp;F8)-COUNTIF(Vertices[In-Degree],"&gt;="&amp;F9)</f>
        <v>3</v>
      </c>
      <c r="H8" s="38">
        <f t="shared" si="3"/>
        <v>5.647058823529412</v>
      </c>
      <c r="I8" s="39">
        <f>COUNTIF(Vertices[Out-Degree],"&gt;= "&amp;H8)-COUNTIF(Vertices[Out-Degree],"&gt;="&amp;H9)</f>
        <v>0</v>
      </c>
      <c r="J8" s="38">
        <f t="shared" si="4"/>
        <v>997.1641628823529</v>
      </c>
      <c r="K8" s="39">
        <f>COUNTIF(Vertices[Betweenness Centrality],"&gt;= "&amp;J8)-COUNTIF(Vertices[Betweenness Centrality],"&gt;="&amp;J9)</f>
        <v>2</v>
      </c>
      <c r="L8" s="38">
        <f t="shared" si="5"/>
        <v>0.0015202352941176471</v>
      </c>
      <c r="M8" s="39">
        <f>COUNTIF(Vertices[Closeness Centrality],"&gt;= "&amp;L8)-COUNTIF(Vertices[Closeness Centrality],"&gt;="&amp;L9)</f>
        <v>6</v>
      </c>
      <c r="N8" s="38">
        <f t="shared" si="6"/>
        <v>0.006177</v>
      </c>
      <c r="O8" s="39">
        <f>COUNTIF(Vertices[Eigenvector Centrality],"&gt;= "&amp;N8)-COUNTIF(Vertices[Eigenvector Centrality],"&gt;="&amp;N9)</f>
        <v>0</v>
      </c>
      <c r="P8" s="38">
        <f t="shared" si="7"/>
        <v>1.0128228823529413</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0"/>
      <c r="B9" s="110"/>
      <c r="D9" s="33">
        <f t="shared" si="1"/>
        <v>0</v>
      </c>
      <c r="E9" s="3">
        <f>COUNTIF(Vertices[Degree],"&gt;= "&amp;D9)-COUNTIF(Vertices[Degree],"&gt;="&amp;D10)</f>
        <v>0</v>
      </c>
      <c r="F9" s="40">
        <f t="shared" si="2"/>
        <v>4.3235294117647065</v>
      </c>
      <c r="G9" s="41">
        <f>COUNTIF(Vertices[In-Degree],"&gt;= "&amp;F9)-COUNTIF(Vertices[In-Degree],"&gt;="&amp;F10)</f>
        <v>0</v>
      </c>
      <c r="H9" s="40">
        <f t="shared" si="3"/>
        <v>6.588235294117648</v>
      </c>
      <c r="I9" s="41">
        <f>COUNTIF(Vertices[Out-Degree],"&gt;= "&amp;H9)-COUNTIF(Vertices[Out-Degree],"&gt;="&amp;H10)</f>
        <v>0</v>
      </c>
      <c r="J9" s="40">
        <f t="shared" si="4"/>
        <v>1163.3581900294116</v>
      </c>
      <c r="K9" s="41">
        <f>COUNTIF(Vertices[Betweenness Centrality],"&gt;= "&amp;J9)-COUNTIF(Vertices[Betweenness Centrality],"&gt;="&amp;J10)</f>
        <v>2</v>
      </c>
      <c r="L9" s="40">
        <f t="shared" si="5"/>
        <v>0.0015609411764705883</v>
      </c>
      <c r="M9" s="41">
        <f>COUNTIF(Vertices[Closeness Centrality],"&gt;= "&amp;L9)-COUNTIF(Vertices[Closeness Centrality],"&gt;="&amp;L10)</f>
        <v>29</v>
      </c>
      <c r="N9" s="40">
        <f t="shared" si="6"/>
        <v>0.007204</v>
      </c>
      <c r="O9" s="41">
        <f>COUNTIF(Vertices[Eigenvector Centrality],"&gt;= "&amp;N9)-COUNTIF(Vertices[Eigenvector Centrality],"&gt;="&amp;N10)</f>
        <v>6</v>
      </c>
      <c r="P9" s="40">
        <f t="shared" si="7"/>
        <v>1.1405315294117648</v>
      </c>
      <c r="Q9" s="41">
        <f>COUNTIF(Vertices[PageRank],"&gt;= "&amp;P9)-COUNTIF(Vertices[PageRank],"&gt;="&amp;P10)</f>
        <v>1</v>
      </c>
      <c r="R9" s="40">
        <f t="shared" si="8"/>
        <v>0.2058823529411765</v>
      </c>
      <c r="S9" s="45">
        <f>COUNTIF(Vertices[Clustering Coefficient],"&gt;= "&amp;R9)-COUNTIF(Vertices[Clustering Coefficient],"&gt;="&amp;R10)</f>
        <v>4</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4.9411764705882355</v>
      </c>
      <c r="G10" s="39">
        <f>COUNTIF(Vertices[In-Degree],"&gt;= "&amp;F10)-COUNTIF(Vertices[In-Degree],"&gt;="&amp;F11)</f>
        <v>1</v>
      </c>
      <c r="H10" s="38">
        <f t="shared" si="3"/>
        <v>7.529411764705883</v>
      </c>
      <c r="I10" s="39">
        <f>COUNTIF(Vertices[Out-Degree],"&gt;= "&amp;H10)-COUNTIF(Vertices[Out-Degree],"&gt;="&amp;H11)</f>
        <v>0</v>
      </c>
      <c r="J10" s="38">
        <f t="shared" si="4"/>
        <v>1329.5522171764705</v>
      </c>
      <c r="K10" s="39">
        <f>COUNTIF(Vertices[Betweenness Centrality],"&gt;= "&amp;J10)-COUNTIF(Vertices[Betweenness Centrality],"&gt;="&amp;J11)</f>
        <v>4</v>
      </c>
      <c r="L10" s="38">
        <f t="shared" si="5"/>
        <v>0.0016016470588235295</v>
      </c>
      <c r="M10" s="39">
        <f>COUNTIF(Vertices[Closeness Centrality],"&gt;= "&amp;L10)-COUNTIF(Vertices[Closeness Centrality],"&gt;="&amp;L11)</f>
        <v>19</v>
      </c>
      <c r="N10" s="38">
        <f t="shared" si="6"/>
        <v>0.008231</v>
      </c>
      <c r="O10" s="39">
        <f>COUNTIF(Vertices[Eigenvector Centrality],"&gt;= "&amp;N10)-COUNTIF(Vertices[Eigenvector Centrality],"&gt;="&amp;N11)</f>
        <v>1</v>
      </c>
      <c r="P10" s="38">
        <f t="shared" si="7"/>
        <v>1.2682401764705884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0"/>
      <c r="B11" s="110"/>
      <c r="D11" s="33">
        <f t="shared" si="1"/>
        <v>0</v>
      </c>
      <c r="E11" s="3">
        <f>COUNTIF(Vertices[Degree],"&gt;= "&amp;D11)-COUNTIF(Vertices[Degree],"&gt;="&amp;D12)</f>
        <v>0</v>
      </c>
      <c r="F11" s="40">
        <f t="shared" si="2"/>
        <v>5.5588235294117645</v>
      </c>
      <c r="G11" s="41">
        <f>COUNTIF(Vertices[In-Degree],"&gt;= "&amp;F11)-COUNTIF(Vertices[In-Degree],"&gt;="&amp;F12)</f>
        <v>5</v>
      </c>
      <c r="H11" s="40">
        <f t="shared" si="3"/>
        <v>8.470588235294118</v>
      </c>
      <c r="I11" s="41">
        <f>COUNTIF(Vertices[Out-Degree],"&gt;= "&amp;H11)-COUNTIF(Vertices[Out-Degree],"&gt;="&amp;H12)</f>
        <v>0</v>
      </c>
      <c r="J11" s="40">
        <f t="shared" si="4"/>
        <v>1495.7462443235295</v>
      </c>
      <c r="K11" s="41">
        <f>COUNTIF(Vertices[Betweenness Centrality],"&gt;= "&amp;J11)-COUNTIF(Vertices[Betweenness Centrality],"&gt;="&amp;J12)</f>
        <v>0</v>
      </c>
      <c r="L11" s="40">
        <f t="shared" si="5"/>
        <v>0.0016423529411764707</v>
      </c>
      <c r="M11" s="41">
        <f>COUNTIF(Vertices[Closeness Centrality],"&gt;= "&amp;L11)-COUNTIF(Vertices[Closeness Centrality],"&gt;="&amp;L12)</f>
        <v>7</v>
      </c>
      <c r="N11" s="40">
        <f t="shared" si="6"/>
        <v>0.009258</v>
      </c>
      <c r="O11" s="41">
        <f>COUNTIF(Vertices[Eigenvector Centrality],"&gt;= "&amp;N11)-COUNTIF(Vertices[Eigenvector Centrality],"&gt;="&amp;N12)</f>
        <v>0</v>
      </c>
      <c r="P11" s="40">
        <f t="shared" si="7"/>
        <v>1.395948823529412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170</v>
      </c>
      <c r="B12" s="35">
        <v>0.15978456014362658</v>
      </c>
      <c r="D12" s="33">
        <f t="shared" si="1"/>
        <v>0</v>
      </c>
      <c r="E12" s="3">
        <f>COUNTIF(Vertices[Degree],"&gt;= "&amp;D12)-COUNTIF(Vertices[Degree],"&gt;="&amp;D13)</f>
        <v>0</v>
      </c>
      <c r="F12" s="38">
        <f t="shared" si="2"/>
        <v>6.1764705882352935</v>
      </c>
      <c r="G12" s="39">
        <f>COUNTIF(Vertices[In-Degree],"&gt;= "&amp;F12)-COUNTIF(Vertices[In-Degree],"&gt;="&amp;F13)</f>
        <v>0</v>
      </c>
      <c r="H12" s="38">
        <f t="shared" si="3"/>
        <v>9.411764705882353</v>
      </c>
      <c r="I12" s="39">
        <f>COUNTIF(Vertices[Out-Degree],"&gt;= "&amp;H12)-COUNTIF(Vertices[Out-Degree],"&gt;="&amp;H13)</f>
        <v>8</v>
      </c>
      <c r="J12" s="38">
        <f t="shared" si="4"/>
        <v>1661.9402714705884</v>
      </c>
      <c r="K12" s="39">
        <f>COUNTIF(Vertices[Betweenness Centrality],"&gt;= "&amp;J12)-COUNTIF(Vertices[Betweenness Centrality],"&gt;="&amp;J13)</f>
        <v>0</v>
      </c>
      <c r="L12" s="38">
        <f t="shared" si="5"/>
        <v>0.0016830588235294118</v>
      </c>
      <c r="M12" s="39">
        <f>COUNTIF(Vertices[Closeness Centrality],"&gt;= "&amp;L12)-COUNTIF(Vertices[Closeness Centrality],"&gt;="&amp;L13)</f>
        <v>13</v>
      </c>
      <c r="N12" s="38">
        <f t="shared" si="6"/>
        <v>0.010285</v>
      </c>
      <c r="O12" s="39">
        <f>COUNTIF(Vertices[Eigenvector Centrality],"&gt;= "&amp;N12)-COUNTIF(Vertices[Eigenvector Centrality],"&gt;="&amp;N13)</f>
        <v>2</v>
      </c>
      <c r="P12" s="38">
        <f t="shared" si="7"/>
        <v>1.5236574705882355</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171</v>
      </c>
      <c r="B13" s="35">
        <v>0.2755417956656347</v>
      </c>
      <c r="D13" s="33">
        <f t="shared" si="1"/>
        <v>0</v>
      </c>
      <c r="E13" s="3">
        <f>COUNTIF(Vertices[Degree],"&gt;= "&amp;D13)-COUNTIF(Vertices[Degree],"&gt;="&amp;D14)</f>
        <v>0</v>
      </c>
      <c r="F13" s="40">
        <f t="shared" si="2"/>
        <v>6.7941176470588225</v>
      </c>
      <c r="G13" s="41">
        <f>COUNTIF(Vertices[In-Degree],"&gt;= "&amp;F13)-COUNTIF(Vertices[In-Degree],"&gt;="&amp;F14)</f>
        <v>2</v>
      </c>
      <c r="H13" s="40">
        <f t="shared" si="3"/>
        <v>10.352941176470589</v>
      </c>
      <c r="I13" s="41">
        <f>COUNTIF(Vertices[Out-Degree],"&gt;= "&amp;H13)-COUNTIF(Vertices[Out-Degree],"&gt;="&amp;H14)</f>
        <v>6</v>
      </c>
      <c r="J13" s="40">
        <f t="shared" si="4"/>
        <v>1828.1342986176473</v>
      </c>
      <c r="K13" s="41">
        <f>COUNTIF(Vertices[Betweenness Centrality],"&gt;= "&amp;J13)-COUNTIF(Vertices[Betweenness Centrality],"&gt;="&amp;J14)</f>
        <v>4</v>
      </c>
      <c r="L13" s="40">
        <f t="shared" si="5"/>
        <v>0.001723764705882353</v>
      </c>
      <c r="M13" s="41">
        <f>COUNTIF(Vertices[Closeness Centrality],"&gt;= "&amp;L13)-COUNTIF(Vertices[Closeness Centrality],"&gt;="&amp;L14)</f>
        <v>10</v>
      </c>
      <c r="N13" s="40">
        <f t="shared" si="6"/>
        <v>0.011312000000000001</v>
      </c>
      <c r="O13" s="41">
        <f>COUNTIF(Vertices[Eigenvector Centrality],"&gt;= "&amp;N13)-COUNTIF(Vertices[Eigenvector Centrality],"&gt;="&amp;N14)</f>
        <v>0</v>
      </c>
      <c r="P13" s="40">
        <f t="shared" si="7"/>
        <v>1.651366117647059</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110"/>
      <c r="B14" s="110"/>
      <c r="D14" s="33">
        <f t="shared" si="1"/>
        <v>0</v>
      </c>
      <c r="E14" s="3">
        <f>COUNTIF(Vertices[Degree],"&gt;= "&amp;D14)-COUNTIF(Vertices[Degree],"&gt;="&amp;D15)</f>
        <v>0</v>
      </c>
      <c r="F14" s="38">
        <f t="shared" si="2"/>
        <v>7.4117647058823515</v>
      </c>
      <c r="G14" s="39">
        <f>COUNTIF(Vertices[In-Degree],"&gt;= "&amp;F14)-COUNTIF(Vertices[In-Degree],"&gt;="&amp;F15)</f>
        <v>1</v>
      </c>
      <c r="H14" s="38">
        <f t="shared" si="3"/>
        <v>11.294117647058824</v>
      </c>
      <c r="I14" s="39">
        <f>COUNTIF(Vertices[Out-Degree],"&gt;= "&amp;H14)-COUNTIF(Vertices[Out-Degree],"&gt;="&amp;H15)</f>
        <v>2</v>
      </c>
      <c r="J14" s="38">
        <f t="shared" si="4"/>
        <v>1994.3283257647063</v>
      </c>
      <c r="K14" s="39">
        <f>COUNTIF(Vertices[Betweenness Centrality],"&gt;= "&amp;J14)-COUNTIF(Vertices[Betweenness Centrality],"&gt;="&amp;J15)</f>
        <v>1</v>
      </c>
      <c r="L14" s="38">
        <f t="shared" si="5"/>
        <v>0.0017644705882352942</v>
      </c>
      <c r="M14" s="39">
        <f>COUNTIF(Vertices[Closeness Centrality],"&gt;= "&amp;L14)-COUNTIF(Vertices[Closeness Centrality],"&gt;="&amp;L15)</f>
        <v>4</v>
      </c>
      <c r="N14" s="38">
        <f t="shared" si="6"/>
        <v>0.012339000000000001</v>
      </c>
      <c r="O14" s="39">
        <f>COUNTIF(Vertices[Eigenvector Centrality],"&gt;= "&amp;N14)-COUNTIF(Vertices[Eigenvector Centrality],"&gt;="&amp;N15)</f>
        <v>1</v>
      </c>
      <c r="P14" s="38">
        <f t="shared" si="7"/>
        <v>1.7790747647058827</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8.02941176470588</v>
      </c>
      <c r="G15" s="41">
        <f>COUNTIF(Vertices[In-Degree],"&gt;= "&amp;F15)-COUNTIF(Vertices[In-Degree],"&gt;="&amp;F16)</f>
        <v>0</v>
      </c>
      <c r="H15" s="40">
        <f t="shared" si="3"/>
        <v>12.23529411764706</v>
      </c>
      <c r="I15" s="41">
        <f>COUNTIF(Vertices[Out-Degree],"&gt;= "&amp;H15)-COUNTIF(Vertices[Out-Degree],"&gt;="&amp;H16)</f>
        <v>4</v>
      </c>
      <c r="J15" s="40">
        <f t="shared" si="4"/>
        <v>2160.522352911765</v>
      </c>
      <c r="K15" s="41">
        <f>COUNTIF(Vertices[Betweenness Centrality],"&gt;= "&amp;J15)-COUNTIF(Vertices[Betweenness Centrality],"&gt;="&amp;J16)</f>
        <v>2</v>
      </c>
      <c r="L15" s="40">
        <f t="shared" si="5"/>
        <v>0.0018051764705882354</v>
      </c>
      <c r="M15" s="41">
        <f>COUNTIF(Vertices[Closeness Centrality],"&gt;= "&amp;L15)-COUNTIF(Vertices[Closeness Centrality],"&gt;="&amp;L16)</f>
        <v>2</v>
      </c>
      <c r="N15" s="40">
        <f t="shared" si="6"/>
        <v>0.013366000000000001</v>
      </c>
      <c r="O15" s="41">
        <f>COUNTIF(Vertices[Eigenvector Centrality],"&gt;= "&amp;N15)-COUNTIF(Vertices[Eigenvector Centrality],"&gt;="&amp;N16)</f>
        <v>2</v>
      </c>
      <c r="P15" s="40">
        <f t="shared" si="7"/>
        <v>1.9067834117647062</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8.64705882352941</v>
      </c>
      <c r="G16" s="39">
        <f>COUNTIF(Vertices[In-Degree],"&gt;= "&amp;F16)-COUNTIF(Vertices[In-Degree],"&gt;="&amp;F17)</f>
        <v>3</v>
      </c>
      <c r="H16" s="38">
        <f t="shared" si="3"/>
        <v>13.176470588235295</v>
      </c>
      <c r="I16" s="39">
        <f>COUNTIF(Vertices[Out-Degree],"&gt;= "&amp;H16)-COUNTIF(Vertices[Out-Degree],"&gt;="&amp;H17)</f>
        <v>2</v>
      </c>
      <c r="J16" s="38">
        <f t="shared" si="4"/>
        <v>2326.716380058824</v>
      </c>
      <c r="K16" s="39">
        <f>COUNTIF(Vertices[Betweenness Centrality],"&gt;= "&amp;J16)-COUNTIF(Vertices[Betweenness Centrality],"&gt;="&amp;J17)</f>
        <v>1</v>
      </c>
      <c r="L16" s="38">
        <f t="shared" si="5"/>
        <v>0.0018458823529411766</v>
      </c>
      <c r="M16" s="39">
        <f>COUNTIF(Vertices[Closeness Centrality],"&gt;= "&amp;L16)-COUNTIF(Vertices[Closeness Centrality],"&gt;="&amp;L17)</f>
        <v>1</v>
      </c>
      <c r="N16" s="38">
        <f t="shared" si="6"/>
        <v>0.014393000000000001</v>
      </c>
      <c r="O16" s="39">
        <f>COUNTIF(Vertices[Eigenvector Centrality],"&gt;= "&amp;N16)-COUNTIF(Vertices[Eigenvector Centrality],"&gt;="&amp;N17)</f>
        <v>1</v>
      </c>
      <c r="P16" s="38">
        <f t="shared" si="7"/>
        <v>2.03449205882353</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35" t="s">
        <v>154</v>
      </c>
      <c r="B17" s="35">
        <v>182</v>
      </c>
      <c r="D17" s="33">
        <f t="shared" si="1"/>
        <v>0</v>
      </c>
      <c r="E17" s="3">
        <f>COUNTIF(Vertices[Degree],"&gt;= "&amp;D17)-COUNTIF(Vertices[Degree],"&gt;="&amp;D18)</f>
        <v>0</v>
      </c>
      <c r="F17" s="40">
        <f t="shared" si="2"/>
        <v>9.264705882352938</v>
      </c>
      <c r="G17" s="41">
        <f>COUNTIF(Vertices[In-Degree],"&gt;= "&amp;F17)-COUNTIF(Vertices[In-Degree],"&gt;="&amp;F18)</f>
        <v>0</v>
      </c>
      <c r="H17" s="40">
        <f t="shared" si="3"/>
        <v>14.11764705882353</v>
      </c>
      <c r="I17" s="41">
        <f>COUNTIF(Vertices[Out-Degree],"&gt;= "&amp;H17)-COUNTIF(Vertices[Out-Degree],"&gt;="&amp;H18)</f>
        <v>2</v>
      </c>
      <c r="J17" s="40">
        <f t="shared" si="4"/>
        <v>2492.910407205883</v>
      </c>
      <c r="K17" s="41">
        <f>COUNTIF(Vertices[Betweenness Centrality],"&gt;= "&amp;J17)-COUNTIF(Vertices[Betweenness Centrality],"&gt;="&amp;J18)</f>
        <v>0</v>
      </c>
      <c r="L17" s="40">
        <f t="shared" si="5"/>
        <v>0.0018865882352941178</v>
      </c>
      <c r="M17" s="41">
        <f>COUNTIF(Vertices[Closeness Centrality],"&gt;= "&amp;L17)-COUNTIF(Vertices[Closeness Centrality],"&gt;="&amp;L18)</f>
        <v>0</v>
      </c>
      <c r="N17" s="40">
        <f t="shared" si="6"/>
        <v>0.015420000000000001</v>
      </c>
      <c r="O17" s="41">
        <f>COUNTIF(Vertices[Eigenvector Centrality],"&gt;= "&amp;N17)-COUNTIF(Vertices[Eigenvector Centrality],"&gt;="&amp;N18)</f>
        <v>0</v>
      </c>
      <c r="P17" s="40">
        <f t="shared" si="7"/>
        <v>2.1622007058823534</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155</v>
      </c>
      <c r="B18" s="35">
        <v>788</v>
      </c>
      <c r="D18" s="33">
        <f t="shared" si="1"/>
        <v>0</v>
      </c>
      <c r="E18" s="3">
        <f>COUNTIF(Vertices[Degree],"&gt;= "&amp;D18)-COUNTIF(Vertices[Degree],"&gt;="&amp;D19)</f>
        <v>0</v>
      </c>
      <c r="F18" s="38">
        <f t="shared" si="2"/>
        <v>9.882352941176467</v>
      </c>
      <c r="G18" s="39">
        <f>COUNTIF(Vertices[In-Degree],"&gt;= "&amp;F18)-COUNTIF(Vertices[In-Degree],"&gt;="&amp;F19)</f>
        <v>2</v>
      </c>
      <c r="H18" s="38">
        <f t="shared" si="3"/>
        <v>15.058823529411766</v>
      </c>
      <c r="I18" s="39">
        <f>COUNTIF(Vertices[Out-Degree],"&gt;= "&amp;H18)-COUNTIF(Vertices[Out-Degree],"&gt;="&amp;H19)</f>
        <v>0</v>
      </c>
      <c r="J18" s="38">
        <f t="shared" si="4"/>
        <v>2659.104434352942</v>
      </c>
      <c r="K18" s="39">
        <f>COUNTIF(Vertices[Betweenness Centrality],"&gt;= "&amp;J18)-COUNTIF(Vertices[Betweenness Centrality],"&gt;="&amp;J19)</f>
        <v>1</v>
      </c>
      <c r="L18" s="38">
        <f t="shared" si="5"/>
        <v>0.001927294117647059</v>
      </c>
      <c r="M18" s="39">
        <f>COUNTIF(Vertices[Closeness Centrality],"&gt;= "&amp;L18)-COUNTIF(Vertices[Closeness Centrality],"&gt;="&amp;L19)</f>
        <v>0</v>
      </c>
      <c r="N18" s="38">
        <f t="shared" si="6"/>
        <v>0.016447</v>
      </c>
      <c r="O18" s="39">
        <f>COUNTIF(Vertices[Eigenvector Centrality],"&gt;= "&amp;N18)-COUNTIF(Vertices[Eigenvector Centrality],"&gt;="&amp;N19)</f>
        <v>0</v>
      </c>
      <c r="P18" s="38">
        <f t="shared" si="7"/>
        <v>2.289909352941177</v>
      </c>
      <c r="Q18" s="39">
        <f>COUNTIF(Vertices[PageRank],"&gt;= "&amp;P18)-COUNTIF(Vertices[PageRank],"&gt;="&amp;P19)</f>
        <v>1</v>
      </c>
      <c r="R18" s="38">
        <f t="shared" si="8"/>
        <v>0.4705882352941177</v>
      </c>
      <c r="S18" s="44">
        <f>COUNTIF(Vertices[Clustering Coefficient],"&gt;= "&amp;R18)-COUNTIF(Vertices[Clustering Coefficient],"&gt;="&amp;R19)</f>
        <v>2</v>
      </c>
      <c r="T18" s="38" t="e">
        <f ca="1" t="shared" si="9"/>
        <v>#REF!</v>
      </c>
      <c r="U18" s="39" t="e">
        <f ca="1" t="shared" si="0"/>
        <v>#REF!</v>
      </c>
    </row>
    <row r="19" spans="1:21" ht="15">
      <c r="A19" s="110"/>
      <c r="B19" s="110"/>
      <c r="D19" s="33">
        <f t="shared" si="1"/>
        <v>0</v>
      </c>
      <c r="E19" s="3">
        <f>COUNTIF(Vertices[Degree],"&gt;= "&amp;D19)-COUNTIF(Vertices[Degree],"&gt;="&amp;D20)</f>
        <v>0</v>
      </c>
      <c r="F19" s="40">
        <f t="shared" si="2"/>
        <v>10.499999999999996</v>
      </c>
      <c r="G19" s="41">
        <f>COUNTIF(Vertices[In-Degree],"&gt;= "&amp;F19)-COUNTIF(Vertices[In-Degree],"&gt;="&amp;F20)</f>
        <v>1</v>
      </c>
      <c r="H19" s="40">
        <f t="shared" si="3"/>
        <v>16</v>
      </c>
      <c r="I19" s="41">
        <f>COUNTIF(Vertices[Out-Degree],"&gt;= "&amp;H19)-COUNTIF(Vertices[Out-Degree],"&gt;="&amp;H20)</f>
        <v>0</v>
      </c>
      <c r="J19" s="40">
        <f t="shared" si="4"/>
        <v>2825.298461500001</v>
      </c>
      <c r="K19" s="41">
        <f>COUNTIF(Vertices[Betweenness Centrality],"&gt;= "&amp;J19)-COUNTIF(Vertices[Betweenness Centrality],"&gt;="&amp;J20)</f>
        <v>0</v>
      </c>
      <c r="L19" s="40">
        <f t="shared" si="5"/>
        <v>0.001968</v>
      </c>
      <c r="M19" s="41">
        <f>COUNTIF(Vertices[Closeness Centrality],"&gt;= "&amp;L19)-COUNTIF(Vertices[Closeness Centrality],"&gt;="&amp;L20)</f>
        <v>1</v>
      </c>
      <c r="N19" s="40">
        <f t="shared" si="6"/>
        <v>0.017474</v>
      </c>
      <c r="O19" s="41">
        <f>COUNTIF(Vertices[Eigenvector Centrality],"&gt;= "&amp;N19)-COUNTIF(Vertices[Eigenvector Centrality],"&gt;="&amp;N20)</f>
        <v>0</v>
      </c>
      <c r="P19" s="40">
        <f t="shared" si="7"/>
        <v>2.4176180000000005</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35" t="s">
        <v>156</v>
      </c>
      <c r="B20" s="35">
        <v>6</v>
      </c>
      <c r="D20" s="33">
        <f t="shared" si="1"/>
        <v>0</v>
      </c>
      <c r="E20" s="3">
        <f>COUNTIF(Vertices[Degree],"&gt;= "&amp;D20)-COUNTIF(Vertices[Degree],"&gt;="&amp;D21)</f>
        <v>0</v>
      </c>
      <c r="F20" s="38">
        <f t="shared" si="2"/>
        <v>11.117647058823525</v>
      </c>
      <c r="G20" s="39">
        <f>COUNTIF(Vertices[In-Degree],"&gt;= "&amp;F20)-COUNTIF(Vertices[In-Degree],"&gt;="&amp;F21)</f>
        <v>0</v>
      </c>
      <c r="H20" s="38">
        <f t="shared" si="3"/>
        <v>16.941176470588236</v>
      </c>
      <c r="I20" s="39">
        <f>COUNTIF(Vertices[Out-Degree],"&gt;= "&amp;H20)-COUNTIF(Vertices[Out-Degree],"&gt;="&amp;H21)</f>
        <v>2</v>
      </c>
      <c r="J20" s="38">
        <f t="shared" si="4"/>
        <v>2991.49248864706</v>
      </c>
      <c r="K20" s="39">
        <f>COUNTIF(Vertices[Betweenness Centrality],"&gt;= "&amp;J20)-COUNTIF(Vertices[Betweenness Centrality],"&gt;="&amp;J21)</f>
        <v>2</v>
      </c>
      <c r="L20" s="38">
        <f t="shared" si="5"/>
        <v>0.002008705882352941</v>
      </c>
      <c r="M20" s="39">
        <f>COUNTIF(Vertices[Closeness Centrality],"&gt;= "&amp;L20)-COUNTIF(Vertices[Closeness Centrality],"&gt;="&amp;L21)</f>
        <v>4</v>
      </c>
      <c r="N20" s="38">
        <f t="shared" si="6"/>
        <v>0.018501</v>
      </c>
      <c r="O20" s="39">
        <f>COUNTIF(Vertices[Eigenvector Centrality],"&gt;= "&amp;N20)-COUNTIF(Vertices[Eigenvector Centrality],"&gt;="&amp;N21)</f>
        <v>0</v>
      </c>
      <c r="P20" s="38">
        <f t="shared" si="7"/>
        <v>2.545326647058824</v>
      </c>
      <c r="Q20" s="39">
        <f>COUNTIF(Vertices[PageRank],"&gt;= "&amp;P20)-COUNTIF(Vertices[PageRank],"&gt;="&amp;P21)</f>
        <v>3</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157</v>
      </c>
      <c r="B21" s="35">
        <v>3.333112</v>
      </c>
      <c r="D21" s="33">
        <f t="shared" si="1"/>
        <v>0</v>
      </c>
      <c r="E21" s="3">
        <f>COUNTIF(Vertices[Degree],"&gt;= "&amp;D21)-COUNTIF(Vertices[Degree],"&gt;="&amp;D22)</f>
        <v>0</v>
      </c>
      <c r="F21" s="40">
        <f t="shared" si="2"/>
        <v>11.735294117647054</v>
      </c>
      <c r="G21" s="41">
        <f>COUNTIF(Vertices[In-Degree],"&gt;= "&amp;F21)-COUNTIF(Vertices[In-Degree],"&gt;="&amp;F22)</f>
        <v>4</v>
      </c>
      <c r="H21" s="40">
        <f t="shared" si="3"/>
        <v>17.88235294117647</v>
      </c>
      <c r="I21" s="41">
        <f>COUNTIF(Vertices[Out-Degree],"&gt;= "&amp;H21)-COUNTIF(Vertices[Out-Degree],"&gt;="&amp;H22)</f>
        <v>0</v>
      </c>
      <c r="J21" s="40">
        <f t="shared" si="4"/>
        <v>3157.686515794119</v>
      </c>
      <c r="K21" s="41">
        <f>COUNTIF(Vertices[Betweenness Centrality],"&gt;= "&amp;J21)-COUNTIF(Vertices[Betweenness Centrality],"&gt;="&amp;J22)</f>
        <v>1</v>
      </c>
      <c r="L21" s="40">
        <f t="shared" si="5"/>
        <v>0.002049411764705882</v>
      </c>
      <c r="M21" s="41">
        <f>COUNTIF(Vertices[Closeness Centrality],"&gt;= "&amp;L21)-COUNTIF(Vertices[Closeness Centrality],"&gt;="&amp;L22)</f>
        <v>1</v>
      </c>
      <c r="N21" s="40">
        <f t="shared" si="6"/>
        <v>0.019528</v>
      </c>
      <c r="O21" s="41">
        <f>COUNTIF(Vertices[Eigenvector Centrality],"&gt;= "&amp;N21)-COUNTIF(Vertices[Eigenvector Centrality],"&gt;="&amp;N22)</f>
        <v>0</v>
      </c>
      <c r="P21" s="40">
        <f t="shared" si="7"/>
        <v>2.6730352941176476</v>
      </c>
      <c r="Q21" s="41">
        <f>COUNTIF(Vertices[PageRank],"&gt;= "&amp;P21)-COUNTIF(Vertices[PageRank],"&gt;="&amp;P22)</f>
        <v>4</v>
      </c>
      <c r="R21" s="40">
        <f t="shared" si="8"/>
        <v>0.5588235294117647</v>
      </c>
      <c r="S21" s="45">
        <f>COUNTIF(Vertices[Clustering Coefficient],"&gt;= "&amp;R21)-COUNTIF(Vertices[Clustering Coefficient],"&gt;="&amp;R22)</f>
        <v>1</v>
      </c>
      <c r="T21" s="40" t="e">
        <f ca="1" t="shared" si="9"/>
        <v>#REF!</v>
      </c>
      <c r="U21" s="41" t="e">
        <f ca="1" t="shared" si="0"/>
        <v>#REF!</v>
      </c>
    </row>
    <row r="22" spans="1:21" ht="15">
      <c r="A22" s="110"/>
      <c r="B22" s="110"/>
      <c r="D22" s="33">
        <f t="shared" si="1"/>
        <v>0</v>
      </c>
      <c r="E22" s="3">
        <f>COUNTIF(Vertices[Degree],"&gt;= "&amp;D22)-COUNTIF(Vertices[Degree],"&gt;="&amp;D23)</f>
        <v>0</v>
      </c>
      <c r="F22" s="38">
        <f t="shared" si="2"/>
        <v>12.352941176470583</v>
      </c>
      <c r="G22" s="39">
        <f>COUNTIF(Vertices[In-Degree],"&gt;= "&amp;F22)-COUNTIF(Vertices[In-Degree],"&gt;="&amp;F23)</f>
        <v>0</v>
      </c>
      <c r="H22" s="38">
        <f t="shared" si="3"/>
        <v>18.823529411764707</v>
      </c>
      <c r="I22" s="39">
        <f>COUNTIF(Vertices[Out-Degree],"&gt;= "&amp;H22)-COUNTIF(Vertices[Out-Degree],"&gt;="&amp;H23)</f>
        <v>2</v>
      </c>
      <c r="J22" s="38">
        <f t="shared" si="4"/>
        <v>3323.8805429411777</v>
      </c>
      <c r="K22" s="39">
        <f>COUNTIF(Vertices[Betweenness Centrality],"&gt;= "&amp;J22)-COUNTIF(Vertices[Betweenness Centrality],"&gt;="&amp;J23)</f>
        <v>2</v>
      </c>
      <c r="L22" s="38">
        <f t="shared" si="5"/>
        <v>0.002090117647058823</v>
      </c>
      <c r="M22" s="39">
        <f>COUNTIF(Vertices[Closeness Centrality],"&gt;= "&amp;L22)-COUNTIF(Vertices[Closeness Centrality],"&gt;="&amp;L23)</f>
        <v>0</v>
      </c>
      <c r="N22" s="38">
        <f t="shared" si="6"/>
        <v>0.020555</v>
      </c>
      <c r="O22" s="39">
        <f>COUNTIF(Vertices[Eigenvector Centrality],"&gt;= "&amp;N22)-COUNTIF(Vertices[Eigenvector Centrality],"&gt;="&amp;N23)</f>
        <v>0</v>
      </c>
      <c r="P22" s="38">
        <f t="shared" si="7"/>
        <v>2.800743941176471</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0.019610224030113532</v>
      </c>
      <c r="D23" s="33">
        <f t="shared" si="1"/>
        <v>0</v>
      </c>
      <c r="E23" s="3">
        <f>COUNTIF(Vertices[Degree],"&gt;= "&amp;D23)-COUNTIF(Vertices[Degree],"&gt;="&amp;D24)</f>
        <v>0</v>
      </c>
      <c r="F23" s="40">
        <f t="shared" si="2"/>
        <v>12.970588235294112</v>
      </c>
      <c r="G23" s="41">
        <f>COUNTIF(Vertices[In-Degree],"&gt;= "&amp;F23)-COUNTIF(Vertices[In-Degree],"&gt;="&amp;F24)</f>
        <v>2</v>
      </c>
      <c r="H23" s="40">
        <f t="shared" si="3"/>
        <v>19.764705882352942</v>
      </c>
      <c r="I23" s="41">
        <f>COUNTIF(Vertices[Out-Degree],"&gt;= "&amp;H23)-COUNTIF(Vertices[Out-Degree],"&gt;="&amp;H24)</f>
        <v>2</v>
      </c>
      <c r="J23" s="40">
        <f t="shared" si="4"/>
        <v>3490.0745700882367</v>
      </c>
      <c r="K23" s="41">
        <f>COUNTIF(Vertices[Betweenness Centrality],"&gt;= "&amp;J23)-COUNTIF(Vertices[Betweenness Centrality],"&gt;="&amp;J24)</f>
        <v>3</v>
      </c>
      <c r="L23" s="40">
        <f t="shared" si="5"/>
        <v>0.002130823529411764</v>
      </c>
      <c r="M23" s="41">
        <f>COUNTIF(Vertices[Closeness Centrality],"&gt;= "&amp;L23)-COUNTIF(Vertices[Closeness Centrality],"&gt;="&amp;L24)</f>
        <v>3</v>
      </c>
      <c r="N23" s="40">
        <f t="shared" si="6"/>
        <v>0.021582</v>
      </c>
      <c r="O23" s="41">
        <f>COUNTIF(Vertices[Eigenvector Centrality],"&gt;= "&amp;N23)-COUNTIF(Vertices[Eigenvector Centrality],"&gt;="&amp;N24)</f>
        <v>0</v>
      </c>
      <c r="P23" s="40">
        <f t="shared" si="7"/>
        <v>2.9284525882352948</v>
      </c>
      <c r="Q23" s="41">
        <f>COUNTIF(Vertices[PageRank],"&gt;= "&amp;P23)-COUNTIF(Vertices[PageRank],"&gt;="&amp;P24)</f>
        <v>2</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1478</v>
      </c>
      <c r="B24" s="35">
        <v>0.341094</v>
      </c>
      <c r="D24" s="33">
        <f t="shared" si="1"/>
        <v>0</v>
      </c>
      <c r="E24" s="3">
        <f>COUNTIF(Vertices[Degree],"&gt;= "&amp;D24)-COUNTIF(Vertices[Degree],"&gt;="&amp;D25)</f>
        <v>0</v>
      </c>
      <c r="F24" s="38">
        <f t="shared" si="2"/>
        <v>13.588235294117641</v>
      </c>
      <c r="G24" s="39">
        <f>COUNTIF(Vertices[In-Degree],"&gt;= "&amp;F24)-COUNTIF(Vertices[In-Degree],"&gt;="&amp;F25)</f>
        <v>2</v>
      </c>
      <c r="H24" s="38">
        <f t="shared" si="3"/>
        <v>20.705882352941178</v>
      </c>
      <c r="I24" s="39">
        <f>COUNTIF(Vertices[Out-Degree],"&gt;= "&amp;H24)-COUNTIF(Vertices[Out-Degree],"&gt;="&amp;H25)</f>
        <v>2</v>
      </c>
      <c r="J24" s="38">
        <f t="shared" si="4"/>
        <v>3656.2685972352956</v>
      </c>
      <c r="K24" s="39">
        <f>COUNTIF(Vertices[Betweenness Centrality],"&gt;= "&amp;J24)-COUNTIF(Vertices[Betweenness Centrality],"&gt;="&amp;J25)</f>
        <v>0</v>
      </c>
      <c r="L24" s="38">
        <f t="shared" si="5"/>
        <v>0.002171529411764705</v>
      </c>
      <c r="M24" s="39">
        <f>COUNTIF(Vertices[Closeness Centrality],"&gt;= "&amp;L24)-COUNTIF(Vertices[Closeness Centrality],"&gt;="&amp;L25)</f>
        <v>3</v>
      </c>
      <c r="N24" s="38">
        <f t="shared" si="6"/>
        <v>0.022609</v>
      </c>
      <c r="O24" s="39">
        <f>COUNTIF(Vertices[Eigenvector Centrality],"&gt;= "&amp;N24)-COUNTIF(Vertices[Eigenvector Centrality],"&gt;="&amp;N25)</f>
        <v>2</v>
      </c>
      <c r="P24" s="38">
        <f t="shared" si="7"/>
        <v>3.0561612352941183</v>
      </c>
      <c r="Q24" s="39">
        <f>COUNTIF(Vertices[PageRank],"&gt;= "&amp;P24)-COUNTIF(Vertices[PageRank],"&gt;="&amp;P25)</f>
        <v>4</v>
      </c>
      <c r="R24" s="38">
        <f t="shared" si="8"/>
        <v>0.6470588235294118</v>
      </c>
      <c r="S24" s="44">
        <f>COUNTIF(Vertices[Clustering Coefficient],"&gt;= "&amp;R24)-COUNTIF(Vertices[Clustering Coefficient],"&gt;="&amp;R25)</f>
        <v>2</v>
      </c>
      <c r="T24" s="38" t="e">
        <f ca="1" t="shared" si="9"/>
        <v>#REF!</v>
      </c>
      <c r="U24" s="39" t="e">
        <f ca="1" t="shared" si="0"/>
        <v>#REF!</v>
      </c>
    </row>
    <row r="25" spans="1:21" ht="15">
      <c r="A25" s="110"/>
      <c r="B25" s="110"/>
      <c r="D25" s="33">
        <f t="shared" si="1"/>
        <v>0</v>
      </c>
      <c r="E25" s="3">
        <f>COUNTIF(Vertices[Degree],"&gt;= "&amp;D25)-COUNTIF(Vertices[Degree],"&gt;="&amp;D26)</f>
        <v>0</v>
      </c>
      <c r="F25" s="40">
        <f t="shared" si="2"/>
        <v>14.20588235294117</v>
      </c>
      <c r="G25" s="41">
        <f>COUNTIF(Vertices[In-Degree],"&gt;= "&amp;F25)-COUNTIF(Vertices[In-Degree],"&gt;="&amp;F26)</f>
        <v>0</v>
      </c>
      <c r="H25" s="40">
        <f t="shared" si="3"/>
        <v>21.647058823529413</v>
      </c>
      <c r="I25" s="41">
        <f>COUNTIF(Vertices[Out-Degree],"&gt;= "&amp;H25)-COUNTIF(Vertices[Out-Degree],"&gt;="&amp;H26)</f>
        <v>0</v>
      </c>
      <c r="J25" s="40">
        <f t="shared" si="4"/>
        <v>3822.4626243823545</v>
      </c>
      <c r="K25" s="41">
        <f>COUNTIF(Vertices[Betweenness Centrality],"&gt;= "&amp;J25)-COUNTIF(Vertices[Betweenness Centrality],"&gt;="&amp;J26)</f>
        <v>1</v>
      </c>
      <c r="L25" s="40">
        <f t="shared" si="5"/>
        <v>0.002212235294117646</v>
      </c>
      <c r="M25" s="41">
        <f>COUNTIF(Vertices[Closeness Centrality],"&gt;= "&amp;L25)-COUNTIF(Vertices[Closeness Centrality],"&gt;="&amp;L26)</f>
        <v>6</v>
      </c>
      <c r="N25" s="40">
        <f t="shared" si="6"/>
        <v>0.023636</v>
      </c>
      <c r="O25" s="41">
        <f>COUNTIF(Vertices[Eigenvector Centrality],"&gt;= "&amp;N25)-COUNTIF(Vertices[Eigenvector Centrality],"&gt;="&amp;N26)</f>
        <v>0</v>
      </c>
      <c r="P25" s="40">
        <f t="shared" si="7"/>
        <v>3.183869882352942</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1479</v>
      </c>
      <c r="B26" s="35" t="s">
        <v>1493</v>
      </c>
      <c r="D26" s="33">
        <f t="shared" si="1"/>
        <v>0</v>
      </c>
      <c r="E26" s="3">
        <f>COUNTIF(Vertices[Degree],"&gt;= "&amp;D26)-COUNTIF(Vertices[Degree],"&gt;="&amp;D27)</f>
        <v>0</v>
      </c>
      <c r="F26" s="38">
        <f t="shared" si="2"/>
        <v>14.8235294117647</v>
      </c>
      <c r="G26" s="39">
        <f>COUNTIF(Vertices[In-Degree],"&gt;= "&amp;F26)-COUNTIF(Vertices[In-Degree],"&gt;="&amp;F27)</f>
        <v>2</v>
      </c>
      <c r="H26" s="38">
        <f t="shared" si="3"/>
        <v>22.58823529411765</v>
      </c>
      <c r="I26" s="39">
        <f>COUNTIF(Vertices[Out-Degree],"&gt;= "&amp;H26)-COUNTIF(Vertices[Out-Degree],"&gt;="&amp;H27)</f>
        <v>2</v>
      </c>
      <c r="J26" s="38">
        <f t="shared" si="4"/>
        <v>3988.6566515294135</v>
      </c>
      <c r="K26" s="39">
        <f>COUNTIF(Vertices[Betweenness Centrality],"&gt;= "&amp;J26)-COUNTIF(Vertices[Betweenness Centrality],"&gt;="&amp;J27)</f>
        <v>0</v>
      </c>
      <c r="L26" s="38">
        <f t="shared" si="5"/>
        <v>0.002252941176470587</v>
      </c>
      <c r="M26" s="39">
        <f>COUNTIF(Vertices[Closeness Centrality],"&gt;= "&amp;L26)-COUNTIF(Vertices[Closeness Centrality],"&gt;="&amp;L27)</f>
        <v>4</v>
      </c>
      <c r="N26" s="38">
        <f t="shared" si="6"/>
        <v>0.024663</v>
      </c>
      <c r="O26" s="39">
        <f>COUNTIF(Vertices[Eigenvector Centrality],"&gt;= "&amp;N26)-COUNTIF(Vertices[Eigenvector Centrality],"&gt;="&amp;N27)</f>
        <v>0</v>
      </c>
      <c r="P26" s="38">
        <f t="shared" si="7"/>
        <v>3.3115785294117654</v>
      </c>
      <c r="Q26" s="39">
        <f>COUNTIF(Vertices[PageRank],"&gt;= "&amp;P26)-COUNTIF(Vertices[PageRank],"&gt;="&amp;P27)</f>
        <v>3</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0"/>
      <c r="B27" s="110"/>
      <c r="D27" s="33">
        <f t="shared" si="1"/>
        <v>0</v>
      </c>
      <c r="E27" s="3">
        <f>COUNTIF(Vertices[Degree],"&gt;= "&amp;D27)-COUNTIF(Vertices[Degree],"&gt;="&amp;D28)</f>
        <v>0</v>
      </c>
      <c r="F27" s="40">
        <f t="shared" si="2"/>
        <v>15.441176470588228</v>
      </c>
      <c r="G27" s="41">
        <f>COUNTIF(Vertices[In-Degree],"&gt;= "&amp;F27)-COUNTIF(Vertices[In-Degree],"&gt;="&amp;F28)</f>
        <v>0</v>
      </c>
      <c r="H27" s="40">
        <f t="shared" si="3"/>
        <v>23.529411764705884</v>
      </c>
      <c r="I27" s="41">
        <f>COUNTIF(Vertices[Out-Degree],"&gt;= "&amp;H27)-COUNTIF(Vertices[Out-Degree],"&gt;="&amp;H28)</f>
        <v>0</v>
      </c>
      <c r="J27" s="40">
        <f t="shared" si="4"/>
        <v>4154.850678676472</v>
      </c>
      <c r="K27" s="41">
        <f>COUNTIF(Vertices[Betweenness Centrality],"&gt;= "&amp;J27)-COUNTIF(Vertices[Betweenness Centrality],"&gt;="&amp;J28)</f>
        <v>0</v>
      </c>
      <c r="L27" s="40">
        <f t="shared" si="5"/>
        <v>0.002293647058823528</v>
      </c>
      <c r="M27" s="41">
        <f>COUNTIF(Vertices[Closeness Centrality],"&gt;= "&amp;L27)-COUNTIF(Vertices[Closeness Centrality],"&gt;="&amp;L28)</f>
        <v>3</v>
      </c>
      <c r="N27" s="40">
        <f t="shared" si="6"/>
        <v>0.02569</v>
      </c>
      <c r="O27" s="41">
        <f>COUNTIF(Vertices[Eigenvector Centrality],"&gt;= "&amp;N27)-COUNTIF(Vertices[Eigenvector Centrality],"&gt;="&amp;N28)</f>
        <v>1</v>
      </c>
      <c r="P27" s="40">
        <f t="shared" si="7"/>
        <v>3.439287176470589</v>
      </c>
      <c r="Q27" s="41">
        <f>COUNTIF(Vertices[PageRank],"&gt;= "&amp;P27)-COUNTIF(Vertices[PageRank],"&gt;="&amp;P28)</f>
        <v>4</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1480</v>
      </c>
      <c r="B28" s="35" t="s">
        <v>1644</v>
      </c>
      <c r="D28" s="33">
        <f t="shared" si="1"/>
        <v>0</v>
      </c>
      <c r="E28" s="3">
        <f>COUNTIF(Vertices[Degree],"&gt;= "&amp;D28)-COUNTIF(Vertices[Degree],"&gt;="&amp;D29)</f>
        <v>0</v>
      </c>
      <c r="F28" s="38">
        <f t="shared" si="2"/>
        <v>16.058823529411757</v>
      </c>
      <c r="G28" s="39">
        <f>COUNTIF(Vertices[In-Degree],"&gt;= "&amp;F28)-COUNTIF(Vertices[In-Degree],"&gt;="&amp;F29)</f>
        <v>0</v>
      </c>
      <c r="H28" s="38">
        <f t="shared" si="3"/>
        <v>24.47058823529412</v>
      </c>
      <c r="I28" s="39">
        <f>COUNTIF(Vertices[Out-Degree],"&gt;= "&amp;H28)-COUNTIF(Vertices[Out-Degree],"&gt;="&amp;H29)</f>
        <v>1</v>
      </c>
      <c r="J28" s="38">
        <f t="shared" si="4"/>
        <v>4321.04470582353</v>
      </c>
      <c r="K28" s="39">
        <f>COUNTIF(Vertices[Betweenness Centrality],"&gt;= "&amp;J28)-COUNTIF(Vertices[Betweenness Centrality],"&gt;="&amp;J29)</f>
        <v>0</v>
      </c>
      <c r="L28" s="38">
        <f t="shared" si="5"/>
        <v>0.002334352941176469</v>
      </c>
      <c r="M28" s="39">
        <f>COUNTIF(Vertices[Closeness Centrality],"&gt;= "&amp;L28)-COUNTIF(Vertices[Closeness Centrality],"&gt;="&amp;L29)</f>
        <v>4</v>
      </c>
      <c r="N28" s="38">
        <f t="shared" si="6"/>
        <v>0.026717</v>
      </c>
      <c r="O28" s="39">
        <f>COUNTIF(Vertices[Eigenvector Centrality],"&gt;= "&amp;N28)-COUNTIF(Vertices[Eigenvector Centrality],"&gt;="&amp;N29)</f>
        <v>0</v>
      </c>
      <c r="P28" s="38">
        <f t="shared" si="7"/>
        <v>3.5669958235294126</v>
      </c>
      <c r="Q28" s="39">
        <f>COUNTIF(Vertices[PageRank],"&gt;= "&amp;P28)-COUNTIF(Vertices[PageRank],"&gt;="&amp;P29)</f>
        <v>4</v>
      </c>
      <c r="R28" s="38">
        <f t="shared" si="8"/>
        <v>0.7647058823529412</v>
      </c>
      <c r="S28" s="44">
        <f>COUNTIF(Vertices[Clustering Coefficient],"&gt;= "&amp;R28)-COUNTIF(Vertices[Clustering Coefficient],"&gt;="&amp;R29)</f>
        <v>0</v>
      </c>
      <c r="T28" s="38" t="e">
        <f ca="1" t="shared" si="9"/>
        <v>#REF!</v>
      </c>
      <c r="U28" s="39" t="e">
        <f ca="1" t="shared" si="10"/>
        <v>#REF!</v>
      </c>
    </row>
    <row r="29" spans="1:21" ht="15">
      <c r="A29" s="110"/>
      <c r="B29" s="110"/>
      <c r="D29" s="33">
        <f t="shared" si="1"/>
        <v>0</v>
      </c>
      <c r="E29" s="3">
        <f>COUNTIF(Vertices[Degree],"&gt;= "&amp;D29)-COUNTIF(Vertices[Degree],"&gt;="&amp;D30)</f>
        <v>0</v>
      </c>
      <c r="F29" s="40">
        <f t="shared" si="2"/>
        <v>16.676470588235286</v>
      </c>
      <c r="G29" s="41">
        <f>COUNTIF(Vertices[In-Degree],"&gt;= "&amp;F29)-COUNTIF(Vertices[In-Degree],"&gt;="&amp;F30)</f>
        <v>2</v>
      </c>
      <c r="H29" s="40">
        <f t="shared" si="3"/>
        <v>25.411764705882355</v>
      </c>
      <c r="I29" s="41">
        <f>COUNTIF(Vertices[Out-Degree],"&gt;= "&amp;H29)-COUNTIF(Vertices[Out-Degree],"&gt;="&amp;H30)</f>
        <v>2</v>
      </c>
      <c r="J29" s="40">
        <f t="shared" si="4"/>
        <v>4487.238732970589</v>
      </c>
      <c r="K29" s="41">
        <f>COUNTIF(Vertices[Betweenness Centrality],"&gt;= "&amp;J29)-COUNTIF(Vertices[Betweenness Centrality],"&gt;="&amp;J30)</f>
        <v>0</v>
      </c>
      <c r="L29" s="40">
        <f t="shared" si="5"/>
        <v>0.00237505882352941</v>
      </c>
      <c r="M29" s="41">
        <f>COUNTIF(Vertices[Closeness Centrality],"&gt;= "&amp;L29)-COUNTIF(Vertices[Closeness Centrality],"&gt;="&amp;L30)</f>
        <v>2</v>
      </c>
      <c r="N29" s="40">
        <f t="shared" si="6"/>
        <v>0.027744</v>
      </c>
      <c r="O29" s="41">
        <f>COUNTIF(Vertices[Eigenvector Centrality],"&gt;= "&amp;N29)-COUNTIF(Vertices[Eigenvector Centrality],"&gt;="&amp;N30)</f>
        <v>2</v>
      </c>
      <c r="P29" s="40">
        <f t="shared" si="7"/>
        <v>3.694704470588236</v>
      </c>
      <c r="Q29" s="41">
        <f>COUNTIF(Vertices[PageRank],"&gt;= "&amp;P29)-COUNTIF(Vertices[PageRank],"&gt;="&amp;P30)</f>
        <v>4</v>
      </c>
      <c r="R29" s="40">
        <f t="shared" si="8"/>
        <v>0.7941176470588236</v>
      </c>
      <c r="S29" s="45">
        <f>COUNTIF(Vertices[Clustering Coefficient],"&gt;= "&amp;R29)-COUNTIF(Vertices[Clustering Coefficient],"&gt;="&amp;R30)</f>
        <v>2</v>
      </c>
      <c r="T29" s="40" t="e">
        <f ca="1" t="shared" si="9"/>
        <v>#REF!</v>
      </c>
      <c r="U29" s="41" t="e">
        <f ca="1" t="shared" si="10"/>
        <v>#REF!</v>
      </c>
    </row>
    <row r="30" spans="1:21" ht="15">
      <c r="A30" s="35" t="s">
        <v>1481</v>
      </c>
      <c r="B30" s="35" t="s">
        <v>1640</v>
      </c>
      <c r="D30" s="33">
        <f t="shared" si="1"/>
        <v>0</v>
      </c>
      <c r="E30" s="3">
        <f>COUNTIF(Vertices[Degree],"&gt;= "&amp;D30)-COUNTIF(Vertices[Degree],"&gt;="&amp;D31)</f>
        <v>0</v>
      </c>
      <c r="F30" s="38">
        <f t="shared" si="2"/>
        <v>17.294117647058815</v>
      </c>
      <c r="G30" s="39">
        <f>COUNTIF(Vertices[In-Degree],"&gt;= "&amp;F30)-COUNTIF(Vertices[In-Degree],"&gt;="&amp;F31)</f>
        <v>0</v>
      </c>
      <c r="H30" s="38">
        <f t="shared" si="3"/>
        <v>26.35294117647059</v>
      </c>
      <c r="I30" s="39">
        <f>COUNTIF(Vertices[Out-Degree],"&gt;= "&amp;H30)-COUNTIF(Vertices[Out-Degree],"&gt;="&amp;H31)</f>
        <v>1</v>
      </c>
      <c r="J30" s="38">
        <f t="shared" si="4"/>
        <v>4653.432760117647</v>
      </c>
      <c r="K30" s="39">
        <f>COUNTIF(Vertices[Betweenness Centrality],"&gt;= "&amp;J30)-COUNTIF(Vertices[Betweenness Centrality],"&gt;="&amp;J31)</f>
        <v>0</v>
      </c>
      <c r="L30" s="38">
        <f t="shared" si="5"/>
        <v>0.0024157647058823508</v>
      </c>
      <c r="M30" s="39">
        <f>COUNTIF(Vertices[Closeness Centrality],"&gt;= "&amp;L30)-COUNTIF(Vertices[Closeness Centrality],"&gt;="&amp;L31)</f>
        <v>1</v>
      </c>
      <c r="N30" s="38">
        <f t="shared" si="6"/>
        <v>0.028771</v>
      </c>
      <c r="O30" s="39">
        <f>COUNTIF(Vertices[Eigenvector Centrality],"&gt;= "&amp;N30)-COUNTIF(Vertices[Eigenvector Centrality],"&gt;="&amp;N31)</f>
        <v>2</v>
      </c>
      <c r="P30" s="38">
        <f t="shared" si="7"/>
        <v>3.8224131176470597</v>
      </c>
      <c r="Q30" s="39">
        <f>COUNTIF(Vertices[PageRank],"&gt;= "&amp;P30)-COUNTIF(Vertices[PageRank],"&gt;="&amp;P31)</f>
        <v>2</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1482</v>
      </c>
      <c r="B31" s="35" t="s">
        <v>938</v>
      </c>
      <c r="D31" s="33">
        <f t="shared" si="1"/>
        <v>0</v>
      </c>
      <c r="E31" s="3">
        <f>COUNTIF(Vertices[Degree],"&gt;= "&amp;D31)-COUNTIF(Vertices[Degree],"&gt;="&amp;D32)</f>
        <v>0</v>
      </c>
      <c r="F31" s="40">
        <f t="shared" si="2"/>
        <v>17.911764705882344</v>
      </c>
      <c r="G31" s="41">
        <f>COUNTIF(Vertices[In-Degree],"&gt;= "&amp;F31)-COUNTIF(Vertices[In-Degree],"&gt;="&amp;F32)</f>
        <v>1</v>
      </c>
      <c r="H31" s="40">
        <f t="shared" si="3"/>
        <v>27.294117647058826</v>
      </c>
      <c r="I31" s="41">
        <f>COUNTIF(Vertices[Out-Degree],"&gt;= "&amp;H31)-COUNTIF(Vertices[Out-Degree],"&gt;="&amp;H32)</f>
        <v>0</v>
      </c>
      <c r="J31" s="40">
        <f t="shared" si="4"/>
        <v>4819.626787264706</v>
      </c>
      <c r="K31" s="41">
        <f>COUNTIF(Vertices[Betweenness Centrality],"&gt;= "&amp;J31)-COUNTIF(Vertices[Betweenness Centrality],"&gt;="&amp;J32)</f>
        <v>0</v>
      </c>
      <c r="L31" s="40">
        <f t="shared" si="5"/>
        <v>0.0024564705882352917</v>
      </c>
      <c r="M31" s="41">
        <f>COUNTIF(Vertices[Closeness Centrality],"&gt;= "&amp;L31)-COUNTIF(Vertices[Closeness Centrality],"&gt;="&amp;L32)</f>
        <v>2</v>
      </c>
      <c r="N31" s="40">
        <f t="shared" si="6"/>
        <v>0.029798</v>
      </c>
      <c r="O31" s="41">
        <f>COUNTIF(Vertices[Eigenvector Centrality],"&gt;= "&amp;N31)-COUNTIF(Vertices[Eigenvector Centrality],"&gt;="&amp;N32)</f>
        <v>6</v>
      </c>
      <c r="P31" s="40">
        <f t="shared" si="7"/>
        <v>3.9501217647058833</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409.5">
      <c r="A32" s="35" t="s">
        <v>1483</v>
      </c>
      <c r="B32" s="54" t="s">
        <v>1641</v>
      </c>
      <c r="D32" s="33">
        <f t="shared" si="1"/>
        <v>0</v>
      </c>
      <c r="E32" s="3">
        <f>COUNTIF(Vertices[Degree],"&gt;= "&amp;D32)-COUNTIF(Vertices[Degree],"&gt;="&amp;D33)</f>
        <v>0</v>
      </c>
      <c r="F32" s="38">
        <f t="shared" si="2"/>
        <v>18.529411764705873</v>
      </c>
      <c r="G32" s="39">
        <f>COUNTIF(Vertices[In-Degree],"&gt;= "&amp;F32)-COUNTIF(Vertices[In-Degree],"&gt;="&amp;F33)</f>
        <v>3</v>
      </c>
      <c r="H32" s="38">
        <f t="shared" si="3"/>
        <v>28.23529411764706</v>
      </c>
      <c r="I32" s="39">
        <f>COUNTIF(Vertices[Out-Degree],"&gt;= "&amp;H32)-COUNTIF(Vertices[Out-Degree],"&gt;="&amp;H33)</f>
        <v>0</v>
      </c>
      <c r="J32" s="38">
        <f t="shared" si="4"/>
        <v>4985.820814411764</v>
      </c>
      <c r="K32" s="39">
        <f>COUNTIF(Vertices[Betweenness Centrality],"&gt;= "&amp;J32)-COUNTIF(Vertices[Betweenness Centrality],"&gt;="&amp;J33)</f>
        <v>1</v>
      </c>
      <c r="L32" s="38">
        <f t="shared" si="5"/>
        <v>0.0024971764705882327</v>
      </c>
      <c r="M32" s="39">
        <f>COUNTIF(Vertices[Closeness Centrality],"&gt;= "&amp;L32)-COUNTIF(Vertices[Closeness Centrality],"&gt;="&amp;L33)</f>
        <v>0</v>
      </c>
      <c r="N32" s="38">
        <f t="shared" si="6"/>
        <v>0.030825</v>
      </c>
      <c r="O32" s="39">
        <f>COUNTIF(Vertices[Eigenvector Centrality],"&gt;= "&amp;N32)-COUNTIF(Vertices[Eigenvector Centrality],"&gt;="&amp;N33)</f>
        <v>2</v>
      </c>
      <c r="P32" s="38">
        <f t="shared" si="7"/>
        <v>4.077830411764706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1484</v>
      </c>
      <c r="B33" s="35" t="s">
        <v>1642</v>
      </c>
      <c r="D33" s="33">
        <f t="shared" si="1"/>
        <v>0</v>
      </c>
      <c r="E33" s="3">
        <f>COUNTIF(Vertices[Degree],"&gt;= "&amp;D33)-COUNTIF(Vertices[Degree],"&gt;="&amp;D34)</f>
        <v>0</v>
      </c>
      <c r="F33" s="40">
        <f t="shared" si="2"/>
        <v>19.147058823529402</v>
      </c>
      <c r="G33" s="41">
        <f>COUNTIF(Vertices[In-Degree],"&gt;= "&amp;F33)-COUNTIF(Vertices[In-Degree],"&gt;="&amp;F34)</f>
        <v>0</v>
      </c>
      <c r="H33" s="40">
        <f t="shared" si="3"/>
        <v>29.176470588235297</v>
      </c>
      <c r="I33" s="41">
        <f>COUNTIF(Vertices[Out-Degree],"&gt;= "&amp;H33)-COUNTIF(Vertices[Out-Degree],"&gt;="&amp;H34)</f>
        <v>1</v>
      </c>
      <c r="J33" s="40">
        <f t="shared" si="4"/>
        <v>5152.014841558823</v>
      </c>
      <c r="K33" s="41">
        <f>COUNTIF(Vertices[Betweenness Centrality],"&gt;= "&amp;J33)-COUNTIF(Vertices[Betweenness Centrality],"&gt;="&amp;J34)</f>
        <v>0</v>
      </c>
      <c r="L33" s="40">
        <f t="shared" si="5"/>
        <v>0.0025378823529411737</v>
      </c>
      <c r="M33" s="41">
        <f>COUNTIF(Vertices[Closeness Centrality],"&gt;= "&amp;L33)-COUNTIF(Vertices[Closeness Centrality],"&gt;="&amp;L34)</f>
        <v>1</v>
      </c>
      <c r="N33" s="40">
        <f t="shared" si="6"/>
        <v>0.031852</v>
      </c>
      <c r="O33" s="41">
        <f>COUNTIF(Vertices[Eigenvector Centrality],"&gt;= "&amp;N33)-COUNTIF(Vertices[Eigenvector Centrality],"&gt;="&amp;N34)</f>
        <v>6</v>
      </c>
      <c r="P33" s="40">
        <f t="shared" si="7"/>
        <v>4.20553905882353</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1485</v>
      </c>
      <c r="B34" s="35" t="s">
        <v>1643</v>
      </c>
      <c r="D34" s="33">
        <f t="shared" si="1"/>
        <v>0</v>
      </c>
      <c r="E34" s="3">
        <f>COUNTIF(Vertices[Degree],"&gt;= "&amp;D34)-COUNTIF(Vertices[Degree],"&gt;="&amp;D35)</f>
        <v>0</v>
      </c>
      <c r="F34" s="38">
        <f t="shared" si="2"/>
        <v>19.76470588235293</v>
      </c>
      <c r="G34" s="39">
        <f>COUNTIF(Vertices[In-Degree],"&gt;= "&amp;F34)-COUNTIF(Vertices[In-Degree],"&gt;="&amp;F35)</f>
        <v>1</v>
      </c>
      <c r="H34" s="38">
        <f t="shared" si="3"/>
        <v>30.117647058823533</v>
      </c>
      <c r="I34" s="39">
        <f>COUNTIF(Vertices[Out-Degree],"&gt;= "&amp;H34)-COUNTIF(Vertices[Out-Degree],"&gt;="&amp;H35)</f>
        <v>0</v>
      </c>
      <c r="J34" s="38">
        <f t="shared" si="4"/>
        <v>5318.208868705881</v>
      </c>
      <c r="K34" s="39">
        <f>COUNTIF(Vertices[Betweenness Centrality],"&gt;= "&amp;J34)-COUNTIF(Vertices[Betweenness Centrality],"&gt;="&amp;J35)</f>
        <v>0</v>
      </c>
      <c r="L34" s="38">
        <f t="shared" si="5"/>
        <v>0.0025785882352941146</v>
      </c>
      <c r="M34" s="39">
        <f>COUNTIF(Vertices[Closeness Centrality],"&gt;= "&amp;L34)-COUNTIF(Vertices[Closeness Centrality],"&gt;="&amp;L35)</f>
        <v>1</v>
      </c>
      <c r="N34" s="38">
        <f t="shared" si="6"/>
        <v>0.032879</v>
      </c>
      <c r="O34" s="39">
        <f>COUNTIF(Vertices[Eigenvector Centrality],"&gt;= "&amp;N34)-COUNTIF(Vertices[Eigenvector Centrality],"&gt;="&amp;N35)</f>
        <v>1</v>
      </c>
      <c r="P34" s="38">
        <f t="shared" si="7"/>
        <v>4.3332477058823535</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1486</v>
      </c>
      <c r="B35" s="35" t="s">
        <v>1175</v>
      </c>
      <c r="D35" s="33">
        <f t="shared" si="1"/>
        <v>0</v>
      </c>
      <c r="E35" s="3">
        <f>COUNTIF(Vertices[Degree],"&gt;= "&amp;D35)-COUNTIF(Vertices[Degree],"&gt;="&amp;D36)</f>
        <v>0</v>
      </c>
      <c r="F35" s="40">
        <f t="shared" si="2"/>
        <v>20.38235294117646</v>
      </c>
      <c r="G35" s="41">
        <f>COUNTIF(Vertices[In-Degree],"&gt;= "&amp;F35)-COUNTIF(Vertices[In-Degree],"&gt;="&amp;F36)</f>
        <v>0</v>
      </c>
      <c r="H35" s="40">
        <f t="shared" si="3"/>
        <v>31.058823529411768</v>
      </c>
      <c r="I35" s="41">
        <f>COUNTIF(Vertices[Out-Degree],"&gt;= "&amp;H35)-COUNTIF(Vertices[Out-Degree],"&gt;="&amp;H36)</f>
        <v>0</v>
      </c>
      <c r="J35" s="40">
        <f t="shared" si="4"/>
        <v>5484.40289585294</v>
      </c>
      <c r="K35" s="41">
        <f>COUNTIF(Vertices[Betweenness Centrality],"&gt;= "&amp;J35)-COUNTIF(Vertices[Betweenness Centrality],"&gt;="&amp;J36)</f>
        <v>0</v>
      </c>
      <c r="L35" s="40">
        <f t="shared" si="5"/>
        <v>0.0026192941176470556</v>
      </c>
      <c r="M35" s="41">
        <f>COUNTIF(Vertices[Closeness Centrality],"&gt;= "&amp;L35)-COUNTIF(Vertices[Closeness Centrality],"&gt;="&amp;L36)</f>
        <v>0</v>
      </c>
      <c r="N35" s="40">
        <f t="shared" si="6"/>
        <v>0.033906</v>
      </c>
      <c r="O35" s="41">
        <f>COUNTIF(Vertices[Eigenvector Centrality],"&gt;= "&amp;N35)-COUNTIF(Vertices[Eigenvector Centrality],"&gt;="&amp;N36)</f>
        <v>1</v>
      </c>
      <c r="P35" s="40">
        <f t="shared" si="7"/>
        <v>4.460956352941177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1487</v>
      </c>
      <c r="B36" s="35" t="s">
        <v>1175</v>
      </c>
      <c r="D36" s="33">
        <f>MAX(Vertices[Degree])</f>
        <v>0</v>
      </c>
      <c r="E36" s="3">
        <f>COUNTIF(Vertices[Degree],"&gt;= "&amp;D36)-COUNTIF(Vertices[Degree],"&gt;="&amp;#REF!)</f>
        <v>0</v>
      </c>
      <c r="F36" s="42">
        <f>MAX(Vertices[In-Degree])</f>
        <v>21</v>
      </c>
      <c r="G36" s="43">
        <f>COUNTIF(Vertices[In-Degree],"&gt;= "&amp;F36)-COUNTIF(Vertices[In-Degree],"&gt;="&amp;#REF!)</f>
        <v>4</v>
      </c>
      <c r="H36" s="42">
        <f>MAX(Vertices[Out-Degree])</f>
        <v>32</v>
      </c>
      <c r="I36" s="43">
        <f>COUNTIF(Vertices[Out-Degree],"&gt;= "&amp;H36)-COUNTIF(Vertices[Out-Degree],"&gt;="&amp;#REF!)</f>
        <v>1</v>
      </c>
      <c r="J36" s="42">
        <f>MAX(Vertices[Betweenness Centrality])</f>
        <v>5650.596923</v>
      </c>
      <c r="K36" s="43">
        <f>COUNTIF(Vertices[Betweenness Centrality],"&gt;= "&amp;J36)-COUNTIF(Vertices[Betweenness Centrality],"&gt;="&amp;#REF!)</f>
        <v>1</v>
      </c>
      <c r="L36" s="42">
        <f>MAX(Vertices[Closeness Centrality])</f>
        <v>0.00266</v>
      </c>
      <c r="M36" s="43">
        <f>COUNTIF(Vertices[Closeness Centrality],"&gt;= "&amp;L36)-COUNTIF(Vertices[Closeness Centrality],"&gt;="&amp;#REF!)</f>
        <v>1</v>
      </c>
      <c r="N36" s="42">
        <f>MAX(Vertices[Eigenvector Centrality])</f>
        <v>0.034933</v>
      </c>
      <c r="O36" s="43">
        <f>COUNTIF(Vertices[Eigenvector Centrality],"&gt;= "&amp;N36)-COUNTIF(Vertices[Eigenvector Centrality],"&gt;="&amp;#REF!)</f>
        <v>1</v>
      </c>
      <c r="P36" s="42">
        <f>MAX(Vertices[PageRank])</f>
        <v>4.588665</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1488</v>
      </c>
      <c r="B37" s="35" t="s">
        <v>1175</v>
      </c>
    </row>
    <row r="38" spans="1:2" ht="15">
      <c r="A38" s="35" t="s">
        <v>1489</v>
      </c>
      <c r="B38" s="35" t="s">
        <v>32</v>
      </c>
    </row>
    <row r="39" spans="1:2" ht="15">
      <c r="A39" s="35" t="s">
        <v>21</v>
      </c>
      <c r="B39" s="35" t="s">
        <v>33</v>
      </c>
    </row>
    <row r="40" spans="1:2" ht="15">
      <c r="A40" s="35" t="s">
        <v>1490</v>
      </c>
      <c r="B40" s="35" t="s">
        <v>32</v>
      </c>
    </row>
    <row r="41" spans="1:2" ht="15">
      <c r="A41" s="35" t="s">
        <v>1491</v>
      </c>
      <c r="B41" s="35"/>
    </row>
    <row r="42" spans="1:2" ht="15">
      <c r="A42" s="35" t="s">
        <v>1492</v>
      </c>
      <c r="B42"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21</v>
      </c>
    </row>
    <row r="82" spans="1:2" ht="15">
      <c r="A82" s="34" t="s">
        <v>90</v>
      </c>
      <c r="B82" s="48">
        <f>_xlfn.IFERROR(AVERAGE(Vertices[In-Degree]),NoMetricMessage)</f>
        <v>3.5494505494505493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32</v>
      </c>
    </row>
    <row r="96" spans="1:2" ht="15">
      <c r="A96" s="34" t="s">
        <v>96</v>
      </c>
      <c r="B96" s="48">
        <f>_xlfn.IFERROR(AVERAGE(Vertices[Out-Degree]),NoMetricMessage)</f>
        <v>3.5494505494505493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5650.596923</v>
      </c>
    </row>
    <row r="110" spans="1:2" ht="15">
      <c r="A110" s="34" t="s">
        <v>102</v>
      </c>
      <c r="B110" s="48">
        <f>_xlfn.IFERROR(AVERAGE(Vertices[Betweenness Centrality]),NoMetricMessage)</f>
        <v>425.62637363736275</v>
      </c>
    </row>
    <row r="111" spans="1:2" ht="15">
      <c r="A111" s="34" t="s">
        <v>103</v>
      </c>
      <c r="B111" s="48">
        <f>_xlfn.IFERROR(MEDIAN(Vertices[Betweenness Centrality]),NoMetricMessage)</f>
        <v>0</v>
      </c>
    </row>
    <row r="122" spans="1:2" ht="15">
      <c r="A122" s="34" t="s">
        <v>106</v>
      </c>
      <c r="B122" s="48">
        <f>IF(COUNT(Vertices[Closeness Centrality])&gt;0,L2,NoMetricMessage)</f>
        <v>0.001276</v>
      </c>
    </row>
    <row r="123" spans="1:2" ht="15">
      <c r="A123" s="34" t="s">
        <v>107</v>
      </c>
      <c r="B123" s="48">
        <f>IF(COUNT(Vertices[Closeness Centrality])&gt;0,L36,NoMetricMessage)</f>
        <v>0.00266</v>
      </c>
    </row>
    <row r="124" spans="1:2" ht="15">
      <c r="A124" s="34" t="s">
        <v>108</v>
      </c>
      <c r="B124" s="48">
        <f>_xlfn.IFERROR(AVERAGE(Vertices[Closeness Centrality]),NoMetricMessage)</f>
        <v>0.0017010659340659336</v>
      </c>
    </row>
    <row r="125" spans="1:2" ht="15">
      <c r="A125" s="34" t="s">
        <v>109</v>
      </c>
      <c r="B125" s="48">
        <f>_xlfn.IFERROR(MEDIAN(Vertices[Closeness Centrality]),NoMetricMessage)</f>
        <v>0.0016065</v>
      </c>
    </row>
    <row r="136" spans="1:2" ht="15">
      <c r="A136" s="34" t="s">
        <v>112</v>
      </c>
      <c r="B136" s="48">
        <f>IF(COUNT(Vertices[Eigenvector Centrality])&gt;0,N2,NoMetricMessage)</f>
        <v>1.5E-05</v>
      </c>
    </row>
    <row r="137" spans="1:2" ht="15">
      <c r="A137" s="34" t="s">
        <v>113</v>
      </c>
      <c r="B137" s="48">
        <f>IF(COUNT(Vertices[Eigenvector Centrality])&gt;0,N36,NoMetricMessage)</f>
        <v>0.034933</v>
      </c>
    </row>
    <row r="138" spans="1:2" ht="15">
      <c r="A138" s="34" t="s">
        <v>114</v>
      </c>
      <c r="B138" s="48">
        <f>_xlfn.IFERROR(AVERAGE(Vertices[Eigenvector Centrality]),NoMetricMessage)</f>
        <v>0.005494478021978022</v>
      </c>
    </row>
    <row r="139" spans="1:2" ht="15">
      <c r="A139" s="34" t="s">
        <v>115</v>
      </c>
      <c r="B139" s="48">
        <f>_xlfn.IFERROR(MEDIAN(Vertices[Eigenvector Centrality]),NoMetricMessage)</f>
        <v>0.0009955</v>
      </c>
    </row>
    <row r="150" spans="1:2" ht="15">
      <c r="A150" s="34" t="s">
        <v>140</v>
      </c>
      <c r="B150" s="48">
        <f>IF(COUNT(Vertices[PageRank])&gt;0,P2,NoMetricMessage)</f>
        <v>0.246571</v>
      </c>
    </row>
    <row r="151" spans="1:2" ht="15">
      <c r="A151" s="34" t="s">
        <v>141</v>
      </c>
      <c r="B151" s="48">
        <f>IF(COUNT(Vertices[PageRank])&gt;0,P36,NoMetricMessage)</f>
        <v>4.588665</v>
      </c>
    </row>
    <row r="152" spans="1:2" ht="15">
      <c r="A152" s="34" t="s">
        <v>142</v>
      </c>
      <c r="B152" s="48">
        <f>_xlfn.IFERROR(AVERAGE(Vertices[PageRank]),NoMetricMessage)</f>
        <v>0.9999969505494509</v>
      </c>
    </row>
    <row r="153" spans="1:2" ht="15">
      <c r="A153" s="34" t="s">
        <v>143</v>
      </c>
      <c r="B153" s="48">
        <f>_xlfn.IFERROR(MEDIAN(Vertices[PageRank]),NoMetricMessage)</f>
        <v>0.391273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0.18589542754530394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1157</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174</v>
      </c>
      <c r="K7" s="13" t="s">
        <v>1158</v>
      </c>
    </row>
    <row r="8" spans="1:11" ht="409.5">
      <c r="A8"/>
      <c r="B8">
        <v>2</v>
      </c>
      <c r="C8">
        <v>2</v>
      </c>
      <c r="D8" t="s">
        <v>61</v>
      </c>
      <c r="E8" t="s">
        <v>61</v>
      </c>
      <c r="H8" t="s">
        <v>73</v>
      </c>
      <c r="J8" t="s">
        <v>175</v>
      </c>
      <c r="K8" s="13" t="s">
        <v>1159</v>
      </c>
    </row>
    <row r="9" spans="1:11" ht="409.5">
      <c r="A9"/>
      <c r="B9">
        <v>3</v>
      </c>
      <c r="C9">
        <v>4</v>
      </c>
      <c r="D9" t="s">
        <v>62</v>
      </c>
      <c r="E9" t="s">
        <v>62</v>
      </c>
      <c r="H9" t="s">
        <v>74</v>
      </c>
      <c r="J9" t="s">
        <v>176</v>
      </c>
      <c r="K9" s="13" t="s">
        <v>1160</v>
      </c>
    </row>
    <row r="10" spans="1:11" ht="409.5">
      <c r="A10"/>
      <c r="B10">
        <v>4</v>
      </c>
      <c r="D10" t="s">
        <v>63</v>
      </c>
      <c r="E10" t="s">
        <v>63</v>
      </c>
      <c r="H10" t="s">
        <v>75</v>
      </c>
      <c r="J10" t="s">
        <v>177</v>
      </c>
      <c r="K10" s="13" t="s">
        <v>1161</v>
      </c>
    </row>
    <row r="11" spans="1:11" ht="15">
      <c r="A11"/>
      <c r="B11">
        <v>5</v>
      </c>
      <c r="D11" t="s">
        <v>46</v>
      </c>
      <c r="E11">
        <v>1</v>
      </c>
      <c r="H11" t="s">
        <v>76</v>
      </c>
      <c r="J11" t="s">
        <v>178</v>
      </c>
      <c r="K11" t="s">
        <v>1162</v>
      </c>
    </row>
    <row r="12" spans="1:11" ht="15">
      <c r="A12"/>
      <c r="B12"/>
      <c r="D12" t="s">
        <v>64</v>
      </c>
      <c r="E12">
        <v>2</v>
      </c>
      <c r="H12">
        <v>0</v>
      </c>
      <c r="J12" t="s">
        <v>179</v>
      </c>
      <c r="K12" t="s">
        <v>1163</v>
      </c>
    </row>
    <row r="13" spans="1:11" ht="15">
      <c r="A13"/>
      <c r="B13"/>
      <c r="D13">
        <v>1</v>
      </c>
      <c r="E13">
        <v>3</v>
      </c>
      <c r="H13">
        <v>1</v>
      </c>
      <c r="J13" t="s">
        <v>180</v>
      </c>
      <c r="K13" t="s">
        <v>1164</v>
      </c>
    </row>
    <row r="14" spans="4:11" ht="15">
      <c r="D14">
        <v>2</v>
      </c>
      <c r="E14">
        <v>4</v>
      </c>
      <c r="H14">
        <v>2</v>
      </c>
      <c r="J14" t="s">
        <v>181</v>
      </c>
      <c r="K14" t="s">
        <v>1165</v>
      </c>
    </row>
    <row r="15" spans="4:11" ht="15">
      <c r="D15">
        <v>3</v>
      </c>
      <c r="E15">
        <v>5</v>
      </c>
      <c r="H15">
        <v>3</v>
      </c>
      <c r="J15" t="s">
        <v>182</v>
      </c>
      <c r="K15" t="s">
        <v>1166</v>
      </c>
    </row>
    <row r="16" spans="4:11" ht="15">
      <c r="D16">
        <v>4</v>
      </c>
      <c r="E16">
        <v>6</v>
      </c>
      <c r="H16">
        <v>4</v>
      </c>
      <c r="J16" t="s">
        <v>183</v>
      </c>
      <c r="K16" t="s">
        <v>1167</v>
      </c>
    </row>
    <row r="17" spans="4:11" ht="15">
      <c r="D17">
        <v>5</v>
      </c>
      <c r="E17">
        <v>7</v>
      </c>
      <c r="H17">
        <v>5</v>
      </c>
      <c r="J17" t="s">
        <v>184</v>
      </c>
      <c r="K17" t="s">
        <v>1168</v>
      </c>
    </row>
    <row r="18" spans="4:11" ht="15">
      <c r="D18">
        <v>6</v>
      </c>
      <c r="E18">
        <v>8</v>
      </c>
      <c r="H18">
        <v>6</v>
      </c>
      <c r="J18" t="s">
        <v>185</v>
      </c>
      <c r="K18" t="s">
        <v>1169</v>
      </c>
    </row>
    <row r="19" spans="4:11" ht="15">
      <c r="D19">
        <v>7</v>
      </c>
      <c r="E19">
        <v>9</v>
      </c>
      <c r="H19">
        <v>7</v>
      </c>
      <c r="J19" t="s">
        <v>186</v>
      </c>
      <c r="K19" t="s">
        <v>1170</v>
      </c>
    </row>
    <row r="20" spans="4:11" ht="15">
      <c r="D20">
        <v>8</v>
      </c>
      <c r="H20">
        <v>8</v>
      </c>
      <c r="J20" t="s">
        <v>187</v>
      </c>
      <c r="K20" t="s">
        <v>1171</v>
      </c>
    </row>
    <row r="21" spans="4:11" ht="409.5">
      <c r="D21">
        <v>9</v>
      </c>
      <c r="H21">
        <v>9</v>
      </c>
      <c r="J21" t="s">
        <v>188</v>
      </c>
      <c r="K21" s="13" t="s">
        <v>1172</v>
      </c>
    </row>
    <row r="22" spans="4:11" ht="409.5">
      <c r="D22">
        <v>10</v>
      </c>
      <c r="J22" t="s">
        <v>189</v>
      </c>
      <c r="K22" s="13" t="s">
        <v>1173</v>
      </c>
    </row>
    <row r="23" spans="4:11" ht="409.5">
      <c r="D23">
        <v>11</v>
      </c>
      <c r="J23" t="s">
        <v>190</v>
      </c>
      <c r="K23" s="13" t="s">
        <v>1174</v>
      </c>
    </row>
    <row r="24" spans="10:11" ht="409.5">
      <c r="J24" t="s">
        <v>191</v>
      </c>
      <c r="K24" s="13" t="s">
        <v>1645</v>
      </c>
    </row>
    <row r="25" spans="10:11" ht="15">
      <c r="J25" t="s">
        <v>192</v>
      </c>
      <c r="K25" t="s">
        <v>1638</v>
      </c>
    </row>
    <row r="26" spans="10:11" ht="409.5">
      <c r="J26" t="s">
        <v>193</v>
      </c>
      <c r="K26" s="13" t="s">
        <v>1639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18164-5E03-4E04-835D-7D18E566E944}">
  <dimension ref="A1:G5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1195</v>
      </c>
      <c r="B1" s="13" t="s">
        <v>1445</v>
      </c>
      <c r="C1" s="13" t="s">
        <v>1449</v>
      </c>
      <c r="D1" s="13" t="s">
        <v>144</v>
      </c>
      <c r="E1" s="13" t="s">
        <v>1451</v>
      </c>
      <c r="F1" s="13" t="s">
        <v>1452</v>
      </c>
      <c r="G1" s="13" t="s">
        <v>1453</v>
      </c>
    </row>
    <row r="2" spans="1:7" ht="15">
      <c r="A2" s="80" t="s">
        <v>1196</v>
      </c>
      <c r="B2" s="80" t="s">
        <v>1446</v>
      </c>
      <c r="C2" s="105"/>
      <c r="D2" s="80"/>
      <c r="E2" s="80"/>
      <c r="F2" s="80"/>
      <c r="G2" s="80"/>
    </row>
    <row r="3" spans="1:7" ht="15">
      <c r="A3" s="81" t="s">
        <v>1197</v>
      </c>
      <c r="B3" s="80" t="s">
        <v>1447</v>
      </c>
      <c r="C3" s="105"/>
      <c r="D3" s="80"/>
      <c r="E3" s="80"/>
      <c r="F3" s="80"/>
      <c r="G3" s="80"/>
    </row>
    <row r="4" spans="1:7" ht="15">
      <c r="A4" s="81" t="s">
        <v>1198</v>
      </c>
      <c r="B4" s="80" t="s">
        <v>1448</v>
      </c>
      <c r="C4" s="105"/>
      <c r="D4" s="80"/>
      <c r="E4" s="80"/>
      <c r="F4" s="80"/>
      <c r="G4" s="80"/>
    </row>
    <row r="5" spans="1:7" ht="15">
      <c r="A5" s="81" t="s">
        <v>1199</v>
      </c>
      <c r="B5" s="80">
        <v>42</v>
      </c>
      <c r="C5" s="105">
        <v>0.01831661578717837</v>
      </c>
      <c r="D5" s="80"/>
      <c r="E5" s="80"/>
      <c r="F5" s="80"/>
      <c r="G5" s="80"/>
    </row>
    <row r="6" spans="1:7" ht="15">
      <c r="A6" s="81" t="s">
        <v>1200</v>
      </c>
      <c r="B6" s="80">
        <v>21</v>
      </c>
      <c r="C6" s="105">
        <v>0.009158307893589184</v>
      </c>
      <c r="D6" s="80"/>
      <c r="E6" s="80"/>
      <c r="F6" s="80"/>
      <c r="G6" s="80"/>
    </row>
    <row r="7" spans="1:7" ht="15">
      <c r="A7" s="81" t="s">
        <v>1201</v>
      </c>
      <c r="B7" s="80">
        <v>0</v>
      </c>
      <c r="C7" s="105">
        <v>0</v>
      </c>
      <c r="D7" s="80"/>
      <c r="E7" s="80"/>
      <c r="F7" s="80"/>
      <c r="G7" s="80"/>
    </row>
    <row r="8" spans="1:7" ht="15">
      <c r="A8" s="81" t="s">
        <v>1202</v>
      </c>
      <c r="B8" s="80">
        <v>2230</v>
      </c>
      <c r="C8" s="105">
        <v>0.9725250763192325</v>
      </c>
      <c r="D8" s="80"/>
      <c r="E8" s="80"/>
      <c r="F8" s="80"/>
      <c r="G8" s="80"/>
    </row>
    <row r="9" spans="1:7" ht="15">
      <c r="A9" s="81" t="s">
        <v>1203</v>
      </c>
      <c r="B9" s="80">
        <v>2293</v>
      </c>
      <c r="C9" s="105">
        <v>1</v>
      </c>
      <c r="D9" s="80"/>
      <c r="E9" s="80"/>
      <c r="F9" s="80"/>
      <c r="G9" s="80"/>
    </row>
    <row r="10" spans="1:7" ht="15">
      <c r="A10" s="104" t="s">
        <v>1204</v>
      </c>
      <c r="B10" s="102">
        <v>114</v>
      </c>
      <c r="C10" s="106">
        <v>0.02095042039343585</v>
      </c>
      <c r="D10" s="102" t="s">
        <v>1450</v>
      </c>
      <c r="E10" s="102" t="b">
        <v>0</v>
      </c>
      <c r="F10" s="102" t="b">
        <v>0</v>
      </c>
      <c r="G10" s="102" t="b">
        <v>0</v>
      </c>
    </row>
    <row r="11" spans="1:7" ht="15">
      <c r="A11" s="104" t="s">
        <v>1205</v>
      </c>
      <c r="B11" s="102">
        <v>105</v>
      </c>
      <c r="C11" s="106">
        <v>0.01668002962095897</v>
      </c>
      <c r="D11" s="102" t="s">
        <v>1450</v>
      </c>
      <c r="E11" s="102" t="b">
        <v>0</v>
      </c>
      <c r="F11" s="102" t="b">
        <v>0</v>
      </c>
      <c r="G11" s="102" t="b">
        <v>0</v>
      </c>
    </row>
    <row r="12" spans="1:7" ht="15">
      <c r="A12" s="104" t="s">
        <v>1206</v>
      </c>
      <c r="B12" s="102">
        <v>83</v>
      </c>
      <c r="C12" s="106">
        <v>0.0175935619065961</v>
      </c>
      <c r="D12" s="102" t="s">
        <v>1450</v>
      </c>
      <c r="E12" s="102" t="b">
        <v>0</v>
      </c>
      <c r="F12" s="102" t="b">
        <v>0</v>
      </c>
      <c r="G12" s="102" t="b">
        <v>0</v>
      </c>
    </row>
    <row r="13" spans="1:7" ht="15">
      <c r="A13" s="104" t="s">
        <v>1207</v>
      </c>
      <c r="B13" s="102">
        <v>47</v>
      </c>
      <c r="C13" s="106">
        <v>0.015787665974983472</v>
      </c>
      <c r="D13" s="102" t="s">
        <v>1450</v>
      </c>
      <c r="E13" s="102" t="b">
        <v>0</v>
      </c>
      <c r="F13" s="102" t="b">
        <v>0</v>
      </c>
      <c r="G13" s="102" t="b">
        <v>0</v>
      </c>
    </row>
    <row r="14" spans="1:7" ht="15">
      <c r="A14" s="104" t="s">
        <v>1208</v>
      </c>
      <c r="B14" s="102">
        <v>44</v>
      </c>
      <c r="C14" s="106">
        <v>0.01875866237651107</v>
      </c>
      <c r="D14" s="102" t="s">
        <v>1450</v>
      </c>
      <c r="E14" s="102" t="b">
        <v>0</v>
      </c>
      <c r="F14" s="102" t="b">
        <v>0</v>
      </c>
      <c r="G14" s="102" t="b">
        <v>0</v>
      </c>
    </row>
    <row r="15" spans="1:7" ht="15">
      <c r="A15" s="104" t="s">
        <v>1209</v>
      </c>
      <c r="B15" s="102">
        <v>41</v>
      </c>
      <c r="C15" s="106">
        <v>0.01323861248877365</v>
      </c>
      <c r="D15" s="102" t="s">
        <v>1450</v>
      </c>
      <c r="E15" s="102" t="b">
        <v>0</v>
      </c>
      <c r="F15" s="102" t="b">
        <v>0</v>
      </c>
      <c r="G15" s="102" t="b">
        <v>0</v>
      </c>
    </row>
    <row r="16" spans="1:7" ht="15">
      <c r="A16" s="104" t="s">
        <v>1210</v>
      </c>
      <c r="B16" s="102">
        <v>36</v>
      </c>
      <c r="C16" s="106">
        <v>0.020345405261363053</v>
      </c>
      <c r="D16" s="102" t="s">
        <v>1450</v>
      </c>
      <c r="E16" s="102" t="b">
        <v>0</v>
      </c>
      <c r="F16" s="102" t="b">
        <v>0</v>
      </c>
      <c r="G16" s="102" t="b">
        <v>0</v>
      </c>
    </row>
    <row r="17" spans="1:7" ht="15">
      <c r="A17" s="104" t="s">
        <v>1211</v>
      </c>
      <c r="B17" s="102">
        <v>33</v>
      </c>
      <c r="C17" s="106">
        <v>0.012288587740847345</v>
      </c>
      <c r="D17" s="102" t="s">
        <v>1450</v>
      </c>
      <c r="E17" s="102" t="b">
        <v>0</v>
      </c>
      <c r="F17" s="102" t="b">
        <v>0</v>
      </c>
      <c r="G17" s="102" t="b">
        <v>0</v>
      </c>
    </row>
    <row r="18" spans="1:7" ht="15">
      <c r="A18" s="104" t="s">
        <v>1212</v>
      </c>
      <c r="B18" s="102">
        <v>29</v>
      </c>
      <c r="C18" s="106">
        <v>0.010799061954077972</v>
      </c>
      <c r="D18" s="102" t="s">
        <v>1450</v>
      </c>
      <c r="E18" s="102" t="b">
        <v>0</v>
      </c>
      <c r="F18" s="102" t="b">
        <v>0</v>
      </c>
      <c r="G18" s="102" t="b">
        <v>0</v>
      </c>
    </row>
    <row r="19" spans="1:7" ht="15">
      <c r="A19" s="104" t="s">
        <v>1213</v>
      </c>
      <c r="B19" s="102">
        <v>28</v>
      </c>
      <c r="C19" s="106">
        <v>0.010426680507385627</v>
      </c>
      <c r="D19" s="102" t="s">
        <v>1450</v>
      </c>
      <c r="E19" s="102" t="b">
        <v>0</v>
      </c>
      <c r="F19" s="102" t="b">
        <v>0</v>
      </c>
      <c r="G19" s="102" t="b">
        <v>0</v>
      </c>
    </row>
    <row r="20" spans="1:7" ht="15">
      <c r="A20" s="104" t="s">
        <v>1214</v>
      </c>
      <c r="B20" s="102">
        <v>23</v>
      </c>
      <c r="C20" s="106">
        <v>0.01689154365253403</v>
      </c>
      <c r="D20" s="102" t="s">
        <v>1450</v>
      </c>
      <c r="E20" s="102" t="b">
        <v>0</v>
      </c>
      <c r="F20" s="102" t="b">
        <v>0</v>
      </c>
      <c r="G20" s="102" t="b">
        <v>0</v>
      </c>
    </row>
    <row r="21" spans="1:7" ht="15">
      <c r="A21" s="104" t="s">
        <v>1215</v>
      </c>
      <c r="B21" s="102">
        <v>21</v>
      </c>
      <c r="C21" s="106">
        <v>0.014600763118691577</v>
      </c>
      <c r="D21" s="102" t="s">
        <v>1450</v>
      </c>
      <c r="E21" s="102" t="b">
        <v>0</v>
      </c>
      <c r="F21" s="102" t="b">
        <v>0</v>
      </c>
      <c r="G21" s="102" t="b">
        <v>0</v>
      </c>
    </row>
    <row r="22" spans="1:7" ht="15">
      <c r="A22" s="104" t="s">
        <v>1216</v>
      </c>
      <c r="B22" s="102">
        <v>21</v>
      </c>
      <c r="C22" s="106">
        <v>0.010178942368460285</v>
      </c>
      <c r="D22" s="102" t="s">
        <v>1450</v>
      </c>
      <c r="E22" s="102" t="b">
        <v>0</v>
      </c>
      <c r="F22" s="102" t="b">
        <v>0</v>
      </c>
      <c r="G22" s="102" t="b">
        <v>0</v>
      </c>
    </row>
    <row r="23" spans="1:7" ht="15">
      <c r="A23" s="104" t="s">
        <v>1217</v>
      </c>
      <c r="B23" s="102">
        <v>18</v>
      </c>
      <c r="C23" s="106">
        <v>0.009240801340834649</v>
      </c>
      <c r="D23" s="102" t="s">
        <v>1450</v>
      </c>
      <c r="E23" s="102" t="b">
        <v>0</v>
      </c>
      <c r="F23" s="102" t="b">
        <v>0</v>
      </c>
      <c r="G23" s="102" t="b">
        <v>0</v>
      </c>
    </row>
    <row r="24" spans="1:7" ht="15">
      <c r="A24" s="104" t="s">
        <v>1218</v>
      </c>
      <c r="B24" s="102">
        <v>17</v>
      </c>
      <c r="C24" s="106">
        <v>0.008240096203039277</v>
      </c>
      <c r="D24" s="102" t="s">
        <v>1450</v>
      </c>
      <c r="E24" s="102" t="b">
        <v>0</v>
      </c>
      <c r="F24" s="102" t="b">
        <v>0</v>
      </c>
      <c r="G24" s="102" t="b">
        <v>0</v>
      </c>
    </row>
    <row r="25" spans="1:7" ht="15">
      <c r="A25" s="104" t="s">
        <v>1219</v>
      </c>
      <c r="B25" s="102">
        <v>17</v>
      </c>
      <c r="C25" s="106">
        <v>0.008475631695478297</v>
      </c>
      <c r="D25" s="102" t="s">
        <v>1450</v>
      </c>
      <c r="E25" s="102" t="b">
        <v>0</v>
      </c>
      <c r="F25" s="102" t="b">
        <v>0</v>
      </c>
      <c r="G25" s="102" t="b">
        <v>0</v>
      </c>
    </row>
    <row r="26" spans="1:7" ht="15">
      <c r="A26" s="104" t="s">
        <v>1220</v>
      </c>
      <c r="B26" s="102">
        <v>16</v>
      </c>
      <c r="C26" s="106">
        <v>0.009731677084553822</v>
      </c>
      <c r="D26" s="102" t="s">
        <v>1450</v>
      </c>
      <c r="E26" s="102" t="b">
        <v>0</v>
      </c>
      <c r="F26" s="102" t="b">
        <v>0</v>
      </c>
      <c r="G26" s="102" t="b">
        <v>0</v>
      </c>
    </row>
    <row r="27" spans="1:7" ht="15">
      <c r="A27" s="104" t="s">
        <v>1221</v>
      </c>
      <c r="B27" s="102">
        <v>12</v>
      </c>
      <c r="C27" s="106">
        <v>0.007298757813415367</v>
      </c>
      <c r="D27" s="102" t="s">
        <v>1450</v>
      </c>
      <c r="E27" s="102" t="b">
        <v>0</v>
      </c>
      <c r="F27" s="102" t="b">
        <v>0</v>
      </c>
      <c r="G27" s="102" t="b">
        <v>0</v>
      </c>
    </row>
    <row r="28" spans="1:7" ht="15">
      <c r="A28" s="104" t="s">
        <v>1222</v>
      </c>
      <c r="B28" s="102">
        <v>12</v>
      </c>
      <c r="C28" s="106">
        <v>0.009387828607946435</v>
      </c>
      <c r="D28" s="102" t="s">
        <v>1450</v>
      </c>
      <c r="E28" s="102" t="b">
        <v>0</v>
      </c>
      <c r="F28" s="102" t="b">
        <v>0</v>
      </c>
      <c r="G28" s="102" t="b">
        <v>0</v>
      </c>
    </row>
    <row r="29" spans="1:7" ht="15">
      <c r="A29" s="104" t="s">
        <v>1223</v>
      </c>
      <c r="B29" s="102">
        <v>11</v>
      </c>
      <c r="C29" s="106">
        <v>0.007283997676142739</v>
      </c>
      <c r="D29" s="102" t="s">
        <v>1450</v>
      </c>
      <c r="E29" s="102" t="b">
        <v>0</v>
      </c>
      <c r="F29" s="102" t="b">
        <v>0</v>
      </c>
      <c r="G29" s="102" t="b">
        <v>0</v>
      </c>
    </row>
    <row r="30" spans="1:7" ht="15">
      <c r="A30" s="104" t="s">
        <v>1224</v>
      </c>
      <c r="B30" s="102">
        <v>11</v>
      </c>
      <c r="C30" s="106">
        <v>0.006968668256095999</v>
      </c>
      <c r="D30" s="102" t="s">
        <v>1450</v>
      </c>
      <c r="E30" s="102" t="b">
        <v>0</v>
      </c>
      <c r="F30" s="102" t="b">
        <v>0</v>
      </c>
      <c r="G30" s="102" t="b">
        <v>0</v>
      </c>
    </row>
    <row r="31" spans="1:7" ht="15">
      <c r="A31" s="104" t="s">
        <v>1225</v>
      </c>
      <c r="B31" s="102">
        <v>11</v>
      </c>
      <c r="C31" s="106">
        <v>0.00621665160763871</v>
      </c>
      <c r="D31" s="102" t="s">
        <v>1450</v>
      </c>
      <c r="E31" s="102" t="b">
        <v>0</v>
      </c>
      <c r="F31" s="102" t="b">
        <v>0</v>
      </c>
      <c r="G31" s="102" t="b">
        <v>0</v>
      </c>
    </row>
    <row r="32" spans="1:7" ht="15">
      <c r="A32" s="104" t="s">
        <v>1226</v>
      </c>
      <c r="B32" s="102">
        <v>11</v>
      </c>
      <c r="C32" s="106">
        <v>0.006441723054371521</v>
      </c>
      <c r="D32" s="102" t="s">
        <v>1450</v>
      </c>
      <c r="E32" s="102" t="b">
        <v>0</v>
      </c>
      <c r="F32" s="102" t="b">
        <v>0</v>
      </c>
      <c r="G32" s="102" t="b">
        <v>0</v>
      </c>
    </row>
    <row r="33" spans="1:7" ht="15">
      <c r="A33" s="104" t="s">
        <v>1227</v>
      </c>
      <c r="B33" s="102">
        <v>10</v>
      </c>
      <c r="C33" s="106">
        <v>0.010799265599691542</v>
      </c>
      <c r="D33" s="102" t="s">
        <v>1450</v>
      </c>
      <c r="E33" s="102" t="b">
        <v>0</v>
      </c>
      <c r="F33" s="102" t="b">
        <v>0</v>
      </c>
      <c r="G33" s="102" t="b">
        <v>0</v>
      </c>
    </row>
    <row r="34" spans="1:7" ht="15">
      <c r="A34" s="104" t="s">
        <v>1228</v>
      </c>
      <c r="B34" s="102">
        <v>10</v>
      </c>
      <c r="C34" s="106">
        <v>0.010799265599691542</v>
      </c>
      <c r="D34" s="102" t="s">
        <v>1450</v>
      </c>
      <c r="E34" s="102" t="b">
        <v>0</v>
      </c>
      <c r="F34" s="102" t="b">
        <v>0</v>
      </c>
      <c r="G34" s="102" t="b">
        <v>0</v>
      </c>
    </row>
    <row r="35" spans="1:7" ht="15">
      <c r="A35" s="104" t="s">
        <v>1229</v>
      </c>
      <c r="B35" s="102">
        <v>9</v>
      </c>
      <c r="C35" s="106">
        <v>0.007596703699891956</v>
      </c>
      <c r="D35" s="102" t="s">
        <v>1450</v>
      </c>
      <c r="E35" s="102" t="b">
        <v>0</v>
      </c>
      <c r="F35" s="102" t="b">
        <v>0</v>
      </c>
      <c r="G35" s="102" t="b">
        <v>0</v>
      </c>
    </row>
    <row r="36" spans="1:7" ht="15">
      <c r="A36" s="104" t="s">
        <v>1230</v>
      </c>
      <c r="B36" s="102">
        <v>9</v>
      </c>
      <c r="C36" s="106">
        <v>0.005701637664078545</v>
      </c>
      <c r="D36" s="102" t="s">
        <v>1450</v>
      </c>
      <c r="E36" s="102" t="b">
        <v>0</v>
      </c>
      <c r="F36" s="102" t="b">
        <v>0</v>
      </c>
      <c r="G36" s="102" t="b">
        <v>0</v>
      </c>
    </row>
    <row r="37" spans="1:7" ht="15">
      <c r="A37" s="104" t="s">
        <v>1231</v>
      </c>
      <c r="B37" s="102">
        <v>9</v>
      </c>
      <c r="C37" s="106">
        <v>0.007040871455959825</v>
      </c>
      <c r="D37" s="102" t="s">
        <v>1450</v>
      </c>
      <c r="E37" s="102" t="b">
        <v>0</v>
      </c>
      <c r="F37" s="102" t="b">
        <v>0</v>
      </c>
      <c r="G37" s="102" t="b">
        <v>0</v>
      </c>
    </row>
    <row r="38" spans="1:7" ht="15">
      <c r="A38" s="104" t="s">
        <v>1232</v>
      </c>
      <c r="B38" s="102">
        <v>9</v>
      </c>
      <c r="C38" s="106">
        <v>0.007040871455959825</v>
      </c>
      <c r="D38" s="102" t="s">
        <v>1450</v>
      </c>
      <c r="E38" s="102" t="b">
        <v>0</v>
      </c>
      <c r="F38" s="102" t="b">
        <v>0</v>
      </c>
      <c r="G38" s="102" t="b">
        <v>0</v>
      </c>
    </row>
    <row r="39" spans="1:7" ht="15">
      <c r="A39" s="104" t="s">
        <v>1233</v>
      </c>
      <c r="B39" s="102">
        <v>9</v>
      </c>
      <c r="C39" s="106">
        <v>0.009719339039722387</v>
      </c>
      <c r="D39" s="102" t="s">
        <v>1450</v>
      </c>
      <c r="E39" s="102" t="b">
        <v>0</v>
      </c>
      <c r="F39" s="102" t="b">
        <v>0</v>
      </c>
      <c r="G39" s="102" t="b">
        <v>0</v>
      </c>
    </row>
    <row r="40" spans="1:7" ht="15">
      <c r="A40" s="104" t="s">
        <v>1234</v>
      </c>
      <c r="B40" s="102">
        <v>8</v>
      </c>
      <c r="C40" s="106">
        <v>0.005297452855376537</v>
      </c>
      <c r="D40" s="102" t="s">
        <v>1450</v>
      </c>
      <c r="E40" s="102" t="b">
        <v>0</v>
      </c>
      <c r="F40" s="102" t="b">
        <v>0</v>
      </c>
      <c r="G40" s="102" t="b">
        <v>0</v>
      </c>
    </row>
    <row r="41" spans="1:7" ht="15">
      <c r="A41" s="104" t="s">
        <v>1235</v>
      </c>
      <c r="B41" s="102">
        <v>8</v>
      </c>
      <c r="C41" s="106">
        <v>0.005068122368069817</v>
      </c>
      <c r="D41" s="102" t="s">
        <v>1450</v>
      </c>
      <c r="E41" s="102" t="b">
        <v>0</v>
      </c>
      <c r="F41" s="102" t="b">
        <v>0</v>
      </c>
      <c r="G41" s="102" t="b">
        <v>0</v>
      </c>
    </row>
    <row r="42" spans="1:7" ht="15">
      <c r="A42" s="104" t="s">
        <v>1236</v>
      </c>
      <c r="B42" s="102">
        <v>8</v>
      </c>
      <c r="C42" s="106">
        <v>0.005068122368069817</v>
      </c>
      <c r="D42" s="102" t="s">
        <v>1450</v>
      </c>
      <c r="E42" s="102" t="b">
        <v>0</v>
      </c>
      <c r="F42" s="102" t="b">
        <v>0</v>
      </c>
      <c r="G42" s="102" t="b">
        <v>0</v>
      </c>
    </row>
    <row r="43" spans="1:7" ht="15">
      <c r="A43" s="104" t="s">
        <v>1237</v>
      </c>
      <c r="B43" s="102">
        <v>8</v>
      </c>
      <c r="C43" s="106">
        <v>0.005562195473787267</v>
      </c>
      <c r="D43" s="102" t="s">
        <v>1450</v>
      </c>
      <c r="E43" s="102" t="b">
        <v>0</v>
      </c>
      <c r="F43" s="102" t="b">
        <v>0</v>
      </c>
      <c r="G43" s="102" t="b">
        <v>0</v>
      </c>
    </row>
    <row r="44" spans="1:7" ht="15">
      <c r="A44" s="104" t="s">
        <v>1238</v>
      </c>
      <c r="B44" s="102">
        <v>8</v>
      </c>
      <c r="C44" s="106">
        <v>0.006258552405297622</v>
      </c>
      <c r="D44" s="102" t="s">
        <v>1450</v>
      </c>
      <c r="E44" s="102" t="b">
        <v>0</v>
      </c>
      <c r="F44" s="102" t="b">
        <v>0</v>
      </c>
      <c r="G44" s="102" t="b">
        <v>0</v>
      </c>
    </row>
    <row r="45" spans="1:7" ht="15">
      <c r="A45" s="104" t="s">
        <v>1239</v>
      </c>
      <c r="B45" s="102">
        <v>8</v>
      </c>
      <c r="C45" s="106">
        <v>0.005068122368069817</v>
      </c>
      <c r="D45" s="102" t="s">
        <v>1450</v>
      </c>
      <c r="E45" s="102" t="b">
        <v>0</v>
      </c>
      <c r="F45" s="102" t="b">
        <v>0</v>
      </c>
      <c r="G45" s="102" t="b">
        <v>0</v>
      </c>
    </row>
    <row r="46" spans="1:7" ht="15">
      <c r="A46" s="104" t="s">
        <v>1240</v>
      </c>
      <c r="B46" s="102">
        <v>8</v>
      </c>
      <c r="C46" s="106">
        <v>0.005297452855376537</v>
      </c>
      <c r="D46" s="102" t="s">
        <v>1450</v>
      </c>
      <c r="E46" s="102" t="b">
        <v>0</v>
      </c>
      <c r="F46" s="102" t="b">
        <v>0</v>
      </c>
      <c r="G46" s="102" t="b">
        <v>0</v>
      </c>
    </row>
    <row r="47" spans="1:7" ht="15">
      <c r="A47" s="104" t="s">
        <v>1241</v>
      </c>
      <c r="B47" s="102">
        <v>8</v>
      </c>
      <c r="C47" s="106">
        <v>0.006258552405297622</v>
      </c>
      <c r="D47" s="102" t="s">
        <v>1450</v>
      </c>
      <c r="E47" s="102" t="b">
        <v>0</v>
      </c>
      <c r="F47" s="102" t="b">
        <v>0</v>
      </c>
      <c r="G47" s="102" t="b">
        <v>0</v>
      </c>
    </row>
    <row r="48" spans="1:7" ht="15">
      <c r="A48" s="104" t="s">
        <v>1242</v>
      </c>
      <c r="B48" s="102">
        <v>8</v>
      </c>
      <c r="C48" s="106">
        <v>0.005875319531316184</v>
      </c>
      <c r="D48" s="102" t="s">
        <v>1450</v>
      </c>
      <c r="E48" s="102" t="b">
        <v>0</v>
      </c>
      <c r="F48" s="102" t="b">
        <v>0</v>
      </c>
      <c r="G48" s="102" t="b">
        <v>0</v>
      </c>
    </row>
    <row r="49" spans="1:7" ht="15">
      <c r="A49" s="104" t="s">
        <v>1243</v>
      </c>
      <c r="B49" s="102">
        <v>7</v>
      </c>
      <c r="C49" s="106">
        <v>0.0054762333546354205</v>
      </c>
      <c r="D49" s="102" t="s">
        <v>1450</v>
      </c>
      <c r="E49" s="102" t="b">
        <v>0</v>
      </c>
      <c r="F49" s="102" t="b">
        <v>0</v>
      </c>
      <c r="G49" s="102" t="b">
        <v>0</v>
      </c>
    </row>
    <row r="50" spans="1:7" ht="15">
      <c r="A50" s="104" t="s">
        <v>1244</v>
      </c>
      <c r="B50" s="102">
        <v>7</v>
      </c>
      <c r="C50" s="106">
        <v>0.00463527124845447</v>
      </c>
      <c r="D50" s="102" t="s">
        <v>1450</v>
      </c>
      <c r="E50" s="102" t="b">
        <v>1</v>
      </c>
      <c r="F50" s="102" t="b">
        <v>0</v>
      </c>
      <c r="G50" s="102" t="b">
        <v>0</v>
      </c>
    </row>
    <row r="51" spans="1:7" ht="15">
      <c r="A51" s="104" t="s">
        <v>1245</v>
      </c>
      <c r="B51" s="102">
        <v>7</v>
      </c>
      <c r="C51" s="106">
        <v>0.007559485919784079</v>
      </c>
      <c r="D51" s="102" t="s">
        <v>1450</v>
      </c>
      <c r="E51" s="102" t="b">
        <v>0</v>
      </c>
      <c r="F51" s="102" t="b">
        <v>0</v>
      </c>
      <c r="G51" s="102" t="b">
        <v>0</v>
      </c>
    </row>
    <row r="52" spans="1:7" ht="15">
      <c r="A52" s="104" t="s">
        <v>1246</v>
      </c>
      <c r="B52" s="102">
        <v>6</v>
      </c>
      <c r="C52" s="106">
        <v>0.004693914303973218</v>
      </c>
      <c r="D52" s="102" t="s">
        <v>1450</v>
      </c>
      <c r="E52" s="102" t="b">
        <v>0</v>
      </c>
      <c r="F52" s="102" t="b">
        <v>0</v>
      </c>
      <c r="G52" s="102" t="b">
        <v>0</v>
      </c>
    </row>
    <row r="53" spans="1:7" ht="15">
      <c r="A53" s="104" t="s">
        <v>1247</v>
      </c>
      <c r="B53" s="102">
        <v>6</v>
      </c>
      <c r="C53" s="106">
        <v>0.004171646605340451</v>
      </c>
      <c r="D53" s="102" t="s">
        <v>1450</v>
      </c>
      <c r="E53" s="102" t="b">
        <v>0</v>
      </c>
      <c r="F53" s="102" t="b">
        <v>0</v>
      </c>
      <c r="G53" s="102" t="b">
        <v>0</v>
      </c>
    </row>
    <row r="54" spans="1:7" ht="15">
      <c r="A54" s="104" t="s">
        <v>1248</v>
      </c>
      <c r="B54" s="102">
        <v>6</v>
      </c>
      <c r="C54" s="106">
        <v>0.0044064896484871385</v>
      </c>
      <c r="D54" s="102" t="s">
        <v>1450</v>
      </c>
      <c r="E54" s="102" t="b">
        <v>0</v>
      </c>
      <c r="F54" s="102" t="b">
        <v>0</v>
      </c>
      <c r="G54" s="102" t="b">
        <v>0</v>
      </c>
    </row>
    <row r="55" spans="1:7" ht="15">
      <c r="A55" s="104" t="s">
        <v>1249</v>
      </c>
      <c r="B55" s="102">
        <v>6</v>
      </c>
      <c r="C55" s="106">
        <v>0.004171646605340451</v>
      </c>
      <c r="D55" s="102" t="s">
        <v>1450</v>
      </c>
      <c r="E55" s="102" t="b">
        <v>0</v>
      </c>
      <c r="F55" s="102" t="b">
        <v>0</v>
      </c>
      <c r="G55" s="102" t="b">
        <v>0</v>
      </c>
    </row>
    <row r="56" spans="1:7" ht="15">
      <c r="A56" s="104" t="s">
        <v>1250</v>
      </c>
      <c r="B56" s="102">
        <v>6</v>
      </c>
      <c r="C56" s="106">
        <v>0.005064469133261304</v>
      </c>
      <c r="D56" s="102" t="s">
        <v>1450</v>
      </c>
      <c r="E56" s="102" t="b">
        <v>0</v>
      </c>
      <c r="F56" s="102" t="b">
        <v>0</v>
      </c>
      <c r="G56" s="102" t="b">
        <v>0</v>
      </c>
    </row>
    <row r="57" spans="1:7" ht="15">
      <c r="A57" s="104" t="s">
        <v>1251</v>
      </c>
      <c r="B57" s="102">
        <v>6</v>
      </c>
      <c r="C57" s="106">
        <v>0.005064469133261304</v>
      </c>
      <c r="D57" s="102" t="s">
        <v>1450</v>
      </c>
      <c r="E57" s="102" t="b">
        <v>0</v>
      </c>
      <c r="F57" s="102" t="b">
        <v>0</v>
      </c>
      <c r="G57" s="102" t="b">
        <v>0</v>
      </c>
    </row>
    <row r="58" spans="1:7" ht="15">
      <c r="A58" s="104" t="s">
        <v>1252</v>
      </c>
      <c r="B58" s="102">
        <v>6</v>
      </c>
      <c r="C58" s="106">
        <v>0.005064469133261304</v>
      </c>
      <c r="D58" s="102" t="s">
        <v>1450</v>
      </c>
      <c r="E58" s="102" t="b">
        <v>0</v>
      </c>
      <c r="F58" s="102" t="b">
        <v>0</v>
      </c>
      <c r="G58" s="102" t="b">
        <v>0</v>
      </c>
    </row>
    <row r="59" spans="1:7" ht="15">
      <c r="A59" s="104" t="s">
        <v>1253</v>
      </c>
      <c r="B59" s="102">
        <v>6</v>
      </c>
      <c r="C59" s="106">
        <v>0.0064795593598149254</v>
      </c>
      <c r="D59" s="102" t="s">
        <v>1450</v>
      </c>
      <c r="E59" s="102" t="b">
        <v>0</v>
      </c>
      <c r="F59" s="102" t="b">
        <v>0</v>
      </c>
      <c r="G59" s="102" t="b">
        <v>0</v>
      </c>
    </row>
    <row r="60" spans="1:7" ht="15">
      <c r="A60" s="104" t="s">
        <v>1254</v>
      </c>
      <c r="B60" s="102">
        <v>6</v>
      </c>
      <c r="C60" s="106">
        <v>0.0064795593598149254</v>
      </c>
      <c r="D60" s="102" t="s">
        <v>1450</v>
      </c>
      <c r="E60" s="102" t="b">
        <v>0</v>
      </c>
      <c r="F60" s="102" t="b">
        <v>0</v>
      </c>
      <c r="G60" s="102" t="b">
        <v>0</v>
      </c>
    </row>
    <row r="61" spans="1:7" ht="15">
      <c r="A61" s="104" t="s">
        <v>1255</v>
      </c>
      <c r="B61" s="102">
        <v>6</v>
      </c>
      <c r="C61" s="106">
        <v>0.004171646605340451</v>
      </c>
      <c r="D61" s="102" t="s">
        <v>1450</v>
      </c>
      <c r="E61" s="102" t="b">
        <v>0</v>
      </c>
      <c r="F61" s="102" t="b">
        <v>0</v>
      </c>
      <c r="G61" s="102" t="b">
        <v>0</v>
      </c>
    </row>
    <row r="62" spans="1:7" ht="15">
      <c r="A62" s="104" t="s">
        <v>1256</v>
      </c>
      <c r="B62" s="102">
        <v>6</v>
      </c>
      <c r="C62" s="106">
        <v>0.005064469133261304</v>
      </c>
      <c r="D62" s="102" t="s">
        <v>1450</v>
      </c>
      <c r="E62" s="102" t="b">
        <v>0</v>
      </c>
      <c r="F62" s="102" t="b">
        <v>0</v>
      </c>
      <c r="G62" s="102" t="b">
        <v>0</v>
      </c>
    </row>
    <row r="63" spans="1:7" ht="15">
      <c r="A63" s="104" t="s">
        <v>1257</v>
      </c>
      <c r="B63" s="102">
        <v>6</v>
      </c>
      <c r="C63" s="106">
        <v>0.0064795593598149254</v>
      </c>
      <c r="D63" s="102" t="s">
        <v>1450</v>
      </c>
      <c r="E63" s="102" t="b">
        <v>0</v>
      </c>
      <c r="F63" s="102" t="b">
        <v>0</v>
      </c>
      <c r="G63" s="102" t="b">
        <v>0</v>
      </c>
    </row>
    <row r="64" spans="1:7" ht="15">
      <c r="A64" s="104" t="s">
        <v>1258</v>
      </c>
      <c r="B64" s="102">
        <v>6</v>
      </c>
      <c r="C64" s="106">
        <v>0.0064795593598149254</v>
      </c>
      <c r="D64" s="102" t="s">
        <v>1450</v>
      </c>
      <c r="E64" s="102" t="b">
        <v>0</v>
      </c>
      <c r="F64" s="102" t="b">
        <v>0</v>
      </c>
      <c r="G64" s="102" t="b">
        <v>0</v>
      </c>
    </row>
    <row r="65" spans="1:7" ht="15">
      <c r="A65" s="104" t="s">
        <v>1259</v>
      </c>
      <c r="B65" s="102">
        <v>5</v>
      </c>
      <c r="C65" s="106">
        <v>0.004220390944384421</v>
      </c>
      <c r="D65" s="102" t="s">
        <v>1450</v>
      </c>
      <c r="E65" s="102" t="b">
        <v>0</v>
      </c>
      <c r="F65" s="102" t="b">
        <v>0</v>
      </c>
      <c r="G65" s="102" t="b">
        <v>0</v>
      </c>
    </row>
    <row r="66" spans="1:7" ht="15">
      <c r="A66" s="104" t="s">
        <v>1260</v>
      </c>
      <c r="B66" s="102">
        <v>5</v>
      </c>
      <c r="C66" s="106">
        <v>0.004655614026578393</v>
      </c>
      <c r="D66" s="102" t="s">
        <v>1450</v>
      </c>
      <c r="E66" s="102" t="b">
        <v>0</v>
      </c>
      <c r="F66" s="102" t="b">
        <v>0</v>
      </c>
      <c r="G66" s="102" t="b">
        <v>0</v>
      </c>
    </row>
    <row r="67" spans="1:7" ht="15">
      <c r="A67" s="104" t="s">
        <v>1261</v>
      </c>
      <c r="B67" s="102">
        <v>5</v>
      </c>
      <c r="C67" s="106">
        <v>0.004220390944384421</v>
      </c>
      <c r="D67" s="102" t="s">
        <v>1450</v>
      </c>
      <c r="E67" s="102" t="b">
        <v>0</v>
      </c>
      <c r="F67" s="102" t="b">
        <v>0</v>
      </c>
      <c r="G67" s="102" t="b">
        <v>0</v>
      </c>
    </row>
    <row r="68" spans="1:7" ht="15">
      <c r="A68" s="104" t="s">
        <v>1262</v>
      </c>
      <c r="B68" s="102">
        <v>5</v>
      </c>
      <c r="C68" s="106">
        <v>0.003911595253311015</v>
      </c>
      <c r="D68" s="102" t="s">
        <v>1450</v>
      </c>
      <c r="E68" s="102" t="b">
        <v>0</v>
      </c>
      <c r="F68" s="102" t="b">
        <v>0</v>
      </c>
      <c r="G68" s="102" t="b">
        <v>0</v>
      </c>
    </row>
    <row r="69" spans="1:7" ht="15">
      <c r="A69" s="104" t="s">
        <v>1263</v>
      </c>
      <c r="B69" s="102">
        <v>5</v>
      </c>
      <c r="C69" s="106">
        <v>0.003911595253311015</v>
      </c>
      <c r="D69" s="102" t="s">
        <v>1450</v>
      </c>
      <c r="E69" s="102" t="b">
        <v>0</v>
      </c>
      <c r="F69" s="102" t="b">
        <v>0</v>
      </c>
      <c r="G69" s="102" t="b">
        <v>0</v>
      </c>
    </row>
    <row r="70" spans="1:7" ht="15">
      <c r="A70" s="104" t="s">
        <v>1264</v>
      </c>
      <c r="B70" s="102">
        <v>5</v>
      </c>
      <c r="C70" s="106">
        <v>0.003911595253311015</v>
      </c>
      <c r="D70" s="102" t="s">
        <v>1450</v>
      </c>
      <c r="E70" s="102" t="b">
        <v>0</v>
      </c>
      <c r="F70" s="102" t="b">
        <v>0</v>
      </c>
      <c r="G70" s="102" t="b">
        <v>0</v>
      </c>
    </row>
    <row r="71" spans="1:7" ht="15">
      <c r="A71" s="104" t="s">
        <v>1265</v>
      </c>
      <c r="B71" s="102">
        <v>5</v>
      </c>
      <c r="C71" s="106">
        <v>0.004655614026578393</v>
      </c>
      <c r="D71" s="102" t="s">
        <v>1450</v>
      </c>
      <c r="E71" s="102" t="b">
        <v>0</v>
      </c>
      <c r="F71" s="102" t="b">
        <v>0</v>
      </c>
      <c r="G71" s="102" t="b">
        <v>0</v>
      </c>
    </row>
    <row r="72" spans="1:7" ht="15">
      <c r="A72" s="104" t="s">
        <v>1266</v>
      </c>
      <c r="B72" s="102">
        <v>5</v>
      </c>
      <c r="C72" s="106">
        <v>0.004220390944384421</v>
      </c>
      <c r="D72" s="102" t="s">
        <v>1450</v>
      </c>
      <c r="E72" s="102" t="b">
        <v>0</v>
      </c>
      <c r="F72" s="102" t="b">
        <v>0</v>
      </c>
      <c r="G72" s="102" t="b">
        <v>0</v>
      </c>
    </row>
    <row r="73" spans="1:7" ht="15">
      <c r="A73" s="104" t="s">
        <v>1267</v>
      </c>
      <c r="B73" s="102">
        <v>5</v>
      </c>
      <c r="C73" s="106">
        <v>0.0036720747070726157</v>
      </c>
      <c r="D73" s="102" t="s">
        <v>1450</v>
      </c>
      <c r="E73" s="102" t="b">
        <v>0</v>
      </c>
      <c r="F73" s="102" t="b">
        <v>0</v>
      </c>
      <c r="G73" s="102" t="b">
        <v>0</v>
      </c>
    </row>
    <row r="74" spans="1:7" ht="15">
      <c r="A74" s="104" t="s">
        <v>1268</v>
      </c>
      <c r="B74" s="102">
        <v>5</v>
      </c>
      <c r="C74" s="106">
        <v>0.005399632799845771</v>
      </c>
      <c r="D74" s="102" t="s">
        <v>1450</v>
      </c>
      <c r="E74" s="102" t="b">
        <v>0</v>
      </c>
      <c r="F74" s="102" t="b">
        <v>0</v>
      </c>
      <c r="G74" s="102" t="b">
        <v>0</v>
      </c>
    </row>
    <row r="75" spans="1:7" ht="15">
      <c r="A75" s="104" t="s">
        <v>1269</v>
      </c>
      <c r="B75" s="102">
        <v>5</v>
      </c>
      <c r="C75" s="106">
        <v>0.005399632799845771</v>
      </c>
      <c r="D75" s="102" t="s">
        <v>1450</v>
      </c>
      <c r="E75" s="102" t="b">
        <v>0</v>
      </c>
      <c r="F75" s="102" t="b">
        <v>0</v>
      </c>
      <c r="G75" s="102" t="b">
        <v>0</v>
      </c>
    </row>
    <row r="76" spans="1:7" ht="15">
      <c r="A76" s="104" t="s">
        <v>1270</v>
      </c>
      <c r="B76" s="102">
        <v>5</v>
      </c>
      <c r="C76" s="106">
        <v>0.005399632799845771</v>
      </c>
      <c r="D76" s="102" t="s">
        <v>1450</v>
      </c>
      <c r="E76" s="102" t="b">
        <v>0</v>
      </c>
      <c r="F76" s="102" t="b">
        <v>0</v>
      </c>
      <c r="G76" s="102" t="b">
        <v>0</v>
      </c>
    </row>
    <row r="77" spans="1:7" ht="15">
      <c r="A77" s="104" t="s">
        <v>1271</v>
      </c>
      <c r="B77" s="102">
        <v>5</v>
      </c>
      <c r="C77" s="106">
        <v>0.005399632799845771</v>
      </c>
      <c r="D77" s="102" t="s">
        <v>1450</v>
      </c>
      <c r="E77" s="102" t="b">
        <v>0</v>
      </c>
      <c r="F77" s="102" t="b">
        <v>0</v>
      </c>
      <c r="G77" s="102" t="b">
        <v>0</v>
      </c>
    </row>
    <row r="78" spans="1:7" ht="15">
      <c r="A78" s="104" t="s">
        <v>1272</v>
      </c>
      <c r="B78" s="102">
        <v>5</v>
      </c>
      <c r="C78" s="106">
        <v>0.0036720747070726157</v>
      </c>
      <c r="D78" s="102" t="s">
        <v>1450</v>
      </c>
      <c r="E78" s="102" t="b">
        <v>0</v>
      </c>
      <c r="F78" s="102" t="b">
        <v>0</v>
      </c>
      <c r="G78" s="102" t="b">
        <v>0</v>
      </c>
    </row>
    <row r="79" spans="1:7" ht="15">
      <c r="A79" s="104" t="s">
        <v>1273</v>
      </c>
      <c r="B79" s="102">
        <v>4</v>
      </c>
      <c r="C79" s="106">
        <v>0.003129276202648811</v>
      </c>
      <c r="D79" s="102" t="s">
        <v>1450</v>
      </c>
      <c r="E79" s="102" t="b">
        <v>0</v>
      </c>
      <c r="F79" s="102" t="b">
        <v>0</v>
      </c>
      <c r="G79" s="102" t="b">
        <v>0</v>
      </c>
    </row>
    <row r="80" spans="1:7" ht="15">
      <c r="A80" s="104" t="s">
        <v>1274</v>
      </c>
      <c r="B80" s="102">
        <v>4</v>
      </c>
      <c r="C80" s="106">
        <v>0.003129276202648811</v>
      </c>
      <c r="D80" s="102" t="s">
        <v>1450</v>
      </c>
      <c r="E80" s="102" t="b">
        <v>0</v>
      </c>
      <c r="F80" s="102" t="b">
        <v>0</v>
      </c>
      <c r="G80" s="102" t="b">
        <v>0</v>
      </c>
    </row>
    <row r="81" spans="1:7" ht="15">
      <c r="A81" s="104" t="s">
        <v>1275</v>
      </c>
      <c r="B81" s="102">
        <v>4</v>
      </c>
      <c r="C81" s="106">
        <v>0.0033763127555075357</v>
      </c>
      <c r="D81" s="102" t="s">
        <v>1450</v>
      </c>
      <c r="E81" s="102" t="b">
        <v>0</v>
      </c>
      <c r="F81" s="102" t="b">
        <v>0</v>
      </c>
      <c r="G81" s="102" t="b">
        <v>0</v>
      </c>
    </row>
    <row r="82" spans="1:7" ht="15">
      <c r="A82" s="104" t="s">
        <v>1276</v>
      </c>
      <c r="B82" s="102">
        <v>4</v>
      </c>
      <c r="C82" s="106">
        <v>0.0033763127555075357</v>
      </c>
      <c r="D82" s="102" t="s">
        <v>1450</v>
      </c>
      <c r="E82" s="102" t="b">
        <v>0</v>
      </c>
      <c r="F82" s="102" t="b">
        <v>0</v>
      </c>
      <c r="G82" s="102" t="b">
        <v>0</v>
      </c>
    </row>
    <row r="83" spans="1:7" ht="15">
      <c r="A83" s="104" t="s">
        <v>1277</v>
      </c>
      <c r="B83" s="102">
        <v>4</v>
      </c>
      <c r="C83" s="106">
        <v>0.003724491221262714</v>
      </c>
      <c r="D83" s="102" t="s">
        <v>1450</v>
      </c>
      <c r="E83" s="102" t="b">
        <v>0</v>
      </c>
      <c r="F83" s="102" t="b">
        <v>0</v>
      </c>
      <c r="G83" s="102" t="b">
        <v>0</v>
      </c>
    </row>
    <row r="84" spans="1:7" ht="15">
      <c r="A84" s="104" t="s">
        <v>1278</v>
      </c>
      <c r="B84" s="102">
        <v>4</v>
      </c>
      <c r="C84" s="106">
        <v>0.003129276202648811</v>
      </c>
      <c r="D84" s="102" t="s">
        <v>1450</v>
      </c>
      <c r="E84" s="102" t="b">
        <v>0</v>
      </c>
      <c r="F84" s="102" t="b">
        <v>0</v>
      </c>
      <c r="G84" s="102" t="b">
        <v>0</v>
      </c>
    </row>
    <row r="85" spans="1:7" ht="15">
      <c r="A85" s="104" t="s">
        <v>1279</v>
      </c>
      <c r="B85" s="102">
        <v>4</v>
      </c>
      <c r="C85" s="106">
        <v>0.003129276202648811</v>
      </c>
      <c r="D85" s="102" t="s">
        <v>1450</v>
      </c>
      <c r="E85" s="102" t="b">
        <v>0</v>
      </c>
      <c r="F85" s="102" t="b">
        <v>0</v>
      </c>
      <c r="G85" s="102" t="b">
        <v>0</v>
      </c>
    </row>
    <row r="86" spans="1:7" ht="15">
      <c r="A86" s="104" t="s">
        <v>1280</v>
      </c>
      <c r="B86" s="102">
        <v>4</v>
      </c>
      <c r="C86" s="106">
        <v>0.003129276202648811</v>
      </c>
      <c r="D86" s="102" t="s">
        <v>1450</v>
      </c>
      <c r="E86" s="102" t="b">
        <v>0</v>
      </c>
      <c r="F86" s="102" t="b">
        <v>0</v>
      </c>
      <c r="G86" s="102" t="b">
        <v>0</v>
      </c>
    </row>
    <row r="87" spans="1:7" ht="15">
      <c r="A87" s="104" t="s">
        <v>1281</v>
      </c>
      <c r="B87" s="102">
        <v>4</v>
      </c>
      <c r="C87" s="106">
        <v>0.003129276202648811</v>
      </c>
      <c r="D87" s="102" t="s">
        <v>1450</v>
      </c>
      <c r="E87" s="102" t="b">
        <v>0</v>
      </c>
      <c r="F87" s="102" t="b">
        <v>0</v>
      </c>
      <c r="G87" s="102" t="b">
        <v>0</v>
      </c>
    </row>
    <row r="88" spans="1:7" ht="15">
      <c r="A88" s="104" t="s">
        <v>1282</v>
      </c>
      <c r="B88" s="102">
        <v>4</v>
      </c>
      <c r="C88" s="106">
        <v>0.003129276202648811</v>
      </c>
      <c r="D88" s="102" t="s">
        <v>1450</v>
      </c>
      <c r="E88" s="102" t="b">
        <v>0</v>
      </c>
      <c r="F88" s="102" t="b">
        <v>0</v>
      </c>
      <c r="G88" s="102" t="b">
        <v>0</v>
      </c>
    </row>
    <row r="89" spans="1:7" ht="15">
      <c r="A89" s="104" t="s">
        <v>1283</v>
      </c>
      <c r="B89" s="102">
        <v>4</v>
      </c>
      <c r="C89" s="106">
        <v>0.003129276202648811</v>
      </c>
      <c r="D89" s="102" t="s">
        <v>1450</v>
      </c>
      <c r="E89" s="102" t="b">
        <v>0</v>
      </c>
      <c r="F89" s="102" t="b">
        <v>0</v>
      </c>
      <c r="G89" s="102" t="b">
        <v>0</v>
      </c>
    </row>
    <row r="90" spans="1:7" ht="15">
      <c r="A90" s="104" t="s">
        <v>1284</v>
      </c>
      <c r="B90" s="102">
        <v>4</v>
      </c>
      <c r="C90" s="106">
        <v>0.003129276202648811</v>
      </c>
      <c r="D90" s="102" t="s">
        <v>1450</v>
      </c>
      <c r="E90" s="102" t="b">
        <v>0</v>
      </c>
      <c r="F90" s="102" t="b">
        <v>0</v>
      </c>
      <c r="G90" s="102" t="b">
        <v>0</v>
      </c>
    </row>
    <row r="91" spans="1:7" ht="15">
      <c r="A91" s="104" t="s">
        <v>1285</v>
      </c>
      <c r="B91" s="102">
        <v>4</v>
      </c>
      <c r="C91" s="106">
        <v>0.003129276202648811</v>
      </c>
      <c r="D91" s="102" t="s">
        <v>1450</v>
      </c>
      <c r="E91" s="102" t="b">
        <v>0</v>
      </c>
      <c r="F91" s="102" t="b">
        <v>0</v>
      </c>
      <c r="G91" s="102" t="b">
        <v>0</v>
      </c>
    </row>
    <row r="92" spans="1:7" ht="15">
      <c r="A92" s="104" t="s">
        <v>1286</v>
      </c>
      <c r="B92" s="102">
        <v>4</v>
      </c>
      <c r="C92" s="106">
        <v>0.0033763127555075357</v>
      </c>
      <c r="D92" s="102" t="s">
        <v>1450</v>
      </c>
      <c r="E92" s="102" t="b">
        <v>0</v>
      </c>
      <c r="F92" s="102" t="b">
        <v>0</v>
      </c>
      <c r="G92" s="102" t="b">
        <v>0</v>
      </c>
    </row>
    <row r="93" spans="1:7" ht="15">
      <c r="A93" s="104" t="s">
        <v>1287</v>
      </c>
      <c r="B93" s="102">
        <v>4</v>
      </c>
      <c r="C93" s="106">
        <v>0.004319706239876616</v>
      </c>
      <c r="D93" s="102" t="s">
        <v>1450</v>
      </c>
      <c r="E93" s="102" t="b">
        <v>0</v>
      </c>
      <c r="F93" s="102" t="b">
        <v>0</v>
      </c>
      <c r="G93" s="102" t="b">
        <v>0</v>
      </c>
    </row>
    <row r="94" spans="1:7" ht="15">
      <c r="A94" s="104" t="s">
        <v>1288</v>
      </c>
      <c r="B94" s="102">
        <v>4</v>
      </c>
      <c r="C94" s="106">
        <v>0.004319706239876616</v>
      </c>
      <c r="D94" s="102" t="s">
        <v>1450</v>
      </c>
      <c r="E94" s="102" t="b">
        <v>0</v>
      </c>
      <c r="F94" s="102" t="b">
        <v>0</v>
      </c>
      <c r="G94" s="102" t="b">
        <v>0</v>
      </c>
    </row>
    <row r="95" spans="1:7" ht="15">
      <c r="A95" s="104" t="s">
        <v>1289</v>
      </c>
      <c r="B95" s="102">
        <v>4</v>
      </c>
      <c r="C95" s="106">
        <v>0.004319706239876616</v>
      </c>
      <c r="D95" s="102" t="s">
        <v>1450</v>
      </c>
      <c r="E95" s="102" t="b">
        <v>0</v>
      </c>
      <c r="F95" s="102" t="b">
        <v>0</v>
      </c>
      <c r="G95" s="102" t="b">
        <v>0</v>
      </c>
    </row>
    <row r="96" spans="1:7" ht="15">
      <c r="A96" s="104" t="s">
        <v>1290</v>
      </c>
      <c r="B96" s="102">
        <v>4</v>
      </c>
      <c r="C96" s="106">
        <v>0.0033763127555075357</v>
      </c>
      <c r="D96" s="102" t="s">
        <v>1450</v>
      </c>
      <c r="E96" s="102" t="b">
        <v>0</v>
      </c>
      <c r="F96" s="102" t="b">
        <v>0</v>
      </c>
      <c r="G96" s="102" t="b">
        <v>0</v>
      </c>
    </row>
    <row r="97" spans="1:7" ht="15">
      <c r="A97" s="104" t="s">
        <v>1291</v>
      </c>
      <c r="B97" s="102">
        <v>4</v>
      </c>
      <c r="C97" s="106">
        <v>0.003724491221262714</v>
      </c>
      <c r="D97" s="102" t="s">
        <v>1450</v>
      </c>
      <c r="E97" s="102" t="b">
        <v>0</v>
      </c>
      <c r="F97" s="102" t="b">
        <v>0</v>
      </c>
      <c r="G97" s="102" t="b">
        <v>0</v>
      </c>
    </row>
    <row r="98" spans="1:7" ht="15">
      <c r="A98" s="104" t="s">
        <v>1292</v>
      </c>
      <c r="B98" s="102">
        <v>4</v>
      </c>
      <c r="C98" s="106">
        <v>0.0033763127555075357</v>
      </c>
      <c r="D98" s="102" t="s">
        <v>1450</v>
      </c>
      <c r="E98" s="102" t="b">
        <v>0</v>
      </c>
      <c r="F98" s="102" t="b">
        <v>0</v>
      </c>
      <c r="G98" s="102" t="b">
        <v>0</v>
      </c>
    </row>
    <row r="99" spans="1:7" ht="15">
      <c r="A99" s="104" t="s">
        <v>1293</v>
      </c>
      <c r="B99" s="102">
        <v>4</v>
      </c>
      <c r="C99" s="106">
        <v>0.003129276202648811</v>
      </c>
      <c r="D99" s="102" t="s">
        <v>1450</v>
      </c>
      <c r="E99" s="102" t="b">
        <v>0</v>
      </c>
      <c r="F99" s="102" t="b">
        <v>0</v>
      </c>
      <c r="G99" s="102" t="b">
        <v>0</v>
      </c>
    </row>
    <row r="100" spans="1:7" ht="15">
      <c r="A100" s="104" t="s">
        <v>1294</v>
      </c>
      <c r="B100" s="102">
        <v>4</v>
      </c>
      <c r="C100" s="106">
        <v>0.004319706239876616</v>
      </c>
      <c r="D100" s="102" t="s">
        <v>1450</v>
      </c>
      <c r="E100" s="102" t="b">
        <v>0</v>
      </c>
      <c r="F100" s="102" t="b">
        <v>0</v>
      </c>
      <c r="G100" s="102" t="b">
        <v>0</v>
      </c>
    </row>
    <row r="101" spans="1:7" ht="15">
      <c r="A101" s="104" t="s">
        <v>1295</v>
      </c>
      <c r="B101" s="102">
        <v>4</v>
      </c>
      <c r="C101" s="106">
        <v>0.004319706239876616</v>
      </c>
      <c r="D101" s="102" t="s">
        <v>1450</v>
      </c>
      <c r="E101" s="102" t="b">
        <v>0</v>
      </c>
      <c r="F101" s="102" t="b">
        <v>0</v>
      </c>
      <c r="G101" s="102" t="b">
        <v>0</v>
      </c>
    </row>
    <row r="102" spans="1:7" ht="15">
      <c r="A102" s="104" t="s">
        <v>1296</v>
      </c>
      <c r="B102" s="102">
        <v>4</v>
      </c>
      <c r="C102" s="106">
        <v>0.003129276202648811</v>
      </c>
      <c r="D102" s="102" t="s">
        <v>1450</v>
      </c>
      <c r="E102" s="102" t="b">
        <v>0</v>
      </c>
      <c r="F102" s="102" t="b">
        <v>0</v>
      </c>
      <c r="G102" s="102" t="b">
        <v>0</v>
      </c>
    </row>
    <row r="103" spans="1:7" ht="15">
      <c r="A103" s="104" t="s">
        <v>1297</v>
      </c>
      <c r="B103" s="102">
        <v>4</v>
      </c>
      <c r="C103" s="106">
        <v>0.004319706239876616</v>
      </c>
      <c r="D103" s="102" t="s">
        <v>1450</v>
      </c>
      <c r="E103" s="102" t="b">
        <v>0</v>
      </c>
      <c r="F103" s="102" t="b">
        <v>0</v>
      </c>
      <c r="G103" s="102" t="b">
        <v>0</v>
      </c>
    </row>
    <row r="104" spans="1:7" ht="15">
      <c r="A104" s="104" t="s">
        <v>1298</v>
      </c>
      <c r="B104" s="102">
        <v>4</v>
      </c>
      <c r="C104" s="106">
        <v>0.004319706239876616</v>
      </c>
      <c r="D104" s="102" t="s">
        <v>1450</v>
      </c>
      <c r="E104" s="102" t="b">
        <v>0</v>
      </c>
      <c r="F104" s="102" t="b">
        <v>0</v>
      </c>
      <c r="G104" s="102" t="b">
        <v>0</v>
      </c>
    </row>
    <row r="105" spans="1:7" ht="15">
      <c r="A105" s="104" t="s">
        <v>1299</v>
      </c>
      <c r="B105" s="102">
        <v>4</v>
      </c>
      <c r="C105" s="106">
        <v>0.003129276202648811</v>
      </c>
      <c r="D105" s="102" t="s">
        <v>1450</v>
      </c>
      <c r="E105" s="102" t="b">
        <v>0</v>
      </c>
      <c r="F105" s="102" t="b">
        <v>0</v>
      </c>
      <c r="G105" s="102" t="b">
        <v>0</v>
      </c>
    </row>
    <row r="106" spans="1:7" ht="15">
      <c r="A106" s="104" t="s">
        <v>1300</v>
      </c>
      <c r="B106" s="102">
        <v>3</v>
      </c>
      <c r="C106" s="106">
        <v>0.0027933684159470356</v>
      </c>
      <c r="D106" s="102" t="s">
        <v>1450</v>
      </c>
      <c r="E106" s="102" t="b">
        <v>0</v>
      </c>
      <c r="F106" s="102" t="b">
        <v>0</v>
      </c>
      <c r="G106" s="102" t="b">
        <v>0</v>
      </c>
    </row>
    <row r="107" spans="1:7" ht="15">
      <c r="A107" s="104" t="s">
        <v>1301</v>
      </c>
      <c r="B107" s="102">
        <v>3</v>
      </c>
      <c r="C107" s="106">
        <v>0.0027933684159470356</v>
      </c>
      <c r="D107" s="102" t="s">
        <v>1450</v>
      </c>
      <c r="E107" s="102" t="b">
        <v>0</v>
      </c>
      <c r="F107" s="102" t="b">
        <v>0</v>
      </c>
      <c r="G107" s="102" t="b">
        <v>0</v>
      </c>
    </row>
    <row r="108" spans="1:7" ht="15">
      <c r="A108" s="104" t="s">
        <v>1302</v>
      </c>
      <c r="B108" s="102">
        <v>3</v>
      </c>
      <c r="C108" s="106">
        <v>0.002532234566630652</v>
      </c>
      <c r="D108" s="102" t="s">
        <v>1450</v>
      </c>
      <c r="E108" s="102" t="b">
        <v>0</v>
      </c>
      <c r="F108" s="102" t="b">
        <v>0</v>
      </c>
      <c r="G108" s="102" t="b">
        <v>0</v>
      </c>
    </row>
    <row r="109" spans="1:7" ht="15">
      <c r="A109" s="104" t="s">
        <v>1303</v>
      </c>
      <c r="B109" s="102">
        <v>3</v>
      </c>
      <c r="C109" s="106">
        <v>0.002532234566630652</v>
      </c>
      <c r="D109" s="102" t="s">
        <v>1450</v>
      </c>
      <c r="E109" s="102" t="b">
        <v>0</v>
      </c>
      <c r="F109" s="102" t="b">
        <v>0</v>
      </c>
      <c r="G109" s="102" t="b">
        <v>0</v>
      </c>
    </row>
    <row r="110" spans="1:7" ht="15">
      <c r="A110" s="104" t="s">
        <v>1304</v>
      </c>
      <c r="B110" s="102">
        <v>3</v>
      </c>
      <c r="C110" s="106">
        <v>0.002532234566630652</v>
      </c>
      <c r="D110" s="102" t="s">
        <v>1450</v>
      </c>
      <c r="E110" s="102" t="b">
        <v>0</v>
      </c>
      <c r="F110" s="102" t="b">
        <v>0</v>
      </c>
      <c r="G110" s="102" t="b">
        <v>0</v>
      </c>
    </row>
    <row r="111" spans="1:7" ht="15">
      <c r="A111" s="104" t="s">
        <v>1305</v>
      </c>
      <c r="B111" s="102">
        <v>3</v>
      </c>
      <c r="C111" s="106">
        <v>0.002532234566630652</v>
      </c>
      <c r="D111" s="102" t="s">
        <v>1450</v>
      </c>
      <c r="E111" s="102" t="b">
        <v>0</v>
      </c>
      <c r="F111" s="102" t="b">
        <v>0</v>
      </c>
      <c r="G111" s="102" t="b">
        <v>0</v>
      </c>
    </row>
    <row r="112" spans="1:7" ht="15">
      <c r="A112" s="104" t="s">
        <v>1306</v>
      </c>
      <c r="B112" s="102">
        <v>3</v>
      </c>
      <c r="C112" s="106">
        <v>0.0032397796799074627</v>
      </c>
      <c r="D112" s="102" t="s">
        <v>1450</v>
      </c>
      <c r="E112" s="102" t="b">
        <v>0</v>
      </c>
      <c r="F112" s="102" t="b">
        <v>0</v>
      </c>
      <c r="G112" s="102" t="b">
        <v>0</v>
      </c>
    </row>
    <row r="113" spans="1:7" ht="15">
      <c r="A113" s="104" t="s">
        <v>1307</v>
      </c>
      <c r="B113" s="102">
        <v>3</v>
      </c>
      <c r="C113" s="106">
        <v>0.002532234566630652</v>
      </c>
      <c r="D113" s="102" t="s">
        <v>1450</v>
      </c>
      <c r="E113" s="102" t="b">
        <v>0</v>
      </c>
      <c r="F113" s="102" t="b">
        <v>0</v>
      </c>
      <c r="G113" s="102" t="b">
        <v>0</v>
      </c>
    </row>
    <row r="114" spans="1:7" ht="15">
      <c r="A114" s="104" t="s">
        <v>1308</v>
      </c>
      <c r="B114" s="102">
        <v>3</v>
      </c>
      <c r="C114" s="106">
        <v>0.0027933684159470356</v>
      </c>
      <c r="D114" s="102" t="s">
        <v>1450</v>
      </c>
      <c r="E114" s="102" t="b">
        <v>0</v>
      </c>
      <c r="F114" s="102" t="b">
        <v>0</v>
      </c>
      <c r="G114" s="102" t="b">
        <v>0</v>
      </c>
    </row>
    <row r="115" spans="1:7" ht="15">
      <c r="A115" s="104" t="s">
        <v>1309</v>
      </c>
      <c r="B115" s="102">
        <v>3</v>
      </c>
      <c r="C115" s="106">
        <v>0.002532234566630652</v>
      </c>
      <c r="D115" s="102" t="s">
        <v>1450</v>
      </c>
      <c r="E115" s="102" t="b">
        <v>0</v>
      </c>
      <c r="F115" s="102" t="b">
        <v>0</v>
      </c>
      <c r="G115" s="102" t="b">
        <v>0</v>
      </c>
    </row>
    <row r="116" spans="1:7" ht="15">
      <c r="A116" s="104" t="s">
        <v>1310</v>
      </c>
      <c r="B116" s="102">
        <v>3</v>
      </c>
      <c r="C116" s="106">
        <v>0.002532234566630652</v>
      </c>
      <c r="D116" s="102" t="s">
        <v>1450</v>
      </c>
      <c r="E116" s="102" t="b">
        <v>0</v>
      </c>
      <c r="F116" s="102" t="b">
        <v>0</v>
      </c>
      <c r="G116" s="102" t="b">
        <v>0</v>
      </c>
    </row>
    <row r="117" spans="1:7" ht="15">
      <c r="A117" s="104" t="s">
        <v>1311</v>
      </c>
      <c r="B117" s="102">
        <v>3</v>
      </c>
      <c r="C117" s="106">
        <v>0.0027933684159470356</v>
      </c>
      <c r="D117" s="102" t="s">
        <v>1450</v>
      </c>
      <c r="E117" s="102" t="b">
        <v>0</v>
      </c>
      <c r="F117" s="102" t="b">
        <v>0</v>
      </c>
      <c r="G117" s="102" t="b">
        <v>0</v>
      </c>
    </row>
    <row r="118" spans="1:7" ht="15">
      <c r="A118" s="104" t="s">
        <v>1312</v>
      </c>
      <c r="B118" s="102">
        <v>3</v>
      </c>
      <c r="C118" s="106">
        <v>0.002532234566630652</v>
      </c>
      <c r="D118" s="102" t="s">
        <v>1450</v>
      </c>
      <c r="E118" s="102" t="b">
        <v>0</v>
      </c>
      <c r="F118" s="102" t="b">
        <v>0</v>
      </c>
      <c r="G118" s="102" t="b">
        <v>0</v>
      </c>
    </row>
    <row r="119" spans="1:7" ht="15">
      <c r="A119" s="104" t="s">
        <v>1313</v>
      </c>
      <c r="B119" s="102">
        <v>3</v>
      </c>
      <c r="C119" s="106">
        <v>0.0027933684159470356</v>
      </c>
      <c r="D119" s="102" t="s">
        <v>1450</v>
      </c>
      <c r="E119" s="102" t="b">
        <v>0</v>
      </c>
      <c r="F119" s="102" t="b">
        <v>1</v>
      </c>
      <c r="G119" s="102" t="b">
        <v>0</v>
      </c>
    </row>
    <row r="120" spans="1:7" ht="15">
      <c r="A120" s="104" t="s">
        <v>1314</v>
      </c>
      <c r="B120" s="102">
        <v>3</v>
      </c>
      <c r="C120" s="106">
        <v>0.002532234566630652</v>
      </c>
      <c r="D120" s="102" t="s">
        <v>1450</v>
      </c>
      <c r="E120" s="102" t="b">
        <v>0</v>
      </c>
      <c r="F120" s="102" t="b">
        <v>0</v>
      </c>
      <c r="G120" s="102" t="b">
        <v>0</v>
      </c>
    </row>
    <row r="121" spans="1:7" ht="15">
      <c r="A121" s="104" t="s">
        <v>1315</v>
      </c>
      <c r="B121" s="102">
        <v>3</v>
      </c>
      <c r="C121" s="106">
        <v>0.002532234566630652</v>
      </c>
      <c r="D121" s="102" t="s">
        <v>1450</v>
      </c>
      <c r="E121" s="102" t="b">
        <v>0</v>
      </c>
      <c r="F121" s="102" t="b">
        <v>0</v>
      </c>
      <c r="G121" s="102" t="b">
        <v>0</v>
      </c>
    </row>
    <row r="122" spans="1:7" ht="15">
      <c r="A122" s="104" t="s">
        <v>1316</v>
      </c>
      <c r="B122" s="102">
        <v>3</v>
      </c>
      <c r="C122" s="106">
        <v>0.002532234566630652</v>
      </c>
      <c r="D122" s="102" t="s">
        <v>1450</v>
      </c>
      <c r="E122" s="102" t="b">
        <v>0</v>
      </c>
      <c r="F122" s="102" t="b">
        <v>0</v>
      </c>
      <c r="G122" s="102" t="b">
        <v>0</v>
      </c>
    </row>
    <row r="123" spans="1:7" ht="15">
      <c r="A123" s="104" t="s">
        <v>1317</v>
      </c>
      <c r="B123" s="102">
        <v>3</v>
      </c>
      <c r="C123" s="106">
        <v>0.0032397796799074627</v>
      </c>
      <c r="D123" s="102" t="s">
        <v>1450</v>
      </c>
      <c r="E123" s="102" t="b">
        <v>0</v>
      </c>
      <c r="F123" s="102" t="b">
        <v>0</v>
      </c>
      <c r="G123" s="102" t="b">
        <v>0</v>
      </c>
    </row>
    <row r="124" spans="1:7" ht="15">
      <c r="A124" s="104" t="s">
        <v>1318</v>
      </c>
      <c r="B124" s="102">
        <v>3</v>
      </c>
      <c r="C124" s="106">
        <v>0.0027933684159470356</v>
      </c>
      <c r="D124" s="102" t="s">
        <v>1450</v>
      </c>
      <c r="E124" s="102" t="b">
        <v>0</v>
      </c>
      <c r="F124" s="102" t="b">
        <v>0</v>
      </c>
      <c r="G124" s="102" t="b">
        <v>0</v>
      </c>
    </row>
    <row r="125" spans="1:7" ht="15">
      <c r="A125" s="104" t="s">
        <v>1319</v>
      </c>
      <c r="B125" s="102">
        <v>3</v>
      </c>
      <c r="C125" s="106">
        <v>0.0032397796799074627</v>
      </c>
      <c r="D125" s="102" t="s">
        <v>1450</v>
      </c>
      <c r="E125" s="102" t="b">
        <v>0</v>
      </c>
      <c r="F125" s="102" t="b">
        <v>0</v>
      </c>
      <c r="G125" s="102" t="b">
        <v>0</v>
      </c>
    </row>
    <row r="126" spans="1:7" ht="15">
      <c r="A126" s="104" t="s">
        <v>1320</v>
      </c>
      <c r="B126" s="102">
        <v>3</v>
      </c>
      <c r="C126" s="106">
        <v>0.0032397796799074627</v>
      </c>
      <c r="D126" s="102" t="s">
        <v>1450</v>
      </c>
      <c r="E126" s="102" t="b">
        <v>0</v>
      </c>
      <c r="F126" s="102" t="b">
        <v>0</v>
      </c>
      <c r="G126" s="102" t="b">
        <v>0</v>
      </c>
    </row>
    <row r="127" spans="1:7" ht="15">
      <c r="A127" s="104" t="s">
        <v>1321</v>
      </c>
      <c r="B127" s="102">
        <v>3</v>
      </c>
      <c r="C127" s="106">
        <v>0.0027933684159470356</v>
      </c>
      <c r="D127" s="102" t="s">
        <v>1450</v>
      </c>
      <c r="E127" s="102" t="b">
        <v>0</v>
      </c>
      <c r="F127" s="102" t="b">
        <v>0</v>
      </c>
      <c r="G127" s="102" t="b">
        <v>0</v>
      </c>
    </row>
    <row r="128" spans="1:7" ht="15">
      <c r="A128" s="104" t="s">
        <v>1322</v>
      </c>
      <c r="B128" s="102">
        <v>3</v>
      </c>
      <c r="C128" s="106">
        <v>0.002532234566630652</v>
      </c>
      <c r="D128" s="102" t="s">
        <v>1450</v>
      </c>
      <c r="E128" s="102" t="b">
        <v>0</v>
      </c>
      <c r="F128" s="102" t="b">
        <v>0</v>
      </c>
      <c r="G128" s="102" t="b">
        <v>0</v>
      </c>
    </row>
    <row r="129" spans="1:7" ht="15">
      <c r="A129" s="104" t="s">
        <v>1323</v>
      </c>
      <c r="B129" s="102">
        <v>3</v>
      </c>
      <c r="C129" s="106">
        <v>0.002532234566630652</v>
      </c>
      <c r="D129" s="102" t="s">
        <v>1450</v>
      </c>
      <c r="E129" s="102" t="b">
        <v>0</v>
      </c>
      <c r="F129" s="102" t="b">
        <v>0</v>
      </c>
      <c r="G129" s="102" t="b">
        <v>0</v>
      </c>
    </row>
    <row r="130" spans="1:7" ht="15">
      <c r="A130" s="104" t="s">
        <v>1324</v>
      </c>
      <c r="B130" s="102">
        <v>3</v>
      </c>
      <c r="C130" s="106">
        <v>0.0032397796799074627</v>
      </c>
      <c r="D130" s="102" t="s">
        <v>1450</v>
      </c>
      <c r="E130" s="102" t="b">
        <v>0</v>
      </c>
      <c r="F130" s="102" t="b">
        <v>1</v>
      </c>
      <c r="G130" s="102" t="b">
        <v>0</v>
      </c>
    </row>
    <row r="131" spans="1:7" ht="15">
      <c r="A131" s="104" t="s">
        <v>1325</v>
      </c>
      <c r="B131" s="102">
        <v>3</v>
      </c>
      <c r="C131" s="106">
        <v>0.0032397796799074627</v>
      </c>
      <c r="D131" s="102" t="s">
        <v>1450</v>
      </c>
      <c r="E131" s="102" t="b">
        <v>0</v>
      </c>
      <c r="F131" s="102" t="b">
        <v>0</v>
      </c>
      <c r="G131" s="102" t="b">
        <v>0</v>
      </c>
    </row>
    <row r="132" spans="1:7" ht="15">
      <c r="A132" s="104" t="s">
        <v>1326</v>
      </c>
      <c r="B132" s="102">
        <v>3</v>
      </c>
      <c r="C132" s="106">
        <v>0.0032397796799074627</v>
      </c>
      <c r="D132" s="102" t="s">
        <v>1450</v>
      </c>
      <c r="E132" s="102" t="b">
        <v>0</v>
      </c>
      <c r="F132" s="102" t="b">
        <v>0</v>
      </c>
      <c r="G132" s="102" t="b">
        <v>0</v>
      </c>
    </row>
    <row r="133" spans="1:7" ht="15">
      <c r="A133" s="104" t="s">
        <v>1327</v>
      </c>
      <c r="B133" s="102">
        <v>3</v>
      </c>
      <c r="C133" s="106">
        <v>0.0032397796799074627</v>
      </c>
      <c r="D133" s="102" t="s">
        <v>1450</v>
      </c>
      <c r="E133" s="102" t="b">
        <v>0</v>
      </c>
      <c r="F133" s="102" t="b">
        <v>0</v>
      </c>
      <c r="G133" s="102" t="b">
        <v>0</v>
      </c>
    </row>
    <row r="134" spans="1:7" ht="15">
      <c r="A134" s="104" t="s">
        <v>1328</v>
      </c>
      <c r="B134" s="102">
        <v>3</v>
      </c>
      <c r="C134" s="106">
        <v>0.0027933684159470356</v>
      </c>
      <c r="D134" s="102" t="s">
        <v>1450</v>
      </c>
      <c r="E134" s="102" t="b">
        <v>0</v>
      </c>
      <c r="F134" s="102" t="b">
        <v>0</v>
      </c>
      <c r="G134" s="102" t="b">
        <v>0</v>
      </c>
    </row>
    <row r="135" spans="1:7" ht="15">
      <c r="A135" s="104" t="s">
        <v>1329</v>
      </c>
      <c r="B135" s="102">
        <v>3</v>
      </c>
      <c r="C135" s="106">
        <v>0.0032397796799074627</v>
      </c>
      <c r="D135" s="102" t="s">
        <v>1450</v>
      </c>
      <c r="E135" s="102" t="b">
        <v>0</v>
      </c>
      <c r="F135" s="102" t="b">
        <v>0</v>
      </c>
      <c r="G135" s="102" t="b">
        <v>0</v>
      </c>
    </row>
    <row r="136" spans="1:7" ht="15">
      <c r="A136" s="104" t="s">
        <v>1330</v>
      </c>
      <c r="B136" s="102">
        <v>3</v>
      </c>
      <c r="C136" s="106">
        <v>0.0027933684159470356</v>
      </c>
      <c r="D136" s="102" t="s">
        <v>1450</v>
      </c>
      <c r="E136" s="102" t="b">
        <v>0</v>
      </c>
      <c r="F136" s="102" t="b">
        <v>0</v>
      </c>
      <c r="G136" s="102" t="b">
        <v>0</v>
      </c>
    </row>
    <row r="137" spans="1:7" ht="15">
      <c r="A137" s="104" t="s">
        <v>1331</v>
      </c>
      <c r="B137" s="102">
        <v>3</v>
      </c>
      <c r="C137" s="106">
        <v>0.0032397796799074627</v>
      </c>
      <c r="D137" s="102" t="s">
        <v>1450</v>
      </c>
      <c r="E137" s="102" t="b">
        <v>0</v>
      </c>
      <c r="F137" s="102" t="b">
        <v>0</v>
      </c>
      <c r="G137" s="102" t="b">
        <v>0</v>
      </c>
    </row>
    <row r="138" spans="1:7" ht="15">
      <c r="A138" s="104" t="s">
        <v>1332</v>
      </c>
      <c r="B138" s="102">
        <v>3</v>
      </c>
      <c r="C138" s="106">
        <v>0.002532234566630652</v>
      </c>
      <c r="D138" s="102" t="s">
        <v>1450</v>
      </c>
      <c r="E138" s="102" t="b">
        <v>0</v>
      </c>
      <c r="F138" s="102" t="b">
        <v>0</v>
      </c>
      <c r="G138" s="102" t="b">
        <v>0</v>
      </c>
    </row>
    <row r="139" spans="1:7" ht="15">
      <c r="A139" s="104" t="s">
        <v>1333</v>
      </c>
      <c r="B139" s="102">
        <v>3</v>
      </c>
      <c r="C139" s="106">
        <v>0.002532234566630652</v>
      </c>
      <c r="D139" s="102" t="s">
        <v>1450</v>
      </c>
      <c r="E139" s="102" t="b">
        <v>0</v>
      </c>
      <c r="F139" s="102" t="b">
        <v>0</v>
      </c>
      <c r="G139" s="102" t="b">
        <v>0</v>
      </c>
    </row>
    <row r="140" spans="1:7" ht="15">
      <c r="A140" s="104" t="s">
        <v>1334</v>
      </c>
      <c r="B140" s="102">
        <v>3</v>
      </c>
      <c r="C140" s="106">
        <v>0.002532234566630652</v>
      </c>
      <c r="D140" s="102" t="s">
        <v>1450</v>
      </c>
      <c r="E140" s="102" t="b">
        <v>0</v>
      </c>
      <c r="F140" s="102" t="b">
        <v>0</v>
      </c>
      <c r="G140" s="102" t="b">
        <v>0</v>
      </c>
    </row>
    <row r="141" spans="1:7" ht="15">
      <c r="A141" s="104" t="s">
        <v>1335</v>
      </c>
      <c r="B141" s="102">
        <v>3</v>
      </c>
      <c r="C141" s="106">
        <v>0.0032397796799074627</v>
      </c>
      <c r="D141" s="102" t="s">
        <v>1450</v>
      </c>
      <c r="E141" s="102" t="b">
        <v>0</v>
      </c>
      <c r="F141" s="102" t="b">
        <v>0</v>
      </c>
      <c r="G141" s="102" t="b">
        <v>0</v>
      </c>
    </row>
    <row r="142" spans="1:7" ht="15">
      <c r="A142" s="104" t="s">
        <v>1336</v>
      </c>
      <c r="B142" s="102">
        <v>3</v>
      </c>
      <c r="C142" s="106">
        <v>0.0032397796799074627</v>
      </c>
      <c r="D142" s="102" t="s">
        <v>1450</v>
      </c>
      <c r="E142" s="102" t="b">
        <v>0</v>
      </c>
      <c r="F142" s="102" t="b">
        <v>0</v>
      </c>
      <c r="G142" s="102" t="b">
        <v>0</v>
      </c>
    </row>
    <row r="143" spans="1:7" ht="15">
      <c r="A143" s="104" t="s">
        <v>1337</v>
      </c>
      <c r="B143" s="102">
        <v>3</v>
      </c>
      <c r="C143" s="106">
        <v>0.0032397796799074627</v>
      </c>
      <c r="D143" s="102" t="s">
        <v>1450</v>
      </c>
      <c r="E143" s="102" t="b">
        <v>0</v>
      </c>
      <c r="F143" s="102" t="b">
        <v>0</v>
      </c>
      <c r="G143" s="102" t="b">
        <v>0</v>
      </c>
    </row>
    <row r="144" spans="1:7" ht="15">
      <c r="A144" s="104" t="s">
        <v>1338</v>
      </c>
      <c r="B144" s="102">
        <v>2</v>
      </c>
      <c r="C144" s="106">
        <v>0.002159853119938308</v>
      </c>
      <c r="D144" s="102" t="s">
        <v>1450</v>
      </c>
      <c r="E144" s="102" t="b">
        <v>0</v>
      </c>
      <c r="F144" s="102" t="b">
        <v>0</v>
      </c>
      <c r="G144" s="102" t="b">
        <v>0</v>
      </c>
    </row>
    <row r="145" spans="1:7" ht="15">
      <c r="A145" s="104" t="s">
        <v>1339</v>
      </c>
      <c r="B145" s="102">
        <v>2</v>
      </c>
      <c r="C145" s="106">
        <v>0.002159853119938308</v>
      </c>
      <c r="D145" s="102" t="s">
        <v>1450</v>
      </c>
      <c r="E145" s="102" t="b">
        <v>0</v>
      </c>
      <c r="F145" s="102" t="b">
        <v>0</v>
      </c>
      <c r="G145" s="102" t="b">
        <v>0</v>
      </c>
    </row>
    <row r="146" spans="1:7" ht="15">
      <c r="A146" s="104" t="s">
        <v>1340</v>
      </c>
      <c r="B146" s="102">
        <v>2</v>
      </c>
      <c r="C146" s="106">
        <v>0.001862245610631357</v>
      </c>
      <c r="D146" s="102" t="s">
        <v>1450</v>
      </c>
      <c r="E146" s="102" t="b">
        <v>0</v>
      </c>
      <c r="F146" s="102" t="b">
        <v>0</v>
      </c>
      <c r="G146" s="102" t="b">
        <v>0</v>
      </c>
    </row>
    <row r="147" spans="1:7" ht="15">
      <c r="A147" s="104" t="s">
        <v>1341</v>
      </c>
      <c r="B147" s="102">
        <v>2</v>
      </c>
      <c r="C147" s="106">
        <v>0.001862245610631357</v>
      </c>
      <c r="D147" s="102" t="s">
        <v>1450</v>
      </c>
      <c r="E147" s="102" t="b">
        <v>0</v>
      </c>
      <c r="F147" s="102" t="b">
        <v>0</v>
      </c>
      <c r="G147" s="102" t="b">
        <v>0</v>
      </c>
    </row>
    <row r="148" spans="1:7" ht="15">
      <c r="A148" s="104" t="s">
        <v>1342</v>
      </c>
      <c r="B148" s="102">
        <v>2</v>
      </c>
      <c r="C148" s="106">
        <v>0.001862245610631357</v>
      </c>
      <c r="D148" s="102" t="s">
        <v>1450</v>
      </c>
      <c r="E148" s="102" t="b">
        <v>0</v>
      </c>
      <c r="F148" s="102" t="b">
        <v>0</v>
      </c>
      <c r="G148" s="102" t="b">
        <v>0</v>
      </c>
    </row>
    <row r="149" spans="1:7" ht="15">
      <c r="A149" s="104" t="s">
        <v>1343</v>
      </c>
      <c r="B149" s="102">
        <v>2</v>
      </c>
      <c r="C149" s="106">
        <v>0.001862245610631357</v>
      </c>
      <c r="D149" s="102" t="s">
        <v>1450</v>
      </c>
      <c r="E149" s="102" t="b">
        <v>0</v>
      </c>
      <c r="F149" s="102" t="b">
        <v>0</v>
      </c>
      <c r="G149" s="102" t="b">
        <v>0</v>
      </c>
    </row>
    <row r="150" spans="1:7" ht="15">
      <c r="A150" s="104" t="s">
        <v>1344</v>
      </c>
      <c r="B150" s="102">
        <v>2</v>
      </c>
      <c r="C150" s="106">
        <v>0.001862245610631357</v>
      </c>
      <c r="D150" s="102" t="s">
        <v>1450</v>
      </c>
      <c r="E150" s="102" t="b">
        <v>0</v>
      </c>
      <c r="F150" s="102" t="b">
        <v>0</v>
      </c>
      <c r="G150" s="102" t="b">
        <v>0</v>
      </c>
    </row>
    <row r="151" spans="1:7" ht="15">
      <c r="A151" s="104" t="s">
        <v>1345</v>
      </c>
      <c r="B151" s="102">
        <v>2</v>
      </c>
      <c r="C151" s="106">
        <v>0.001862245610631357</v>
      </c>
      <c r="D151" s="102" t="s">
        <v>1450</v>
      </c>
      <c r="E151" s="102" t="b">
        <v>0</v>
      </c>
      <c r="F151" s="102" t="b">
        <v>0</v>
      </c>
      <c r="G151" s="102" t="b">
        <v>0</v>
      </c>
    </row>
    <row r="152" spans="1:7" ht="15">
      <c r="A152" s="104" t="s">
        <v>1346</v>
      </c>
      <c r="B152" s="102">
        <v>2</v>
      </c>
      <c r="C152" s="106">
        <v>0.002159853119938308</v>
      </c>
      <c r="D152" s="102" t="s">
        <v>1450</v>
      </c>
      <c r="E152" s="102" t="b">
        <v>0</v>
      </c>
      <c r="F152" s="102" t="b">
        <v>0</v>
      </c>
      <c r="G152" s="102" t="b">
        <v>0</v>
      </c>
    </row>
    <row r="153" spans="1:7" ht="15">
      <c r="A153" s="104" t="s">
        <v>1347</v>
      </c>
      <c r="B153" s="102">
        <v>2</v>
      </c>
      <c r="C153" s="106">
        <v>0.002159853119938308</v>
      </c>
      <c r="D153" s="102" t="s">
        <v>1450</v>
      </c>
      <c r="E153" s="102" t="b">
        <v>0</v>
      </c>
      <c r="F153" s="102" t="b">
        <v>0</v>
      </c>
      <c r="G153" s="102" t="b">
        <v>0</v>
      </c>
    </row>
    <row r="154" spans="1:7" ht="15">
      <c r="A154" s="104" t="s">
        <v>1348</v>
      </c>
      <c r="B154" s="102">
        <v>2</v>
      </c>
      <c r="C154" s="106">
        <v>0.002159853119938308</v>
      </c>
      <c r="D154" s="102" t="s">
        <v>1450</v>
      </c>
      <c r="E154" s="102" t="b">
        <v>0</v>
      </c>
      <c r="F154" s="102" t="b">
        <v>0</v>
      </c>
      <c r="G154" s="102" t="b">
        <v>0</v>
      </c>
    </row>
    <row r="155" spans="1:7" ht="15">
      <c r="A155" s="104" t="s">
        <v>1349</v>
      </c>
      <c r="B155" s="102">
        <v>2</v>
      </c>
      <c r="C155" s="106">
        <v>0.002159853119938308</v>
      </c>
      <c r="D155" s="102" t="s">
        <v>1450</v>
      </c>
      <c r="E155" s="102" t="b">
        <v>0</v>
      </c>
      <c r="F155" s="102" t="b">
        <v>0</v>
      </c>
      <c r="G155" s="102" t="b">
        <v>0</v>
      </c>
    </row>
    <row r="156" spans="1:7" ht="15">
      <c r="A156" s="104" t="s">
        <v>1350</v>
      </c>
      <c r="B156" s="102">
        <v>2</v>
      </c>
      <c r="C156" s="106">
        <v>0.001862245610631357</v>
      </c>
      <c r="D156" s="102" t="s">
        <v>1450</v>
      </c>
      <c r="E156" s="102" t="b">
        <v>0</v>
      </c>
      <c r="F156" s="102" t="b">
        <v>0</v>
      </c>
      <c r="G156" s="102" t="b">
        <v>0</v>
      </c>
    </row>
    <row r="157" spans="1:7" ht="15">
      <c r="A157" s="104" t="s">
        <v>1351</v>
      </c>
      <c r="B157" s="102">
        <v>2</v>
      </c>
      <c r="C157" s="106">
        <v>0.002159853119938308</v>
      </c>
      <c r="D157" s="102" t="s">
        <v>1450</v>
      </c>
      <c r="E157" s="102" t="b">
        <v>0</v>
      </c>
      <c r="F157" s="102" t="b">
        <v>0</v>
      </c>
      <c r="G157" s="102" t="b">
        <v>0</v>
      </c>
    </row>
    <row r="158" spans="1:7" ht="15">
      <c r="A158" s="104" t="s">
        <v>1352</v>
      </c>
      <c r="B158" s="102">
        <v>2</v>
      </c>
      <c r="C158" s="106">
        <v>0.001862245610631357</v>
      </c>
      <c r="D158" s="102" t="s">
        <v>1450</v>
      </c>
      <c r="E158" s="102" t="b">
        <v>0</v>
      </c>
      <c r="F158" s="102" t="b">
        <v>0</v>
      </c>
      <c r="G158" s="102" t="b">
        <v>0</v>
      </c>
    </row>
    <row r="159" spans="1:7" ht="15">
      <c r="A159" s="104" t="s">
        <v>1353</v>
      </c>
      <c r="B159" s="102">
        <v>2</v>
      </c>
      <c r="C159" s="106">
        <v>0.002159853119938308</v>
      </c>
      <c r="D159" s="102" t="s">
        <v>1450</v>
      </c>
      <c r="E159" s="102" t="b">
        <v>0</v>
      </c>
      <c r="F159" s="102" t="b">
        <v>0</v>
      </c>
      <c r="G159" s="102" t="b">
        <v>0</v>
      </c>
    </row>
    <row r="160" spans="1:7" ht="15">
      <c r="A160" s="104" t="s">
        <v>1354</v>
      </c>
      <c r="B160" s="102">
        <v>2</v>
      </c>
      <c r="C160" s="106">
        <v>0.002159853119938308</v>
      </c>
      <c r="D160" s="102" t="s">
        <v>1450</v>
      </c>
      <c r="E160" s="102" t="b">
        <v>0</v>
      </c>
      <c r="F160" s="102" t="b">
        <v>0</v>
      </c>
      <c r="G160" s="102" t="b">
        <v>0</v>
      </c>
    </row>
    <row r="161" spans="1:7" ht="15">
      <c r="A161" s="104" t="s">
        <v>1355</v>
      </c>
      <c r="B161" s="102">
        <v>2</v>
      </c>
      <c r="C161" s="106">
        <v>0.002159853119938308</v>
      </c>
      <c r="D161" s="102" t="s">
        <v>1450</v>
      </c>
      <c r="E161" s="102" t="b">
        <v>0</v>
      </c>
      <c r="F161" s="102" t="b">
        <v>0</v>
      </c>
      <c r="G161" s="102" t="b">
        <v>0</v>
      </c>
    </row>
    <row r="162" spans="1:7" ht="15">
      <c r="A162" s="104" t="s">
        <v>1356</v>
      </c>
      <c r="B162" s="102">
        <v>2</v>
      </c>
      <c r="C162" s="106">
        <v>0.001862245610631357</v>
      </c>
      <c r="D162" s="102" t="s">
        <v>1450</v>
      </c>
      <c r="E162" s="102" t="b">
        <v>0</v>
      </c>
      <c r="F162" s="102" t="b">
        <v>0</v>
      </c>
      <c r="G162" s="102" t="b">
        <v>0</v>
      </c>
    </row>
    <row r="163" spans="1:7" ht="15">
      <c r="A163" s="104" t="s">
        <v>1357</v>
      </c>
      <c r="B163" s="102">
        <v>2</v>
      </c>
      <c r="C163" s="106">
        <v>0.001862245610631357</v>
      </c>
      <c r="D163" s="102" t="s">
        <v>1450</v>
      </c>
      <c r="E163" s="102" t="b">
        <v>0</v>
      </c>
      <c r="F163" s="102" t="b">
        <v>0</v>
      </c>
      <c r="G163" s="102" t="b">
        <v>0</v>
      </c>
    </row>
    <row r="164" spans="1:7" ht="15">
      <c r="A164" s="104" t="s">
        <v>1358</v>
      </c>
      <c r="B164" s="102">
        <v>2</v>
      </c>
      <c r="C164" s="106">
        <v>0.001862245610631357</v>
      </c>
      <c r="D164" s="102" t="s">
        <v>1450</v>
      </c>
      <c r="E164" s="102" t="b">
        <v>0</v>
      </c>
      <c r="F164" s="102" t="b">
        <v>0</v>
      </c>
      <c r="G164" s="102" t="b">
        <v>0</v>
      </c>
    </row>
    <row r="165" spans="1:7" ht="15">
      <c r="A165" s="104" t="s">
        <v>1359</v>
      </c>
      <c r="B165" s="102">
        <v>2</v>
      </c>
      <c r="C165" s="106">
        <v>0.001862245610631357</v>
      </c>
      <c r="D165" s="102" t="s">
        <v>1450</v>
      </c>
      <c r="E165" s="102" t="b">
        <v>0</v>
      </c>
      <c r="F165" s="102" t="b">
        <v>0</v>
      </c>
      <c r="G165" s="102" t="b">
        <v>0</v>
      </c>
    </row>
    <row r="166" spans="1:7" ht="15">
      <c r="A166" s="104" t="s">
        <v>1360</v>
      </c>
      <c r="B166" s="102">
        <v>2</v>
      </c>
      <c r="C166" s="106">
        <v>0.001862245610631357</v>
      </c>
      <c r="D166" s="102" t="s">
        <v>1450</v>
      </c>
      <c r="E166" s="102" t="b">
        <v>0</v>
      </c>
      <c r="F166" s="102" t="b">
        <v>0</v>
      </c>
      <c r="G166" s="102" t="b">
        <v>0</v>
      </c>
    </row>
    <row r="167" spans="1:7" ht="15">
      <c r="A167" s="104" t="s">
        <v>1361</v>
      </c>
      <c r="B167" s="102">
        <v>2</v>
      </c>
      <c r="C167" s="106">
        <v>0.001862245610631357</v>
      </c>
      <c r="D167" s="102" t="s">
        <v>1450</v>
      </c>
      <c r="E167" s="102" t="b">
        <v>0</v>
      </c>
      <c r="F167" s="102" t="b">
        <v>0</v>
      </c>
      <c r="G167" s="102" t="b">
        <v>0</v>
      </c>
    </row>
    <row r="168" spans="1:7" ht="15">
      <c r="A168" s="104" t="s">
        <v>1362</v>
      </c>
      <c r="B168" s="102">
        <v>2</v>
      </c>
      <c r="C168" s="106">
        <v>0.001862245610631357</v>
      </c>
      <c r="D168" s="102" t="s">
        <v>1450</v>
      </c>
      <c r="E168" s="102" t="b">
        <v>0</v>
      </c>
      <c r="F168" s="102" t="b">
        <v>0</v>
      </c>
      <c r="G168" s="102" t="b">
        <v>0</v>
      </c>
    </row>
    <row r="169" spans="1:7" ht="15">
      <c r="A169" s="104" t="s">
        <v>1363</v>
      </c>
      <c r="B169" s="102">
        <v>2</v>
      </c>
      <c r="C169" s="106">
        <v>0.001862245610631357</v>
      </c>
      <c r="D169" s="102" t="s">
        <v>1450</v>
      </c>
      <c r="E169" s="102" t="b">
        <v>0</v>
      </c>
      <c r="F169" s="102" t="b">
        <v>0</v>
      </c>
      <c r="G169" s="102" t="b">
        <v>0</v>
      </c>
    </row>
    <row r="170" spans="1:7" ht="15">
      <c r="A170" s="104" t="s">
        <v>1364</v>
      </c>
      <c r="B170" s="102">
        <v>2</v>
      </c>
      <c r="C170" s="106">
        <v>0.001862245610631357</v>
      </c>
      <c r="D170" s="102" t="s">
        <v>1450</v>
      </c>
      <c r="E170" s="102" t="b">
        <v>0</v>
      </c>
      <c r="F170" s="102" t="b">
        <v>0</v>
      </c>
      <c r="G170" s="102" t="b">
        <v>0</v>
      </c>
    </row>
    <row r="171" spans="1:7" ht="15">
      <c r="A171" s="104" t="s">
        <v>1365</v>
      </c>
      <c r="B171" s="102">
        <v>2</v>
      </c>
      <c r="C171" s="106">
        <v>0.002159853119938308</v>
      </c>
      <c r="D171" s="102" t="s">
        <v>1450</v>
      </c>
      <c r="E171" s="102" t="b">
        <v>0</v>
      </c>
      <c r="F171" s="102" t="b">
        <v>0</v>
      </c>
      <c r="G171" s="102" t="b">
        <v>0</v>
      </c>
    </row>
    <row r="172" spans="1:7" ht="15">
      <c r="A172" s="104" t="s">
        <v>1366</v>
      </c>
      <c r="B172" s="102">
        <v>2</v>
      </c>
      <c r="C172" s="106">
        <v>0.002159853119938308</v>
      </c>
      <c r="D172" s="102" t="s">
        <v>1450</v>
      </c>
      <c r="E172" s="102" t="b">
        <v>0</v>
      </c>
      <c r="F172" s="102" t="b">
        <v>0</v>
      </c>
      <c r="G172" s="102" t="b">
        <v>0</v>
      </c>
    </row>
    <row r="173" spans="1:7" ht="15">
      <c r="A173" s="104" t="s">
        <v>1367</v>
      </c>
      <c r="B173" s="102">
        <v>2</v>
      </c>
      <c r="C173" s="106">
        <v>0.002159853119938308</v>
      </c>
      <c r="D173" s="102" t="s">
        <v>1450</v>
      </c>
      <c r="E173" s="102" t="b">
        <v>0</v>
      </c>
      <c r="F173" s="102" t="b">
        <v>0</v>
      </c>
      <c r="G173" s="102" t="b">
        <v>0</v>
      </c>
    </row>
    <row r="174" spans="1:7" ht="15">
      <c r="A174" s="104" t="s">
        <v>1368</v>
      </c>
      <c r="B174" s="102">
        <v>2</v>
      </c>
      <c r="C174" s="106">
        <v>0.002159853119938308</v>
      </c>
      <c r="D174" s="102" t="s">
        <v>1450</v>
      </c>
      <c r="E174" s="102" t="b">
        <v>0</v>
      </c>
      <c r="F174" s="102" t="b">
        <v>0</v>
      </c>
      <c r="G174" s="102" t="b">
        <v>0</v>
      </c>
    </row>
    <row r="175" spans="1:7" ht="15">
      <c r="A175" s="104" t="s">
        <v>1369</v>
      </c>
      <c r="B175" s="102">
        <v>2</v>
      </c>
      <c r="C175" s="106">
        <v>0.002159853119938308</v>
      </c>
      <c r="D175" s="102" t="s">
        <v>1450</v>
      </c>
      <c r="E175" s="102" t="b">
        <v>0</v>
      </c>
      <c r="F175" s="102" t="b">
        <v>0</v>
      </c>
      <c r="G175" s="102" t="b">
        <v>0</v>
      </c>
    </row>
    <row r="176" spans="1:7" ht="15">
      <c r="A176" s="104" t="s">
        <v>1370</v>
      </c>
      <c r="B176" s="102">
        <v>2</v>
      </c>
      <c r="C176" s="106">
        <v>0.001862245610631357</v>
      </c>
      <c r="D176" s="102" t="s">
        <v>1450</v>
      </c>
      <c r="E176" s="102" t="b">
        <v>0</v>
      </c>
      <c r="F176" s="102" t="b">
        <v>0</v>
      </c>
      <c r="G176" s="102" t="b">
        <v>0</v>
      </c>
    </row>
    <row r="177" spans="1:7" ht="15">
      <c r="A177" s="104" t="s">
        <v>1371</v>
      </c>
      <c r="B177" s="102">
        <v>2</v>
      </c>
      <c r="C177" s="106">
        <v>0.001862245610631357</v>
      </c>
      <c r="D177" s="102" t="s">
        <v>1450</v>
      </c>
      <c r="E177" s="102" t="b">
        <v>0</v>
      </c>
      <c r="F177" s="102" t="b">
        <v>0</v>
      </c>
      <c r="G177" s="102" t="b">
        <v>0</v>
      </c>
    </row>
    <row r="178" spans="1:7" ht="15">
      <c r="A178" s="104" t="s">
        <v>1372</v>
      </c>
      <c r="B178" s="102">
        <v>2</v>
      </c>
      <c r="C178" s="106">
        <v>0.002159853119938308</v>
      </c>
      <c r="D178" s="102" t="s">
        <v>1450</v>
      </c>
      <c r="E178" s="102" t="b">
        <v>0</v>
      </c>
      <c r="F178" s="102" t="b">
        <v>0</v>
      </c>
      <c r="G178" s="102" t="b">
        <v>0</v>
      </c>
    </row>
    <row r="179" spans="1:7" ht="15">
      <c r="A179" s="104" t="s">
        <v>1373</v>
      </c>
      <c r="B179" s="102">
        <v>2</v>
      </c>
      <c r="C179" s="106">
        <v>0.001862245610631357</v>
      </c>
      <c r="D179" s="102" t="s">
        <v>1450</v>
      </c>
      <c r="E179" s="102" t="b">
        <v>0</v>
      </c>
      <c r="F179" s="102" t="b">
        <v>0</v>
      </c>
      <c r="G179" s="102" t="b">
        <v>0</v>
      </c>
    </row>
    <row r="180" spans="1:7" ht="15">
      <c r="A180" s="104" t="s">
        <v>1374</v>
      </c>
      <c r="B180" s="102">
        <v>2</v>
      </c>
      <c r="C180" s="106">
        <v>0.001862245610631357</v>
      </c>
      <c r="D180" s="102" t="s">
        <v>1450</v>
      </c>
      <c r="E180" s="102" t="b">
        <v>0</v>
      </c>
      <c r="F180" s="102" t="b">
        <v>0</v>
      </c>
      <c r="G180" s="102" t="b">
        <v>0</v>
      </c>
    </row>
    <row r="181" spans="1:7" ht="15">
      <c r="A181" s="104" t="s">
        <v>1375</v>
      </c>
      <c r="B181" s="102">
        <v>2</v>
      </c>
      <c r="C181" s="106">
        <v>0.001862245610631357</v>
      </c>
      <c r="D181" s="102" t="s">
        <v>1450</v>
      </c>
      <c r="E181" s="102" t="b">
        <v>0</v>
      </c>
      <c r="F181" s="102" t="b">
        <v>0</v>
      </c>
      <c r="G181" s="102" t="b">
        <v>0</v>
      </c>
    </row>
    <row r="182" spans="1:7" ht="15">
      <c r="A182" s="104" t="s">
        <v>1376</v>
      </c>
      <c r="B182" s="102">
        <v>2</v>
      </c>
      <c r="C182" s="106">
        <v>0.001862245610631357</v>
      </c>
      <c r="D182" s="102" t="s">
        <v>1450</v>
      </c>
      <c r="E182" s="102" t="b">
        <v>0</v>
      </c>
      <c r="F182" s="102" t="b">
        <v>0</v>
      </c>
      <c r="G182" s="102" t="b">
        <v>0</v>
      </c>
    </row>
    <row r="183" spans="1:7" ht="15">
      <c r="A183" s="104" t="s">
        <v>1377</v>
      </c>
      <c r="B183" s="102">
        <v>2</v>
      </c>
      <c r="C183" s="106">
        <v>0.001862245610631357</v>
      </c>
      <c r="D183" s="102" t="s">
        <v>1450</v>
      </c>
      <c r="E183" s="102" t="b">
        <v>0</v>
      </c>
      <c r="F183" s="102" t="b">
        <v>0</v>
      </c>
      <c r="G183" s="102" t="b">
        <v>0</v>
      </c>
    </row>
    <row r="184" spans="1:7" ht="15">
      <c r="A184" s="104" t="s">
        <v>1378</v>
      </c>
      <c r="B184" s="102">
        <v>2</v>
      </c>
      <c r="C184" s="106">
        <v>0.002159853119938308</v>
      </c>
      <c r="D184" s="102" t="s">
        <v>1450</v>
      </c>
      <c r="E184" s="102" t="b">
        <v>0</v>
      </c>
      <c r="F184" s="102" t="b">
        <v>0</v>
      </c>
      <c r="G184" s="102" t="b">
        <v>0</v>
      </c>
    </row>
    <row r="185" spans="1:7" ht="15">
      <c r="A185" s="104" t="s">
        <v>1379</v>
      </c>
      <c r="B185" s="102">
        <v>2</v>
      </c>
      <c r="C185" s="106">
        <v>0.001862245610631357</v>
      </c>
      <c r="D185" s="102" t="s">
        <v>1450</v>
      </c>
      <c r="E185" s="102" t="b">
        <v>0</v>
      </c>
      <c r="F185" s="102" t="b">
        <v>0</v>
      </c>
      <c r="G185" s="102" t="b">
        <v>0</v>
      </c>
    </row>
    <row r="186" spans="1:7" ht="15">
      <c r="A186" s="104" t="s">
        <v>1380</v>
      </c>
      <c r="B186" s="102">
        <v>2</v>
      </c>
      <c r="C186" s="106">
        <v>0.002159853119938308</v>
      </c>
      <c r="D186" s="102" t="s">
        <v>1450</v>
      </c>
      <c r="E186" s="102" t="b">
        <v>0</v>
      </c>
      <c r="F186" s="102" t="b">
        <v>0</v>
      </c>
      <c r="G186" s="102" t="b">
        <v>0</v>
      </c>
    </row>
    <row r="187" spans="1:7" ht="15">
      <c r="A187" s="104" t="s">
        <v>1381</v>
      </c>
      <c r="B187" s="102">
        <v>2</v>
      </c>
      <c r="C187" s="106">
        <v>0.001862245610631357</v>
      </c>
      <c r="D187" s="102" t="s">
        <v>1450</v>
      </c>
      <c r="E187" s="102" t="b">
        <v>0</v>
      </c>
      <c r="F187" s="102" t="b">
        <v>0</v>
      </c>
      <c r="G187" s="102" t="b">
        <v>0</v>
      </c>
    </row>
    <row r="188" spans="1:7" ht="15">
      <c r="A188" s="104" t="s">
        <v>1382</v>
      </c>
      <c r="B188" s="102">
        <v>2</v>
      </c>
      <c r="C188" s="106">
        <v>0.001862245610631357</v>
      </c>
      <c r="D188" s="102" t="s">
        <v>1450</v>
      </c>
      <c r="E188" s="102" t="b">
        <v>0</v>
      </c>
      <c r="F188" s="102" t="b">
        <v>0</v>
      </c>
      <c r="G188" s="102" t="b">
        <v>0</v>
      </c>
    </row>
    <row r="189" spans="1:7" ht="15">
      <c r="A189" s="104" t="s">
        <v>1383</v>
      </c>
      <c r="B189" s="102">
        <v>2</v>
      </c>
      <c r="C189" s="106">
        <v>0.001862245610631357</v>
      </c>
      <c r="D189" s="102" t="s">
        <v>1450</v>
      </c>
      <c r="E189" s="102" t="b">
        <v>0</v>
      </c>
      <c r="F189" s="102" t="b">
        <v>0</v>
      </c>
      <c r="G189" s="102" t="b">
        <v>0</v>
      </c>
    </row>
    <row r="190" spans="1:7" ht="15">
      <c r="A190" s="104" t="s">
        <v>1384</v>
      </c>
      <c r="B190" s="102">
        <v>2</v>
      </c>
      <c r="C190" s="106">
        <v>0.002159853119938308</v>
      </c>
      <c r="D190" s="102" t="s">
        <v>1450</v>
      </c>
      <c r="E190" s="102" t="b">
        <v>0</v>
      </c>
      <c r="F190" s="102" t="b">
        <v>0</v>
      </c>
      <c r="G190" s="102" t="b">
        <v>0</v>
      </c>
    </row>
    <row r="191" spans="1:7" ht="15">
      <c r="A191" s="104" t="s">
        <v>1385</v>
      </c>
      <c r="B191" s="102">
        <v>2</v>
      </c>
      <c r="C191" s="106">
        <v>0.001862245610631357</v>
      </c>
      <c r="D191" s="102" t="s">
        <v>1450</v>
      </c>
      <c r="E191" s="102" t="b">
        <v>0</v>
      </c>
      <c r="F191" s="102" t="b">
        <v>0</v>
      </c>
      <c r="G191" s="102" t="b">
        <v>0</v>
      </c>
    </row>
    <row r="192" spans="1:7" ht="15">
      <c r="A192" s="104" t="s">
        <v>1386</v>
      </c>
      <c r="B192" s="102">
        <v>2</v>
      </c>
      <c r="C192" s="106">
        <v>0.002159853119938308</v>
      </c>
      <c r="D192" s="102" t="s">
        <v>1450</v>
      </c>
      <c r="E192" s="102" t="b">
        <v>0</v>
      </c>
      <c r="F192" s="102" t="b">
        <v>0</v>
      </c>
      <c r="G192" s="102" t="b">
        <v>0</v>
      </c>
    </row>
    <row r="193" spans="1:7" ht="15">
      <c r="A193" s="104" t="s">
        <v>1387</v>
      </c>
      <c r="B193" s="102">
        <v>2</v>
      </c>
      <c r="C193" s="106">
        <v>0.001862245610631357</v>
      </c>
      <c r="D193" s="102" t="s">
        <v>1450</v>
      </c>
      <c r="E193" s="102" t="b">
        <v>0</v>
      </c>
      <c r="F193" s="102" t="b">
        <v>0</v>
      </c>
      <c r="G193" s="102" t="b">
        <v>0</v>
      </c>
    </row>
    <row r="194" spans="1:7" ht="15">
      <c r="A194" s="104" t="s">
        <v>1388</v>
      </c>
      <c r="B194" s="102">
        <v>2</v>
      </c>
      <c r="C194" s="106">
        <v>0.002159853119938308</v>
      </c>
      <c r="D194" s="102" t="s">
        <v>1450</v>
      </c>
      <c r="E194" s="102" t="b">
        <v>0</v>
      </c>
      <c r="F194" s="102" t="b">
        <v>0</v>
      </c>
      <c r="G194" s="102" t="b">
        <v>0</v>
      </c>
    </row>
    <row r="195" spans="1:7" ht="15">
      <c r="A195" s="104" t="s">
        <v>1389</v>
      </c>
      <c r="B195" s="102">
        <v>2</v>
      </c>
      <c r="C195" s="106">
        <v>0.001862245610631357</v>
      </c>
      <c r="D195" s="102" t="s">
        <v>1450</v>
      </c>
      <c r="E195" s="102" t="b">
        <v>0</v>
      </c>
      <c r="F195" s="102" t="b">
        <v>0</v>
      </c>
      <c r="G195" s="102" t="b">
        <v>0</v>
      </c>
    </row>
    <row r="196" spans="1:7" ht="15">
      <c r="A196" s="104" t="s">
        <v>1390</v>
      </c>
      <c r="B196" s="102">
        <v>2</v>
      </c>
      <c r="C196" s="106">
        <v>0.001862245610631357</v>
      </c>
      <c r="D196" s="102" t="s">
        <v>1450</v>
      </c>
      <c r="E196" s="102" t="b">
        <v>0</v>
      </c>
      <c r="F196" s="102" t="b">
        <v>0</v>
      </c>
      <c r="G196" s="102" t="b">
        <v>0</v>
      </c>
    </row>
    <row r="197" spans="1:7" ht="15">
      <c r="A197" s="104" t="s">
        <v>1391</v>
      </c>
      <c r="B197" s="102">
        <v>2</v>
      </c>
      <c r="C197" s="106">
        <v>0.001862245610631357</v>
      </c>
      <c r="D197" s="102" t="s">
        <v>1450</v>
      </c>
      <c r="E197" s="102" t="b">
        <v>1</v>
      </c>
      <c r="F197" s="102" t="b">
        <v>0</v>
      </c>
      <c r="G197" s="102" t="b">
        <v>0</v>
      </c>
    </row>
    <row r="198" spans="1:7" ht="15">
      <c r="A198" s="104" t="s">
        <v>1392</v>
      </c>
      <c r="B198" s="102">
        <v>2</v>
      </c>
      <c r="C198" s="106">
        <v>0.002159853119938308</v>
      </c>
      <c r="D198" s="102" t="s">
        <v>1450</v>
      </c>
      <c r="E198" s="102" t="b">
        <v>0</v>
      </c>
      <c r="F198" s="102" t="b">
        <v>0</v>
      </c>
      <c r="G198" s="102" t="b">
        <v>0</v>
      </c>
    </row>
    <row r="199" spans="1:7" ht="15">
      <c r="A199" s="104" t="s">
        <v>1393</v>
      </c>
      <c r="B199" s="102">
        <v>2</v>
      </c>
      <c r="C199" s="106">
        <v>0.002159853119938308</v>
      </c>
      <c r="D199" s="102" t="s">
        <v>1450</v>
      </c>
      <c r="E199" s="102" t="b">
        <v>0</v>
      </c>
      <c r="F199" s="102" t="b">
        <v>0</v>
      </c>
      <c r="G199" s="102" t="b">
        <v>0</v>
      </c>
    </row>
    <row r="200" spans="1:7" ht="15">
      <c r="A200" s="104" t="s">
        <v>1394</v>
      </c>
      <c r="B200" s="102">
        <v>2</v>
      </c>
      <c r="C200" s="106">
        <v>0.002159853119938308</v>
      </c>
      <c r="D200" s="102" t="s">
        <v>1450</v>
      </c>
      <c r="E200" s="102" t="b">
        <v>0</v>
      </c>
      <c r="F200" s="102" t="b">
        <v>0</v>
      </c>
      <c r="G200" s="102" t="b">
        <v>0</v>
      </c>
    </row>
    <row r="201" spans="1:7" ht="15">
      <c r="A201" s="104" t="s">
        <v>1395</v>
      </c>
      <c r="B201" s="102">
        <v>2</v>
      </c>
      <c r="C201" s="106">
        <v>0.001862245610631357</v>
      </c>
      <c r="D201" s="102" t="s">
        <v>1450</v>
      </c>
      <c r="E201" s="102" t="b">
        <v>0</v>
      </c>
      <c r="F201" s="102" t="b">
        <v>0</v>
      </c>
      <c r="G201" s="102" t="b">
        <v>0</v>
      </c>
    </row>
    <row r="202" spans="1:7" ht="15">
      <c r="A202" s="104" t="s">
        <v>1396</v>
      </c>
      <c r="B202" s="102">
        <v>2</v>
      </c>
      <c r="C202" s="106">
        <v>0.001862245610631357</v>
      </c>
      <c r="D202" s="102" t="s">
        <v>1450</v>
      </c>
      <c r="E202" s="102" t="b">
        <v>0</v>
      </c>
      <c r="F202" s="102" t="b">
        <v>0</v>
      </c>
      <c r="G202" s="102" t="b">
        <v>0</v>
      </c>
    </row>
    <row r="203" spans="1:7" ht="15">
      <c r="A203" s="104" t="s">
        <v>1397</v>
      </c>
      <c r="B203" s="102">
        <v>2</v>
      </c>
      <c r="C203" s="106">
        <v>0.002159853119938308</v>
      </c>
      <c r="D203" s="102" t="s">
        <v>1450</v>
      </c>
      <c r="E203" s="102" t="b">
        <v>0</v>
      </c>
      <c r="F203" s="102" t="b">
        <v>0</v>
      </c>
      <c r="G203" s="102" t="b">
        <v>0</v>
      </c>
    </row>
    <row r="204" spans="1:7" ht="15">
      <c r="A204" s="104" t="s">
        <v>1398</v>
      </c>
      <c r="B204" s="102">
        <v>2</v>
      </c>
      <c r="C204" s="106">
        <v>0.001862245610631357</v>
      </c>
      <c r="D204" s="102" t="s">
        <v>1450</v>
      </c>
      <c r="E204" s="102" t="b">
        <v>0</v>
      </c>
      <c r="F204" s="102" t="b">
        <v>0</v>
      </c>
      <c r="G204" s="102" t="b">
        <v>0</v>
      </c>
    </row>
    <row r="205" spans="1:7" ht="15">
      <c r="A205" s="104" t="s">
        <v>1399</v>
      </c>
      <c r="B205" s="102">
        <v>2</v>
      </c>
      <c r="C205" s="106">
        <v>0.001862245610631357</v>
      </c>
      <c r="D205" s="102" t="s">
        <v>1450</v>
      </c>
      <c r="E205" s="102" t="b">
        <v>0</v>
      </c>
      <c r="F205" s="102" t="b">
        <v>0</v>
      </c>
      <c r="G205" s="102" t="b">
        <v>0</v>
      </c>
    </row>
    <row r="206" spans="1:7" ht="15">
      <c r="A206" s="104" t="s">
        <v>1400</v>
      </c>
      <c r="B206" s="102">
        <v>2</v>
      </c>
      <c r="C206" s="106">
        <v>0.002159853119938308</v>
      </c>
      <c r="D206" s="102" t="s">
        <v>1450</v>
      </c>
      <c r="E206" s="102" t="b">
        <v>0</v>
      </c>
      <c r="F206" s="102" t="b">
        <v>0</v>
      </c>
      <c r="G206" s="102" t="b">
        <v>0</v>
      </c>
    </row>
    <row r="207" spans="1:7" ht="15">
      <c r="A207" s="104" t="s">
        <v>1401</v>
      </c>
      <c r="B207" s="102">
        <v>2</v>
      </c>
      <c r="C207" s="106">
        <v>0.001862245610631357</v>
      </c>
      <c r="D207" s="102" t="s">
        <v>1450</v>
      </c>
      <c r="E207" s="102" t="b">
        <v>0</v>
      </c>
      <c r="F207" s="102" t="b">
        <v>0</v>
      </c>
      <c r="G207" s="102" t="b">
        <v>0</v>
      </c>
    </row>
    <row r="208" spans="1:7" ht="15">
      <c r="A208" s="104" t="s">
        <v>1402</v>
      </c>
      <c r="B208" s="102">
        <v>2</v>
      </c>
      <c r="C208" s="106">
        <v>0.001862245610631357</v>
      </c>
      <c r="D208" s="102" t="s">
        <v>1450</v>
      </c>
      <c r="E208" s="102" t="b">
        <v>0</v>
      </c>
      <c r="F208" s="102" t="b">
        <v>0</v>
      </c>
      <c r="G208" s="102" t="b">
        <v>0</v>
      </c>
    </row>
    <row r="209" spans="1:7" ht="15">
      <c r="A209" s="104" t="s">
        <v>1403</v>
      </c>
      <c r="B209" s="102">
        <v>2</v>
      </c>
      <c r="C209" s="106">
        <v>0.001862245610631357</v>
      </c>
      <c r="D209" s="102" t="s">
        <v>1450</v>
      </c>
      <c r="E209" s="102" t="b">
        <v>0</v>
      </c>
      <c r="F209" s="102" t="b">
        <v>0</v>
      </c>
      <c r="G209" s="102" t="b">
        <v>0</v>
      </c>
    </row>
    <row r="210" spans="1:7" ht="15">
      <c r="A210" s="104" t="s">
        <v>1404</v>
      </c>
      <c r="B210" s="102">
        <v>2</v>
      </c>
      <c r="C210" s="106">
        <v>0.001862245610631357</v>
      </c>
      <c r="D210" s="102" t="s">
        <v>1450</v>
      </c>
      <c r="E210" s="102" t="b">
        <v>0</v>
      </c>
      <c r="F210" s="102" t="b">
        <v>0</v>
      </c>
      <c r="G210" s="102" t="b">
        <v>0</v>
      </c>
    </row>
    <row r="211" spans="1:7" ht="15">
      <c r="A211" s="104" t="s">
        <v>1405</v>
      </c>
      <c r="B211" s="102">
        <v>2</v>
      </c>
      <c r="C211" s="106">
        <v>0.001862245610631357</v>
      </c>
      <c r="D211" s="102" t="s">
        <v>1450</v>
      </c>
      <c r="E211" s="102" t="b">
        <v>0</v>
      </c>
      <c r="F211" s="102" t="b">
        <v>0</v>
      </c>
      <c r="G211" s="102" t="b">
        <v>0</v>
      </c>
    </row>
    <row r="212" spans="1:7" ht="15">
      <c r="A212" s="104" t="s">
        <v>1406</v>
      </c>
      <c r="B212" s="102">
        <v>2</v>
      </c>
      <c r="C212" s="106">
        <v>0.001862245610631357</v>
      </c>
      <c r="D212" s="102" t="s">
        <v>1450</v>
      </c>
      <c r="E212" s="102" t="b">
        <v>0</v>
      </c>
      <c r="F212" s="102" t="b">
        <v>0</v>
      </c>
      <c r="G212" s="102" t="b">
        <v>0</v>
      </c>
    </row>
    <row r="213" spans="1:7" ht="15">
      <c r="A213" s="104" t="s">
        <v>1407</v>
      </c>
      <c r="B213" s="102">
        <v>2</v>
      </c>
      <c r="C213" s="106">
        <v>0.002159853119938308</v>
      </c>
      <c r="D213" s="102" t="s">
        <v>1450</v>
      </c>
      <c r="E213" s="102" t="b">
        <v>0</v>
      </c>
      <c r="F213" s="102" t="b">
        <v>0</v>
      </c>
      <c r="G213" s="102" t="b">
        <v>0</v>
      </c>
    </row>
    <row r="214" spans="1:7" ht="15">
      <c r="A214" s="104" t="s">
        <v>1408</v>
      </c>
      <c r="B214" s="102">
        <v>2</v>
      </c>
      <c r="C214" s="106">
        <v>0.002159853119938308</v>
      </c>
      <c r="D214" s="102" t="s">
        <v>1450</v>
      </c>
      <c r="E214" s="102" t="b">
        <v>0</v>
      </c>
      <c r="F214" s="102" t="b">
        <v>0</v>
      </c>
      <c r="G214" s="102" t="b">
        <v>0</v>
      </c>
    </row>
    <row r="215" spans="1:7" ht="15">
      <c r="A215" s="104" t="s">
        <v>1409</v>
      </c>
      <c r="B215" s="102">
        <v>2</v>
      </c>
      <c r="C215" s="106">
        <v>0.002159853119938308</v>
      </c>
      <c r="D215" s="102" t="s">
        <v>1450</v>
      </c>
      <c r="E215" s="102" t="b">
        <v>0</v>
      </c>
      <c r="F215" s="102" t="b">
        <v>0</v>
      </c>
      <c r="G215" s="102" t="b">
        <v>0</v>
      </c>
    </row>
    <row r="216" spans="1:7" ht="15">
      <c r="A216" s="104" t="s">
        <v>1410</v>
      </c>
      <c r="B216" s="102">
        <v>2</v>
      </c>
      <c r="C216" s="106">
        <v>0.001862245610631357</v>
      </c>
      <c r="D216" s="102" t="s">
        <v>1450</v>
      </c>
      <c r="E216" s="102" t="b">
        <v>0</v>
      </c>
      <c r="F216" s="102" t="b">
        <v>0</v>
      </c>
      <c r="G216" s="102" t="b">
        <v>0</v>
      </c>
    </row>
    <row r="217" spans="1:7" ht="15">
      <c r="A217" s="104" t="s">
        <v>1411</v>
      </c>
      <c r="B217" s="102">
        <v>2</v>
      </c>
      <c r="C217" s="106">
        <v>0.001862245610631357</v>
      </c>
      <c r="D217" s="102" t="s">
        <v>1450</v>
      </c>
      <c r="E217" s="102" t="b">
        <v>0</v>
      </c>
      <c r="F217" s="102" t="b">
        <v>0</v>
      </c>
      <c r="G217" s="102" t="b">
        <v>0</v>
      </c>
    </row>
    <row r="218" spans="1:7" ht="15">
      <c r="A218" s="104" t="s">
        <v>1412</v>
      </c>
      <c r="B218" s="102">
        <v>2</v>
      </c>
      <c r="C218" s="106">
        <v>0.002159853119938308</v>
      </c>
      <c r="D218" s="102" t="s">
        <v>1450</v>
      </c>
      <c r="E218" s="102" t="b">
        <v>0</v>
      </c>
      <c r="F218" s="102" t="b">
        <v>0</v>
      </c>
      <c r="G218" s="102" t="b">
        <v>0</v>
      </c>
    </row>
    <row r="219" spans="1:7" ht="15">
      <c r="A219" s="104" t="s">
        <v>1413</v>
      </c>
      <c r="B219" s="102">
        <v>2</v>
      </c>
      <c r="C219" s="106">
        <v>0.002159853119938308</v>
      </c>
      <c r="D219" s="102" t="s">
        <v>1450</v>
      </c>
      <c r="E219" s="102" t="b">
        <v>0</v>
      </c>
      <c r="F219" s="102" t="b">
        <v>0</v>
      </c>
      <c r="G219" s="102" t="b">
        <v>0</v>
      </c>
    </row>
    <row r="220" spans="1:7" ht="15">
      <c r="A220" s="104" t="s">
        <v>1414</v>
      </c>
      <c r="B220" s="102">
        <v>2</v>
      </c>
      <c r="C220" s="106">
        <v>0.002159853119938308</v>
      </c>
      <c r="D220" s="102" t="s">
        <v>1450</v>
      </c>
      <c r="E220" s="102" t="b">
        <v>0</v>
      </c>
      <c r="F220" s="102" t="b">
        <v>0</v>
      </c>
      <c r="G220" s="102" t="b">
        <v>0</v>
      </c>
    </row>
    <row r="221" spans="1:7" ht="15">
      <c r="A221" s="104" t="s">
        <v>1415</v>
      </c>
      <c r="B221" s="102">
        <v>2</v>
      </c>
      <c r="C221" s="106">
        <v>0.002159853119938308</v>
      </c>
      <c r="D221" s="102" t="s">
        <v>1450</v>
      </c>
      <c r="E221" s="102" t="b">
        <v>0</v>
      </c>
      <c r="F221" s="102" t="b">
        <v>0</v>
      </c>
      <c r="G221" s="102" t="b">
        <v>0</v>
      </c>
    </row>
    <row r="222" spans="1:7" ht="15">
      <c r="A222" s="104" t="s">
        <v>1416</v>
      </c>
      <c r="B222" s="102">
        <v>2</v>
      </c>
      <c r="C222" s="106">
        <v>0.002159853119938308</v>
      </c>
      <c r="D222" s="102" t="s">
        <v>1450</v>
      </c>
      <c r="E222" s="102" t="b">
        <v>0</v>
      </c>
      <c r="F222" s="102" t="b">
        <v>0</v>
      </c>
      <c r="G222" s="102" t="b">
        <v>0</v>
      </c>
    </row>
    <row r="223" spans="1:7" ht="15">
      <c r="A223" s="104" t="s">
        <v>1417</v>
      </c>
      <c r="B223" s="102">
        <v>2</v>
      </c>
      <c r="C223" s="106">
        <v>0.002159853119938308</v>
      </c>
      <c r="D223" s="102" t="s">
        <v>1450</v>
      </c>
      <c r="E223" s="102" t="b">
        <v>0</v>
      </c>
      <c r="F223" s="102" t="b">
        <v>0</v>
      </c>
      <c r="G223" s="102" t="b">
        <v>0</v>
      </c>
    </row>
    <row r="224" spans="1:7" ht="15">
      <c r="A224" s="104" t="s">
        <v>1418</v>
      </c>
      <c r="B224" s="102">
        <v>2</v>
      </c>
      <c r="C224" s="106">
        <v>0.002159853119938308</v>
      </c>
      <c r="D224" s="102" t="s">
        <v>1450</v>
      </c>
      <c r="E224" s="102" t="b">
        <v>0</v>
      </c>
      <c r="F224" s="102" t="b">
        <v>0</v>
      </c>
      <c r="G224" s="102" t="b">
        <v>0</v>
      </c>
    </row>
    <row r="225" spans="1:7" ht="15">
      <c r="A225" s="104" t="s">
        <v>1419</v>
      </c>
      <c r="B225" s="102">
        <v>2</v>
      </c>
      <c r="C225" s="106">
        <v>0.002159853119938308</v>
      </c>
      <c r="D225" s="102" t="s">
        <v>1450</v>
      </c>
      <c r="E225" s="102" t="b">
        <v>0</v>
      </c>
      <c r="F225" s="102" t="b">
        <v>0</v>
      </c>
      <c r="G225" s="102" t="b">
        <v>0</v>
      </c>
    </row>
    <row r="226" spans="1:7" ht="15">
      <c r="A226" s="104" t="s">
        <v>1420</v>
      </c>
      <c r="B226" s="102">
        <v>2</v>
      </c>
      <c r="C226" s="106">
        <v>0.002159853119938308</v>
      </c>
      <c r="D226" s="102" t="s">
        <v>1450</v>
      </c>
      <c r="E226" s="102" t="b">
        <v>0</v>
      </c>
      <c r="F226" s="102" t="b">
        <v>0</v>
      </c>
      <c r="G226" s="102" t="b">
        <v>0</v>
      </c>
    </row>
    <row r="227" spans="1:7" ht="15">
      <c r="A227" s="104" t="s">
        <v>1421</v>
      </c>
      <c r="B227" s="102">
        <v>2</v>
      </c>
      <c r="C227" s="106">
        <v>0.002159853119938308</v>
      </c>
      <c r="D227" s="102" t="s">
        <v>1450</v>
      </c>
      <c r="E227" s="102" t="b">
        <v>0</v>
      </c>
      <c r="F227" s="102" t="b">
        <v>0</v>
      </c>
      <c r="G227" s="102" t="b">
        <v>0</v>
      </c>
    </row>
    <row r="228" spans="1:7" ht="15">
      <c r="A228" s="104" t="s">
        <v>1422</v>
      </c>
      <c r="B228" s="102">
        <v>2</v>
      </c>
      <c r="C228" s="106">
        <v>0.002159853119938308</v>
      </c>
      <c r="D228" s="102" t="s">
        <v>1450</v>
      </c>
      <c r="E228" s="102" t="b">
        <v>0</v>
      </c>
      <c r="F228" s="102" t="b">
        <v>0</v>
      </c>
      <c r="G228" s="102" t="b">
        <v>0</v>
      </c>
    </row>
    <row r="229" spans="1:7" ht="15">
      <c r="A229" s="104" t="s">
        <v>1423</v>
      </c>
      <c r="B229" s="102">
        <v>2</v>
      </c>
      <c r="C229" s="106">
        <v>0.002159853119938308</v>
      </c>
      <c r="D229" s="102" t="s">
        <v>1450</v>
      </c>
      <c r="E229" s="102" t="b">
        <v>0</v>
      </c>
      <c r="F229" s="102" t="b">
        <v>0</v>
      </c>
      <c r="G229" s="102" t="b">
        <v>0</v>
      </c>
    </row>
    <row r="230" spans="1:7" ht="15">
      <c r="A230" s="104" t="s">
        <v>1424</v>
      </c>
      <c r="B230" s="102">
        <v>2</v>
      </c>
      <c r="C230" s="106">
        <v>0.002159853119938308</v>
      </c>
      <c r="D230" s="102" t="s">
        <v>1450</v>
      </c>
      <c r="E230" s="102" t="b">
        <v>0</v>
      </c>
      <c r="F230" s="102" t="b">
        <v>0</v>
      </c>
      <c r="G230" s="102" t="b">
        <v>0</v>
      </c>
    </row>
    <row r="231" spans="1:7" ht="15">
      <c r="A231" s="104" t="s">
        <v>1425</v>
      </c>
      <c r="B231" s="102">
        <v>2</v>
      </c>
      <c r="C231" s="106">
        <v>0.002159853119938308</v>
      </c>
      <c r="D231" s="102" t="s">
        <v>1450</v>
      </c>
      <c r="E231" s="102" t="b">
        <v>0</v>
      </c>
      <c r="F231" s="102" t="b">
        <v>0</v>
      </c>
      <c r="G231" s="102" t="b">
        <v>0</v>
      </c>
    </row>
    <row r="232" spans="1:7" ht="15">
      <c r="A232" s="104" t="s">
        <v>1426</v>
      </c>
      <c r="B232" s="102">
        <v>2</v>
      </c>
      <c r="C232" s="106">
        <v>0.002159853119938308</v>
      </c>
      <c r="D232" s="102" t="s">
        <v>1450</v>
      </c>
      <c r="E232" s="102" t="b">
        <v>0</v>
      </c>
      <c r="F232" s="102" t="b">
        <v>0</v>
      </c>
      <c r="G232" s="102" t="b">
        <v>0</v>
      </c>
    </row>
    <row r="233" spans="1:7" ht="15">
      <c r="A233" s="104" t="s">
        <v>1427</v>
      </c>
      <c r="B233" s="102">
        <v>2</v>
      </c>
      <c r="C233" s="106">
        <v>0.002159853119938308</v>
      </c>
      <c r="D233" s="102" t="s">
        <v>1450</v>
      </c>
      <c r="E233" s="102" t="b">
        <v>0</v>
      </c>
      <c r="F233" s="102" t="b">
        <v>0</v>
      </c>
      <c r="G233" s="102" t="b">
        <v>0</v>
      </c>
    </row>
    <row r="234" spans="1:7" ht="15">
      <c r="A234" s="104" t="s">
        <v>1428</v>
      </c>
      <c r="B234" s="102">
        <v>2</v>
      </c>
      <c r="C234" s="106">
        <v>0.001862245610631357</v>
      </c>
      <c r="D234" s="102" t="s">
        <v>1450</v>
      </c>
      <c r="E234" s="102" t="b">
        <v>0</v>
      </c>
      <c r="F234" s="102" t="b">
        <v>0</v>
      </c>
      <c r="G234" s="102" t="b">
        <v>0</v>
      </c>
    </row>
    <row r="235" spans="1:7" ht="15">
      <c r="A235" s="104" t="s">
        <v>1429</v>
      </c>
      <c r="B235" s="102">
        <v>2</v>
      </c>
      <c r="C235" s="106">
        <v>0.001862245610631357</v>
      </c>
      <c r="D235" s="102" t="s">
        <v>1450</v>
      </c>
      <c r="E235" s="102" t="b">
        <v>0</v>
      </c>
      <c r="F235" s="102" t="b">
        <v>0</v>
      </c>
      <c r="G235" s="102" t="b">
        <v>0</v>
      </c>
    </row>
    <row r="236" spans="1:7" ht="15">
      <c r="A236" s="104" t="s">
        <v>1430</v>
      </c>
      <c r="B236" s="102">
        <v>2</v>
      </c>
      <c r="C236" s="106">
        <v>0.002159853119938308</v>
      </c>
      <c r="D236" s="102" t="s">
        <v>1450</v>
      </c>
      <c r="E236" s="102" t="b">
        <v>0</v>
      </c>
      <c r="F236" s="102" t="b">
        <v>0</v>
      </c>
      <c r="G236" s="102" t="b">
        <v>0</v>
      </c>
    </row>
    <row r="237" spans="1:7" ht="15">
      <c r="A237" s="104" t="s">
        <v>1431</v>
      </c>
      <c r="B237" s="102">
        <v>2</v>
      </c>
      <c r="C237" s="106">
        <v>0.001862245610631357</v>
      </c>
      <c r="D237" s="102" t="s">
        <v>1450</v>
      </c>
      <c r="E237" s="102" t="b">
        <v>0</v>
      </c>
      <c r="F237" s="102" t="b">
        <v>0</v>
      </c>
      <c r="G237" s="102" t="b">
        <v>0</v>
      </c>
    </row>
    <row r="238" spans="1:7" ht="15">
      <c r="A238" s="104" t="s">
        <v>1432</v>
      </c>
      <c r="B238" s="102">
        <v>2</v>
      </c>
      <c r="C238" s="106">
        <v>0.001862245610631357</v>
      </c>
      <c r="D238" s="102" t="s">
        <v>1450</v>
      </c>
      <c r="E238" s="102" t="b">
        <v>0</v>
      </c>
      <c r="F238" s="102" t="b">
        <v>0</v>
      </c>
      <c r="G238" s="102" t="b">
        <v>0</v>
      </c>
    </row>
    <row r="239" spans="1:7" ht="15">
      <c r="A239" s="104" t="s">
        <v>1433</v>
      </c>
      <c r="B239" s="102">
        <v>2</v>
      </c>
      <c r="C239" s="106">
        <v>0.001862245610631357</v>
      </c>
      <c r="D239" s="102" t="s">
        <v>1450</v>
      </c>
      <c r="E239" s="102" t="b">
        <v>0</v>
      </c>
      <c r="F239" s="102" t="b">
        <v>0</v>
      </c>
      <c r="G239" s="102" t="b">
        <v>0</v>
      </c>
    </row>
    <row r="240" spans="1:7" ht="15">
      <c r="A240" s="104" t="s">
        <v>1434</v>
      </c>
      <c r="B240" s="102">
        <v>2</v>
      </c>
      <c r="C240" s="106">
        <v>0.001862245610631357</v>
      </c>
      <c r="D240" s="102" t="s">
        <v>1450</v>
      </c>
      <c r="E240" s="102" t="b">
        <v>0</v>
      </c>
      <c r="F240" s="102" t="b">
        <v>0</v>
      </c>
      <c r="G240" s="102" t="b">
        <v>0</v>
      </c>
    </row>
    <row r="241" spans="1:7" ht="15">
      <c r="A241" s="104" t="s">
        <v>1435</v>
      </c>
      <c r="B241" s="102">
        <v>2</v>
      </c>
      <c r="C241" s="106">
        <v>0.002159853119938308</v>
      </c>
      <c r="D241" s="102" t="s">
        <v>1450</v>
      </c>
      <c r="E241" s="102" t="b">
        <v>0</v>
      </c>
      <c r="F241" s="102" t="b">
        <v>0</v>
      </c>
      <c r="G241" s="102" t="b">
        <v>0</v>
      </c>
    </row>
    <row r="242" spans="1:7" ht="15">
      <c r="A242" s="104" t="s">
        <v>1436</v>
      </c>
      <c r="B242" s="102">
        <v>2</v>
      </c>
      <c r="C242" s="106">
        <v>0.002159853119938308</v>
      </c>
      <c r="D242" s="102" t="s">
        <v>1450</v>
      </c>
      <c r="E242" s="102" t="b">
        <v>0</v>
      </c>
      <c r="F242" s="102" t="b">
        <v>0</v>
      </c>
      <c r="G242" s="102" t="b">
        <v>0</v>
      </c>
    </row>
    <row r="243" spans="1:7" ht="15">
      <c r="A243" s="104" t="s">
        <v>1437</v>
      </c>
      <c r="B243" s="102">
        <v>2</v>
      </c>
      <c r="C243" s="106">
        <v>0.002159853119938308</v>
      </c>
      <c r="D243" s="102" t="s">
        <v>1450</v>
      </c>
      <c r="E243" s="102" t="b">
        <v>0</v>
      </c>
      <c r="F243" s="102" t="b">
        <v>0</v>
      </c>
      <c r="G243" s="102" t="b">
        <v>0</v>
      </c>
    </row>
    <row r="244" spans="1:7" ht="15">
      <c r="A244" s="104" t="s">
        <v>1438</v>
      </c>
      <c r="B244" s="102">
        <v>2</v>
      </c>
      <c r="C244" s="106">
        <v>0.002159853119938308</v>
      </c>
      <c r="D244" s="102" t="s">
        <v>1450</v>
      </c>
      <c r="E244" s="102" t="b">
        <v>0</v>
      </c>
      <c r="F244" s="102" t="b">
        <v>0</v>
      </c>
      <c r="G244" s="102" t="b">
        <v>0</v>
      </c>
    </row>
    <row r="245" spans="1:7" ht="15">
      <c r="A245" s="104" t="s">
        <v>1439</v>
      </c>
      <c r="B245" s="102">
        <v>2</v>
      </c>
      <c r="C245" s="106">
        <v>0.002159853119938308</v>
      </c>
      <c r="D245" s="102" t="s">
        <v>1450</v>
      </c>
      <c r="E245" s="102" t="b">
        <v>0</v>
      </c>
      <c r="F245" s="102" t="b">
        <v>0</v>
      </c>
      <c r="G245" s="102" t="b">
        <v>0</v>
      </c>
    </row>
    <row r="246" spans="1:7" ht="15">
      <c r="A246" s="104" t="s">
        <v>1440</v>
      </c>
      <c r="B246" s="102">
        <v>2</v>
      </c>
      <c r="C246" s="106">
        <v>0.002159853119938308</v>
      </c>
      <c r="D246" s="102" t="s">
        <v>1450</v>
      </c>
      <c r="E246" s="102" t="b">
        <v>0</v>
      </c>
      <c r="F246" s="102" t="b">
        <v>0</v>
      </c>
      <c r="G246" s="102" t="b">
        <v>0</v>
      </c>
    </row>
    <row r="247" spans="1:7" ht="15">
      <c r="A247" s="104" t="s">
        <v>1441</v>
      </c>
      <c r="B247" s="102">
        <v>2</v>
      </c>
      <c r="C247" s="106">
        <v>0.002159853119938308</v>
      </c>
      <c r="D247" s="102" t="s">
        <v>1450</v>
      </c>
      <c r="E247" s="102" t="b">
        <v>0</v>
      </c>
      <c r="F247" s="102" t="b">
        <v>0</v>
      </c>
      <c r="G247" s="102" t="b">
        <v>0</v>
      </c>
    </row>
    <row r="248" spans="1:7" ht="15">
      <c r="A248" s="104" t="s">
        <v>1442</v>
      </c>
      <c r="B248" s="102">
        <v>2</v>
      </c>
      <c r="C248" s="106">
        <v>0.001862245610631357</v>
      </c>
      <c r="D248" s="102" t="s">
        <v>1450</v>
      </c>
      <c r="E248" s="102" t="b">
        <v>0</v>
      </c>
      <c r="F248" s="102" t="b">
        <v>0</v>
      </c>
      <c r="G248" s="102" t="b">
        <v>0</v>
      </c>
    </row>
    <row r="249" spans="1:7" ht="15">
      <c r="A249" s="104" t="s">
        <v>1443</v>
      </c>
      <c r="B249" s="102">
        <v>2</v>
      </c>
      <c r="C249" s="106">
        <v>0.001862245610631357</v>
      </c>
      <c r="D249" s="102" t="s">
        <v>1450</v>
      </c>
      <c r="E249" s="102" t="b">
        <v>0</v>
      </c>
      <c r="F249" s="102" t="b">
        <v>0</v>
      </c>
      <c r="G249" s="102" t="b">
        <v>0</v>
      </c>
    </row>
    <row r="250" spans="1:7" ht="15">
      <c r="A250" s="104" t="s">
        <v>1444</v>
      </c>
      <c r="B250" s="102">
        <v>2</v>
      </c>
      <c r="C250" s="106">
        <v>0.001862245610631357</v>
      </c>
      <c r="D250" s="102" t="s">
        <v>1450</v>
      </c>
      <c r="E250" s="102" t="b">
        <v>0</v>
      </c>
      <c r="F250" s="102" t="b">
        <v>0</v>
      </c>
      <c r="G250" s="102" t="b">
        <v>0</v>
      </c>
    </row>
    <row r="251" spans="1:7" ht="15">
      <c r="A251" s="104" t="s">
        <v>1206</v>
      </c>
      <c r="B251" s="102">
        <v>29</v>
      </c>
      <c r="C251" s="106">
        <v>0.025363209343932065</v>
      </c>
      <c r="D251" s="102" t="s">
        <v>1176</v>
      </c>
      <c r="E251" s="102" t="b">
        <v>0</v>
      </c>
      <c r="F251" s="102" t="b">
        <v>0</v>
      </c>
      <c r="G251" s="102" t="b">
        <v>0</v>
      </c>
    </row>
    <row r="252" spans="1:7" ht="15">
      <c r="A252" s="104" t="s">
        <v>1213</v>
      </c>
      <c r="B252" s="102">
        <v>23</v>
      </c>
      <c r="C252" s="106">
        <v>0.01571025529213662</v>
      </c>
      <c r="D252" s="102" t="s">
        <v>1176</v>
      </c>
      <c r="E252" s="102" t="b">
        <v>0</v>
      </c>
      <c r="F252" s="102" t="b">
        <v>0</v>
      </c>
      <c r="G252" s="102" t="b">
        <v>0</v>
      </c>
    </row>
    <row r="253" spans="1:7" ht="15">
      <c r="A253" s="104" t="s">
        <v>1205</v>
      </c>
      <c r="B253" s="102">
        <v>16</v>
      </c>
      <c r="C253" s="106">
        <v>0.017831542086931187</v>
      </c>
      <c r="D253" s="102" t="s">
        <v>1176</v>
      </c>
      <c r="E253" s="102" t="b">
        <v>0</v>
      </c>
      <c r="F253" s="102" t="b">
        <v>0</v>
      </c>
      <c r="G253" s="102" t="b">
        <v>0</v>
      </c>
    </row>
    <row r="254" spans="1:7" ht="15">
      <c r="A254" s="104" t="s">
        <v>1204</v>
      </c>
      <c r="B254" s="102">
        <v>14</v>
      </c>
      <c r="C254" s="106">
        <v>0.01882522549591134</v>
      </c>
      <c r="D254" s="102" t="s">
        <v>1176</v>
      </c>
      <c r="E254" s="102" t="b">
        <v>0</v>
      </c>
      <c r="F254" s="102" t="b">
        <v>0</v>
      </c>
      <c r="G254" s="102" t="b">
        <v>0</v>
      </c>
    </row>
    <row r="255" spans="1:7" ht="15">
      <c r="A255" s="104" t="s">
        <v>1211</v>
      </c>
      <c r="B255" s="102">
        <v>13</v>
      </c>
      <c r="C255" s="106">
        <v>0.01640089336364911</v>
      </c>
      <c r="D255" s="102" t="s">
        <v>1176</v>
      </c>
      <c r="E255" s="102" t="b">
        <v>0</v>
      </c>
      <c r="F255" s="102" t="b">
        <v>0</v>
      </c>
      <c r="G255" s="102" t="b">
        <v>0</v>
      </c>
    </row>
    <row r="256" spans="1:7" ht="15">
      <c r="A256" s="104" t="s">
        <v>1220</v>
      </c>
      <c r="B256" s="102">
        <v>13</v>
      </c>
      <c r="C256" s="106">
        <v>0.02500175038262</v>
      </c>
      <c r="D256" s="102" t="s">
        <v>1176</v>
      </c>
      <c r="E256" s="102" t="b">
        <v>0</v>
      </c>
      <c r="F256" s="102" t="b">
        <v>0</v>
      </c>
      <c r="G256" s="102" t="b">
        <v>0</v>
      </c>
    </row>
    <row r="257" spans="1:7" ht="15">
      <c r="A257" s="104" t="s">
        <v>1212</v>
      </c>
      <c r="B257" s="102">
        <v>10</v>
      </c>
      <c r="C257" s="106">
        <v>0.01435631898407349</v>
      </c>
      <c r="D257" s="102" t="s">
        <v>1176</v>
      </c>
      <c r="E257" s="102" t="b">
        <v>0</v>
      </c>
      <c r="F257" s="102" t="b">
        <v>0</v>
      </c>
      <c r="G257" s="102" t="b">
        <v>0</v>
      </c>
    </row>
    <row r="258" spans="1:7" ht="15">
      <c r="A258" s="104" t="s">
        <v>1231</v>
      </c>
      <c r="B258" s="102">
        <v>9</v>
      </c>
      <c r="C258" s="106">
        <v>0.020792027916541604</v>
      </c>
      <c r="D258" s="102" t="s">
        <v>1176</v>
      </c>
      <c r="E258" s="102" t="b">
        <v>0</v>
      </c>
      <c r="F258" s="102" t="b">
        <v>0</v>
      </c>
      <c r="G258" s="102" t="b">
        <v>0</v>
      </c>
    </row>
    <row r="259" spans="1:7" ht="15">
      <c r="A259" s="104" t="s">
        <v>1233</v>
      </c>
      <c r="B259" s="102">
        <v>9</v>
      </c>
      <c r="C259" s="106">
        <v>0.03270090686588592</v>
      </c>
      <c r="D259" s="102" t="s">
        <v>1176</v>
      </c>
      <c r="E259" s="102" t="b">
        <v>0</v>
      </c>
      <c r="F259" s="102" t="b">
        <v>0</v>
      </c>
      <c r="G259" s="102" t="b">
        <v>0</v>
      </c>
    </row>
    <row r="260" spans="1:7" ht="15">
      <c r="A260" s="104" t="s">
        <v>1226</v>
      </c>
      <c r="B260" s="102">
        <v>8</v>
      </c>
      <c r="C260" s="106">
        <v>0.014208606132063067</v>
      </c>
      <c r="D260" s="102" t="s">
        <v>1176</v>
      </c>
      <c r="E260" s="102" t="b">
        <v>0</v>
      </c>
      <c r="F260" s="102" t="b">
        <v>0</v>
      </c>
      <c r="G260" s="102" t="b">
        <v>0</v>
      </c>
    </row>
    <row r="261" spans="1:7" ht="15">
      <c r="A261" s="104" t="s">
        <v>1219</v>
      </c>
      <c r="B261" s="102">
        <v>8</v>
      </c>
      <c r="C261" s="106">
        <v>0.014208606132063067</v>
      </c>
      <c r="D261" s="102" t="s">
        <v>1176</v>
      </c>
      <c r="E261" s="102" t="b">
        <v>0</v>
      </c>
      <c r="F261" s="102" t="b">
        <v>0</v>
      </c>
      <c r="G261" s="102" t="b">
        <v>0</v>
      </c>
    </row>
    <row r="262" spans="1:7" ht="15">
      <c r="A262" s="104" t="s">
        <v>1224</v>
      </c>
      <c r="B262" s="102">
        <v>7</v>
      </c>
      <c r="C262" s="106">
        <v>0.01617157726842125</v>
      </c>
      <c r="D262" s="102" t="s">
        <v>1176</v>
      </c>
      <c r="E262" s="102" t="b">
        <v>0</v>
      </c>
      <c r="F262" s="102" t="b">
        <v>0</v>
      </c>
      <c r="G262" s="102" t="b">
        <v>0</v>
      </c>
    </row>
    <row r="263" spans="1:7" ht="15">
      <c r="A263" s="104" t="s">
        <v>1207</v>
      </c>
      <c r="B263" s="102">
        <v>7</v>
      </c>
      <c r="C263" s="106">
        <v>0.012432530365555184</v>
      </c>
      <c r="D263" s="102" t="s">
        <v>1176</v>
      </c>
      <c r="E263" s="102" t="b">
        <v>0</v>
      </c>
      <c r="F263" s="102" t="b">
        <v>0</v>
      </c>
      <c r="G263" s="102" t="b">
        <v>0</v>
      </c>
    </row>
    <row r="264" spans="1:7" ht="15">
      <c r="A264" s="104" t="s">
        <v>1236</v>
      </c>
      <c r="B264" s="102">
        <v>6</v>
      </c>
      <c r="C264" s="106">
        <v>0.011539269407363079</v>
      </c>
      <c r="D264" s="102" t="s">
        <v>1176</v>
      </c>
      <c r="E264" s="102" t="b">
        <v>0</v>
      </c>
      <c r="F264" s="102" t="b">
        <v>0</v>
      </c>
      <c r="G264" s="102" t="b">
        <v>0</v>
      </c>
    </row>
    <row r="265" spans="1:7" ht="15">
      <c r="A265" s="104" t="s">
        <v>1216</v>
      </c>
      <c r="B265" s="102">
        <v>6</v>
      </c>
      <c r="C265" s="106">
        <v>0.011539269407363079</v>
      </c>
      <c r="D265" s="102" t="s">
        <v>1176</v>
      </c>
      <c r="E265" s="102" t="b">
        <v>0</v>
      </c>
      <c r="F265" s="102" t="b">
        <v>0</v>
      </c>
      <c r="G265" s="102" t="b">
        <v>0</v>
      </c>
    </row>
    <row r="266" spans="1:7" ht="15">
      <c r="A266" s="104" t="s">
        <v>1221</v>
      </c>
      <c r="B266" s="102">
        <v>6</v>
      </c>
      <c r="C266" s="106">
        <v>0.011539269407363079</v>
      </c>
      <c r="D266" s="102" t="s">
        <v>1176</v>
      </c>
      <c r="E266" s="102" t="b">
        <v>0</v>
      </c>
      <c r="F266" s="102" t="b">
        <v>0</v>
      </c>
      <c r="G266" s="102" t="b">
        <v>0</v>
      </c>
    </row>
    <row r="267" spans="1:7" ht="15">
      <c r="A267" s="104" t="s">
        <v>1237</v>
      </c>
      <c r="B267" s="102">
        <v>6</v>
      </c>
      <c r="C267" s="106">
        <v>0.012583417706892195</v>
      </c>
      <c r="D267" s="102" t="s">
        <v>1176</v>
      </c>
      <c r="E267" s="102" t="b">
        <v>0</v>
      </c>
      <c r="F267" s="102" t="b">
        <v>0</v>
      </c>
      <c r="G267" s="102" t="b">
        <v>0</v>
      </c>
    </row>
    <row r="268" spans="1:7" ht="15">
      <c r="A268" s="104" t="s">
        <v>1257</v>
      </c>
      <c r="B268" s="102">
        <v>6</v>
      </c>
      <c r="C268" s="106">
        <v>0.02180060457725728</v>
      </c>
      <c r="D268" s="102" t="s">
        <v>1176</v>
      </c>
      <c r="E268" s="102" t="b">
        <v>0</v>
      </c>
      <c r="F268" s="102" t="b">
        <v>0</v>
      </c>
      <c r="G268" s="102" t="b">
        <v>0</v>
      </c>
    </row>
    <row r="269" spans="1:7" ht="15">
      <c r="A269" s="104" t="s">
        <v>1258</v>
      </c>
      <c r="B269" s="102">
        <v>6</v>
      </c>
      <c r="C269" s="106">
        <v>0.02180060457725728</v>
      </c>
      <c r="D269" s="102" t="s">
        <v>1176</v>
      </c>
      <c r="E269" s="102" t="b">
        <v>0</v>
      </c>
      <c r="F269" s="102" t="b">
        <v>0</v>
      </c>
      <c r="G269" s="102" t="b">
        <v>0</v>
      </c>
    </row>
    <row r="270" spans="1:7" ht="15">
      <c r="A270" s="104" t="s">
        <v>1272</v>
      </c>
      <c r="B270" s="102">
        <v>5</v>
      </c>
      <c r="C270" s="106">
        <v>0.010486181422410165</v>
      </c>
      <c r="D270" s="102" t="s">
        <v>1176</v>
      </c>
      <c r="E270" s="102" t="b">
        <v>0</v>
      </c>
      <c r="F270" s="102" t="b">
        <v>0</v>
      </c>
      <c r="G270" s="102" t="b">
        <v>0</v>
      </c>
    </row>
    <row r="271" spans="1:7" ht="15">
      <c r="A271" s="104" t="s">
        <v>1239</v>
      </c>
      <c r="B271" s="102">
        <v>5</v>
      </c>
      <c r="C271" s="106">
        <v>0.010486181422410165</v>
      </c>
      <c r="D271" s="102" t="s">
        <v>1176</v>
      </c>
      <c r="E271" s="102" t="b">
        <v>0</v>
      </c>
      <c r="F271" s="102" t="b">
        <v>0</v>
      </c>
      <c r="G271" s="102" t="b">
        <v>0</v>
      </c>
    </row>
    <row r="272" spans="1:7" ht="15">
      <c r="A272" s="104" t="s">
        <v>1255</v>
      </c>
      <c r="B272" s="102">
        <v>5</v>
      </c>
      <c r="C272" s="106">
        <v>0.010486181422410165</v>
      </c>
      <c r="D272" s="102" t="s">
        <v>1176</v>
      </c>
      <c r="E272" s="102" t="b">
        <v>0</v>
      </c>
      <c r="F272" s="102" t="b">
        <v>0</v>
      </c>
      <c r="G272" s="102" t="b">
        <v>0</v>
      </c>
    </row>
    <row r="273" spans="1:7" ht="15">
      <c r="A273" s="104" t="s">
        <v>1208</v>
      </c>
      <c r="B273" s="102">
        <v>5</v>
      </c>
      <c r="C273" s="106">
        <v>0.010486181422410165</v>
      </c>
      <c r="D273" s="102" t="s">
        <v>1176</v>
      </c>
      <c r="E273" s="102" t="b">
        <v>0</v>
      </c>
      <c r="F273" s="102" t="b">
        <v>0</v>
      </c>
      <c r="G273" s="102" t="b">
        <v>0</v>
      </c>
    </row>
    <row r="274" spans="1:7" ht="15">
      <c r="A274" s="104" t="s">
        <v>1283</v>
      </c>
      <c r="B274" s="102">
        <v>3</v>
      </c>
      <c r="C274" s="106">
        <v>0.007754447861905591</v>
      </c>
      <c r="D274" s="102" t="s">
        <v>1176</v>
      </c>
      <c r="E274" s="102" t="b">
        <v>0</v>
      </c>
      <c r="F274" s="102" t="b">
        <v>0</v>
      </c>
      <c r="G274" s="102" t="b">
        <v>0</v>
      </c>
    </row>
    <row r="275" spans="1:7" ht="15">
      <c r="A275" s="104" t="s">
        <v>1299</v>
      </c>
      <c r="B275" s="102">
        <v>3</v>
      </c>
      <c r="C275" s="106">
        <v>0.007754447861905591</v>
      </c>
      <c r="D275" s="102" t="s">
        <v>1176</v>
      </c>
      <c r="E275" s="102" t="b">
        <v>0</v>
      </c>
      <c r="F275" s="102" t="b">
        <v>0</v>
      </c>
      <c r="G275" s="102" t="b">
        <v>0</v>
      </c>
    </row>
    <row r="276" spans="1:7" ht="15">
      <c r="A276" s="104" t="s">
        <v>1275</v>
      </c>
      <c r="B276" s="102">
        <v>3</v>
      </c>
      <c r="C276" s="106">
        <v>0.008915489130404589</v>
      </c>
      <c r="D276" s="102" t="s">
        <v>1176</v>
      </c>
      <c r="E276" s="102" t="b">
        <v>0</v>
      </c>
      <c r="F276" s="102" t="b">
        <v>0</v>
      </c>
      <c r="G276" s="102" t="b">
        <v>0</v>
      </c>
    </row>
    <row r="277" spans="1:7" ht="15">
      <c r="A277" s="104" t="s">
        <v>1217</v>
      </c>
      <c r="B277" s="102">
        <v>3</v>
      </c>
      <c r="C277" s="106">
        <v>0.007754447861905591</v>
      </c>
      <c r="D277" s="102" t="s">
        <v>1176</v>
      </c>
      <c r="E277" s="102" t="b">
        <v>0</v>
      </c>
      <c r="F277" s="102" t="b">
        <v>0</v>
      </c>
      <c r="G277" s="102" t="b">
        <v>0</v>
      </c>
    </row>
    <row r="278" spans="1:7" ht="15">
      <c r="A278" s="104" t="s">
        <v>1311</v>
      </c>
      <c r="B278" s="102">
        <v>3</v>
      </c>
      <c r="C278" s="106">
        <v>0.008915489130404589</v>
      </c>
      <c r="D278" s="102" t="s">
        <v>1176</v>
      </c>
      <c r="E278" s="102" t="b">
        <v>0</v>
      </c>
      <c r="F278" s="102" t="b">
        <v>0</v>
      </c>
      <c r="G278" s="102" t="b">
        <v>0</v>
      </c>
    </row>
    <row r="279" spans="1:7" ht="15">
      <c r="A279" s="104" t="s">
        <v>1337</v>
      </c>
      <c r="B279" s="102">
        <v>3</v>
      </c>
      <c r="C279" s="106">
        <v>0.01090030228862864</v>
      </c>
      <c r="D279" s="102" t="s">
        <v>1176</v>
      </c>
      <c r="E279" s="102" t="b">
        <v>0</v>
      </c>
      <c r="F279" s="102" t="b">
        <v>0</v>
      </c>
      <c r="G279" s="102" t="b">
        <v>0</v>
      </c>
    </row>
    <row r="280" spans="1:7" ht="15">
      <c r="A280" s="104" t="s">
        <v>1336</v>
      </c>
      <c r="B280" s="102">
        <v>3</v>
      </c>
      <c r="C280" s="106">
        <v>0.01090030228862864</v>
      </c>
      <c r="D280" s="102" t="s">
        <v>1176</v>
      </c>
      <c r="E280" s="102" t="b">
        <v>0</v>
      </c>
      <c r="F280" s="102" t="b">
        <v>0</v>
      </c>
      <c r="G280" s="102" t="b">
        <v>0</v>
      </c>
    </row>
    <row r="281" spans="1:7" ht="15">
      <c r="A281" s="104" t="s">
        <v>1280</v>
      </c>
      <c r="B281" s="102">
        <v>3</v>
      </c>
      <c r="C281" s="106">
        <v>0.007754447861905591</v>
      </c>
      <c r="D281" s="102" t="s">
        <v>1176</v>
      </c>
      <c r="E281" s="102" t="b">
        <v>0</v>
      </c>
      <c r="F281" s="102" t="b">
        <v>0</v>
      </c>
      <c r="G281" s="102" t="b">
        <v>0</v>
      </c>
    </row>
    <row r="282" spans="1:7" ht="15">
      <c r="A282" s="104" t="s">
        <v>1281</v>
      </c>
      <c r="B282" s="102">
        <v>2</v>
      </c>
      <c r="C282" s="106">
        <v>0.005943659420269725</v>
      </c>
      <c r="D282" s="102" t="s">
        <v>1176</v>
      </c>
      <c r="E282" s="102" t="b">
        <v>0</v>
      </c>
      <c r="F282" s="102" t="b">
        <v>0</v>
      </c>
      <c r="G282" s="102" t="b">
        <v>0</v>
      </c>
    </row>
    <row r="283" spans="1:7" ht="15">
      <c r="A283" s="104" t="s">
        <v>1314</v>
      </c>
      <c r="B283" s="102">
        <v>2</v>
      </c>
      <c r="C283" s="106">
        <v>0.005943659420269725</v>
      </c>
      <c r="D283" s="102" t="s">
        <v>1176</v>
      </c>
      <c r="E283" s="102" t="b">
        <v>0</v>
      </c>
      <c r="F283" s="102" t="b">
        <v>0</v>
      </c>
      <c r="G283" s="102" t="b">
        <v>0</v>
      </c>
    </row>
    <row r="284" spans="1:7" ht="15">
      <c r="A284" s="104" t="s">
        <v>1273</v>
      </c>
      <c r="B284" s="102">
        <v>2</v>
      </c>
      <c r="C284" s="106">
        <v>0.005943659420269725</v>
      </c>
      <c r="D284" s="102" t="s">
        <v>1176</v>
      </c>
      <c r="E284" s="102" t="b">
        <v>0</v>
      </c>
      <c r="F284" s="102" t="b">
        <v>0</v>
      </c>
      <c r="G284" s="102" t="b">
        <v>0</v>
      </c>
    </row>
    <row r="285" spans="1:7" ht="15">
      <c r="A285" s="104" t="s">
        <v>1218</v>
      </c>
      <c r="B285" s="102">
        <v>2</v>
      </c>
      <c r="C285" s="106">
        <v>0.005943659420269725</v>
      </c>
      <c r="D285" s="102" t="s">
        <v>1176</v>
      </c>
      <c r="E285" s="102" t="b">
        <v>0</v>
      </c>
      <c r="F285" s="102" t="b">
        <v>0</v>
      </c>
      <c r="G285" s="102" t="b">
        <v>0</v>
      </c>
    </row>
    <row r="286" spans="1:7" ht="15">
      <c r="A286" s="104" t="s">
        <v>1444</v>
      </c>
      <c r="B286" s="102">
        <v>2</v>
      </c>
      <c r="C286" s="106">
        <v>0.005943659420269725</v>
      </c>
      <c r="D286" s="102" t="s">
        <v>1176</v>
      </c>
      <c r="E286" s="102" t="b">
        <v>0</v>
      </c>
      <c r="F286" s="102" t="b">
        <v>0</v>
      </c>
      <c r="G286" s="102" t="b">
        <v>0</v>
      </c>
    </row>
    <row r="287" spans="1:7" ht="15">
      <c r="A287" s="104" t="s">
        <v>1332</v>
      </c>
      <c r="B287" s="102">
        <v>2</v>
      </c>
      <c r="C287" s="106">
        <v>0.005943659420269725</v>
      </c>
      <c r="D287" s="102" t="s">
        <v>1176</v>
      </c>
      <c r="E287" s="102" t="b">
        <v>0</v>
      </c>
      <c r="F287" s="102" t="b">
        <v>0</v>
      </c>
      <c r="G287" s="102" t="b">
        <v>0</v>
      </c>
    </row>
    <row r="288" spans="1:7" ht="15">
      <c r="A288" s="104" t="s">
        <v>1428</v>
      </c>
      <c r="B288" s="102">
        <v>2</v>
      </c>
      <c r="C288" s="106">
        <v>0.005943659420269725</v>
      </c>
      <c r="D288" s="102" t="s">
        <v>1176</v>
      </c>
      <c r="E288" s="102" t="b">
        <v>0</v>
      </c>
      <c r="F288" s="102" t="b">
        <v>0</v>
      </c>
      <c r="G288" s="102" t="b">
        <v>0</v>
      </c>
    </row>
    <row r="289" spans="1:7" ht="15">
      <c r="A289" s="104" t="s">
        <v>1274</v>
      </c>
      <c r="B289" s="102">
        <v>2</v>
      </c>
      <c r="C289" s="106">
        <v>0.005943659420269725</v>
      </c>
      <c r="D289" s="102" t="s">
        <v>1176</v>
      </c>
      <c r="E289" s="102" t="b">
        <v>0</v>
      </c>
      <c r="F289" s="102" t="b">
        <v>0</v>
      </c>
      <c r="G289" s="102" t="b">
        <v>0</v>
      </c>
    </row>
    <row r="290" spans="1:7" ht="15">
      <c r="A290" s="104" t="s">
        <v>1429</v>
      </c>
      <c r="B290" s="102">
        <v>2</v>
      </c>
      <c r="C290" s="106">
        <v>0.005943659420269725</v>
      </c>
      <c r="D290" s="102" t="s">
        <v>1176</v>
      </c>
      <c r="E290" s="102" t="b">
        <v>0</v>
      </c>
      <c r="F290" s="102" t="b">
        <v>0</v>
      </c>
      <c r="G290" s="102" t="b">
        <v>0</v>
      </c>
    </row>
    <row r="291" spans="1:7" ht="15">
      <c r="A291" s="104" t="s">
        <v>1360</v>
      </c>
      <c r="B291" s="102">
        <v>2</v>
      </c>
      <c r="C291" s="106">
        <v>0.005943659420269725</v>
      </c>
      <c r="D291" s="102" t="s">
        <v>1176</v>
      </c>
      <c r="E291" s="102" t="b">
        <v>0</v>
      </c>
      <c r="F291" s="102" t="b">
        <v>0</v>
      </c>
      <c r="G291" s="102" t="b">
        <v>0</v>
      </c>
    </row>
    <row r="292" spans="1:7" ht="15">
      <c r="A292" s="104" t="s">
        <v>1361</v>
      </c>
      <c r="B292" s="102">
        <v>2</v>
      </c>
      <c r="C292" s="106">
        <v>0.005943659420269725</v>
      </c>
      <c r="D292" s="102" t="s">
        <v>1176</v>
      </c>
      <c r="E292" s="102" t="b">
        <v>0</v>
      </c>
      <c r="F292" s="102" t="b">
        <v>0</v>
      </c>
      <c r="G292" s="102" t="b">
        <v>0</v>
      </c>
    </row>
    <row r="293" spans="1:7" ht="15">
      <c r="A293" s="104" t="s">
        <v>1334</v>
      </c>
      <c r="B293" s="102">
        <v>2</v>
      </c>
      <c r="C293" s="106">
        <v>0.005943659420269725</v>
      </c>
      <c r="D293" s="102" t="s">
        <v>1176</v>
      </c>
      <c r="E293" s="102" t="b">
        <v>0</v>
      </c>
      <c r="F293" s="102" t="b">
        <v>0</v>
      </c>
      <c r="G293" s="102" t="b">
        <v>0</v>
      </c>
    </row>
    <row r="294" spans="1:7" ht="15">
      <c r="A294" s="104" t="s">
        <v>1440</v>
      </c>
      <c r="B294" s="102">
        <v>2</v>
      </c>
      <c r="C294" s="106">
        <v>0.007266868192419093</v>
      </c>
      <c r="D294" s="102" t="s">
        <v>1176</v>
      </c>
      <c r="E294" s="102" t="b">
        <v>0</v>
      </c>
      <c r="F294" s="102" t="b">
        <v>0</v>
      </c>
      <c r="G294" s="102" t="b">
        <v>0</v>
      </c>
    </row>
    <row r="295" spans="1:7" ht="15">
      <c r="A295" s="104" t="s">
        <v>1441</v>
      </c>
      <c r="B295" s="102">
        <v>2</v>
      </c>
      <c r="C295" s="106">
        <v>0.007266868192419093</v>
      </c>
      <c r="D295" s="102" t="s">
        <v>1176</v>
      </c>
      <c r="E295" s="102" t="b">
        <v>0</v>
      </c>
      <c r="F295" s="102" t="b">
        <v>0</v>
      </c>
      <c r="G295" s="102" t="b">
        <v>0</v>
      </c>
    </row>
    <row r="296" spans="1:7" ht="15">
      <c r="A296" s="104" t="s">
        <v>1439</v>
      </c>
      <c r="B296" s="102">
        <v>2</v>
      </c>
      <c r="C296" s="106">
        <v>0.007266868192419093</v>
      </c>
      <c r="D296" s="102" t="s">
        <v>1176</v>
      </c>
      <c r="E296" s="102" t="b">
        <v>0</v>
      </c>
      <c r="F296" s="102" t="b">
        <v>0</v>
      </c>
      <c r="G296" s="102" t="b">
        <v>0</v>
      </c>
    </row>
    <row r="297" spans="1:7" ht="15">
      <c r="A297" s="104" t="s">
        <v>1437</v>
      </c>
      <c r="B297" s="102">
        <v>2</v>
      </c>
      <c r="C297" s="106">
        <v>0.007266868192419093</v>
      </c>
      <c r="D297" s="102" t="s">
        <v>1176</v>
      </c>
      <c r="E297" s="102" t="b">
        <v>0</v>
      </c>
      <c r="F297" s="102" t="b">
        <v>0</v>
      </c>
      <c r="G297" s="102" t="b">
        <v>0</v>
      </c>
    </row>
    <row r="298" spans="1:7" ht="15">
      <c r="A298" s="104" t="s">
        <v>1321</v>
      </c>
      <c r="B298" s="102">
        <v>2</v>
      </c>
      <c r="C298" s="106">
        <v>0.007266868192419093</v>
      </c>
      <c r="D298" s="102" t="s">
        <v>1176</v>
      </c>
      <c r="E298" s="102" t="b">
        <v>0</v>
      </c>
      <c r="F298" s="102" t="b">
        <v>0</v>
      </c>
      <c r="G298" s="102" t="b">
        <v>0</v>
      </c>
    </row>
    <row r="299" spans="1:7" ht="15">
      <c r="A299" s="104" t="s">
        <v>1438</v>
      </c>
      <c r="B299" s="102">
        <v>2</v>
      </c>
      <c r="C299" s="106">
        <v>0.007266868192419093</v>
      </c>
      <c r="D299" s="102" t="s">
        <v>1176</v>
      </c>
      <c r="E299" s="102" t="b">
        <v>0</v>
      </c>
      <c r="F299" s="102" t="b">
        <v>0</v>
      </c>
      <c r="G299" s="102" t="b">
        <v>0</v>
      </c>
    </row>
    <row r="300" spans="1:7" ht="15">
      <c r="A300" s="104" t="s">
        <v>1247</v>
      </c>
      <c r="B300" s="102">
        <v>2</v>
      </c>
      <c r="C300" s="106">
        <v>0.005943659420269725</v>
      </c>
      <c r="D300" s="102" t="s">
        <v>1176</v>
      </c>
      <c r="E300" s="102" t="b">
        <v>0</v>
      </c>
      <c r="F300" s="102" t="b">
        <v>0</v>
      </c>
      <c r="G300" s="102" t="b">
        <v>0</v>
      </c>
    </row>
    <row r="301" spans="1:7" ht="15">
      <c r="A301" s="104" t="s">
        <v>1209</v>
      </c>
      <c r="B301" s="102">
        <v>2</v>
      </c>
      <c r="C301" s="106">
        <v>0.005943659420269725</v>
      </c>
      <c r="D301" s="102" t="s">
        <v>1176</v>
      </c>
      <c r="E301" s="102" t="b">
        <v>0</v>
      </c>
      <c r="F301" s="102" t="b">
        <v>0</v>
      </c>
      <c r="G301" s="102" t="b">
        <v>0</v>
      </c>
    </row>
    <row r="302" spans="1:7" ht="15">
      <c r="A302" s="104" t="s">
        <v>1366</v>
      </c>
      <c r="B302" s="102">
        <v>2</v>
      </c>
      <c r="C302" s="106">
        <v>0.007266868192419093</v>
      </c>
      <c r="D302" s="102" t="s">
        <v>1176</v>
      </c>
      <c r="E302" s="102" t="b">
        <v>0</v>
      </c>
      <c r="F302" s="102" t="b">
        <v>0</v>
      </c>
      <c r="G302" s="102" t="b">
        <v>0</v>
      </c>
    </row>
    <row r="303" spans="1:7" ht="15">
      <c r="A303" s="104" t="s">
        <v>1367</v>
      </c>
      <c r="B303" s="102">
        <v>2</v>
      </c>
      <c r="C303" s="106">
        <v>0.007266868192419093</v>
      </c>
      <c r="D303" s="102" t="s">
        <v>1176</v>
      </c>
      <c r="E303" s="102" t="b">
        <v>0</v>
      </c>
      <c r="F303" s="102" t="b">
        <v>0</v>
      </c>
      <c r="G303" s="102" t="b">
        <v>0</v>
      </c>
    </row>
    <row r="304" spans="1:7" ht="15">
      <c r="A304" s="104" t="s">
        <v>1368</v>
      </c>
      <c r="B304" s="102">
        <v>2</v>
      </c>
      <c r="C304" s="106">
        <v>0.007266868192419093</v>
      </c>
      <c r="D304" s="102" t="s">
        <v>1176</v>
      </c>
      <c r="E304" s="102" t="b">
        <v>0</v>
      </c>
      <c r="F304" s="102" t="b">
        <v>0</v>
      </c>
      <c r="G304" s="102" t="b">
        <v>0</v>
      </c>
    </row>
    <row r="305" spans="1:7" ht="15">
      <c r="A305" s="104" t="s">
        <v>1364</v>
      </c>
      <c r="B305" s="102">
        <v>2</v>
      </c>
      <c r="C305" s="106">
        <v>0.005943659420269725</v>
      </c>
      <c r="D305" s="102" t="s">
        <v>1176</v>
      </c>
      <c r="E305" s="102" t="b">
        <v>0</v>
      </c>
      <c r="F305" s="102" t="b">
        <v>0</v>
      </c>
      <c r="G305" s="102" t="b">
        <v>0</v>
      </c>
    </row>
    <row r="306" spans="1:7" ht="15">
      <c r="A306" s="104" t="s">
        <v>1362</v>
      </c>
      <c r="B306" s="102">
        <v>2</v>
      </c>
      <c r="C306" s="106">
        <v>0.005943659420269725</v>
      </c>
      <c r="D306" s="102" t="s">
        <v>1176</v>
      </c>
      <c r="E306" s="102" t="b">
        <v>0</v>
      </c>
      <c r="F306" s="102" t="b">
        <v>0</v>
      </c>
      <c r="G306" s="102" t="b">
        <v>0</v>
      </c>
    </row>
    <row r="307" spans="1:7" ht="15">
      <c r="A307" s="104" t="s">
        <v>1363</v>
      </c>
      <c r="B307" s="102">
        <v>2</v>
      </c>
      <c r="C307" s="106">
        <v>0.005943659420269725</v>
      </c>
      <c r="D307" s="102" t="s">
        <v>1176</v>
      </c>
      <c r="E307" s="102" t="b">
        <v>0</v>
      </c>
      <c r="F307" s="102" t="b">
        <v>0</v>
      </c>
      <c r="G307" s="102" t="b">
        <v>0</v>
      </c>
    </row>
    <row r="308" spans="1:7" ht="15">
      <c r="A308" s="104" t="s">
        <v>1365</v>
      </c>
      <c r="B308" s="102">
        <v>2</v>
      </c>
      <c r="C308" s="106">
        <v>0.007266868192419093</v>
      </c>
      <c r="D308" s="102" t="s">
        <v>1176</v>
      </c>
      <c r="E308" s="102" t="b">
        <v>0</v>
      </c>
      <c r="F308" s="102" t="b">
        <v>0</v>
      </c>
      <c r="G308" s="102" t="b">
        <v>0</v>
      </c>
    </row>
    <row r="309" spans="1:7" ht="15">
      <c r="A309" s="104" t="s">
        <v>1204</v>
      </c>
      <c r="B309" s="102">
        <v>56</v>
      </c>
      <c r="C309" s="106">
        <v>0.018616806235719523</v>
      </c>
      <c r="D309" s="102" t="s">
        <v>1177</v>
      </c>
      <c r="E309" s="102" t="b">
        <v>0</v>
      </c>
      <c r="F309" s="102" t="b">
        <v>0</v>
      </c>
      <c r="G309" s="102" t="b">
        <v>0</v>
      </c>
    </row>
    <row r="310" spans="1:7" ht="15">
      <c r="A310" s="104" t="s">
        <v>1205</v>
      </c>
      <c r="B310" s="102">
        <v>43</v>
      </c>
      <c r="C310" s="106">
        <v>0.01084818286545107</v>
      </c>
      <c r="D310" s="102" t="s">
        <v>1177</v>
      </c>
      <c r="E310" s="102" t="b">
        <v>0</v>
      </c>
      <c r="F310" s="102" t="b">
        <v>0</v>
      </c>
      <c r="G310" s="102" t="b">
        <v>0</v>
      </c>
    </row>
    <row r="311" spans="1:7" ht="15">
      <c r="A311" s="104" t="s">
        <v>1208</v>
      </c>
      <c r="B311" s="102">
        <v>38</v>
      </c>
      <c r="C311" s="106">
        <v>0.026362885710662348</v>
      </c>
      <c r="D311" s="102" t="s">
        <v>1177</v>
      </c>
      <c r="E311" s="102" t="b">
        <v>0</v>
      </c>
      <c r="F311" s="102" t="b">
        <v>0</v>
      </c>
      <c r="G311" s="102" t="b">
        <v>0</v>
      </c>
    </row>
    <row r="312" spans="1:7" ht="15">
      <c r="A312" s="104" t="s">
        <v>1209</v>
      </c>
      <c r="B312" s="102">
        <v>32</v>
      </c>
      <c r="C312" s="106">
        <v>0.008896220308480786</v>
      </c>
      <c r="D312" s="102" t="s">
        <v>1177</v>
      </c>
      <c r="E312" s="102" t="b">
        <v>0</v>
      </c>
      <c r="F312" s="102" t="b">
        <v>0</v>
      </c>
      <c r="G312" s="102" t="b">
        <v>0</v>
      </c>
    </row>
    <row r="313" spans="1:7" ht="15">
      <c r="A313" s="104" t="s">
        <v>1210</v>
      </c>
      <c r="B313" s="102">
        <v>32</v>
      </c>
      <c r="C313" s="106">
        <v>0.039450785736219185</v>
      </c>
      <c r="D313" s="102" t="s">
        <v>1177</v>
      </c>
      <c r="E313" s="102" t="b">
        <v>0</v>
      </c>
      <c r="F313" s="102" t="b">
        <v>0</v>
      </c>
      <c r="G313" s="102" t="b">
        <v>0</v>
      </c>
    </row>
    <row r="314" spans="1:7" ht="15">
      <c r="A314" s="104" t="s">
        <v>1207</v>
      </c>
      <c r="B314" s="102">
        <v>30</v>
      </c>
      <c r="C314" s="106">
        <v>0.019443322899285225</v>
      </c>
      <c r="D314" s="102" t="s">
        <v>1177</v>
      </c>
      <c r="E314" s="102" t="b">
        <v>0</v>
      </c>
      <c r="F314" s="102" t="b">
        <v>0</v>
      </c>
      <c r="G314" s="102" t="b">
        <v>0</v>
      </c>
    </row>
    <row r="315" spans="1:7" ht="15">
      <c r="A315" s="104" t="s">
        <v>1214</v>
      </c>
      <c r="B315" s="102">
        <v>23</v>
      </c>
      <c r="C315" s="106">
        <v>0.033829103747255215</v>
      </c>
      <c r="D315" s="102" t="s">
        <v>1177</v>
      </c>
      <c r="E315" s="102" t="b">
        <v>0</v>
      </c>
      <c r="F315" s="102" t="b">
        <v>0</v>
      </c>
      <c r="G315" s="102" t="b">
        <v>0</v>
      </c>
    </row>
    <row r="316" spans="1:7" ht="15">
      <c r="A316" s="104" t="s">
        <v>1215</v>
      </c>
      <c r="B316" s="102">
        <v>21</v>
      </c>
      <c r="C316" s="106">
        <v>0.02817928918539201</v>
      </c>
      <c r="D316" s="102" t="s">
        <v>1177</v>
      </c>
      <c r="E316" s="102" t="b">
        <v>0</v>
      </c>
      <c r="F316" s="102" t="b">
        <v>0</v>
      </c>
      <c r="G316" s="102" t="b">
        <v>0</v>
      </c>
    </row>
    <row r="317" spans="1:7" ht="15">
      <c r="A317" s="104" t="s">
        <v>1206</v>
      </c>
      <c r="B317" s="102">
        <v>19</v>
      </c>
      <c r="C317" s="106">
        <v>0.013181442855331174</v>
      </c>
      <c r="D317" s="102" t="s">
        <v>1177</v>
      </c>
      <c r="E317" s="102" t="b">
        <v>0</v>
      </c>
      <c r="F317" s="102" t="b">
        <v>0</v>
      </c>
      <c r="G317" s="102" t="b">
        <v>0</v>
      </c>
    </row>
    <row r="318" spans="1:7" ht="15">
      <c r="A318" s="104" t="s">
        <v>1212</v>
      </c>
      <c r="B318" s="102">
        <v>14</v>
      </c>
      <c r="C318" s="106">
        <v>0.011922316667629848</v>
      </c>
      <c r="D318" s="102" t="s">
        <v>1177</v>
      </c>
      <c r="E318" s="102" t="b">
        <v>0</v>
      </c>
      <c r="F318" s="102" t="b">
        <v>0</v>
      </c>
      <c r="G318" s="102" t="b">
        <v>0</v>
      </c>
    </row>
    <row r="319" spans="1:7" ht="15">
      <c r="A319" s="104" t="s">
        <v>1217</v>
      </c>
      <c r="B319" s="102">
        <v>11</v>
      </c>
      <c r="C319" s="106">
        <v>0.013561207596825345</v>
      </c>
      <c r="D319" s="102" t="s">
        <v>1177</v>
      </c>
      <c r="E319" s="102" t="b">
        <v>0</v>
      </c>
      <c r="F319" s="102" t="b">
        <v>0</v>
      </c>
      <c r="G319" s="102" t="b">
        <v>0</v>
      </c>
    </row>
    <row r="320" spans="1:7" ht="15">
      <c r="A320" s="104" t="s">
        <v>1232</v>
      </c>
      <c r="B320" s="102">
        <v>9</v>
      </c>
      <c r="C320" s="106">
        <v>0.014657980456026058</v>
      </c>
      <c r="D320" s="102" t="s">
        <v>1177</v>
      </c>
      <c r="E320" s="102" t="b">
        <v>0</v>
      </c>
      <c r="F320" s="102" t="b">
        <v>0</v>
      </c>
      <c r="G320" s="102" t="b">
        <v>0</v>
      </c>
    </row>
    <row r="321" spans="1:7" ht="15">
      <c r="A321" s="104" t="s">
        <v>1244</v>
      </c>
      <c r="B321" s="102">
        <v>6</v>
      </c>
      <c r="C321" s="106">
        <v>0.008051225481540573</v>
      </c>
      <c r="D321" s="102" t="s">
        <v>1177</v>
      </c>
      <c r="E321" s="102" t="b">
        <v>1</v>
      </c>
      <c r="F321" s="102" t="b">
        <v>0</v>
      </c>
      <c r="G321" s="102" t="b">
        <v>0</v>
      </c>
    </row>
    <row r="322" spans="1:7" ht="15">
      <c r="A322" s="104" t="s">
        <v>1256</v>
      </c>
      <c r="B322" s="102">
        <v>6</v>
      </c>
      <c r="C322" s="106">
        <v>0.01099288667695407</v>
      </c>
      <c r="D322" s="102" t="s">
        <v>1177</v>
      </c>
      <c r="E322" s="102" t="b">
        <v>0</v>
      </c>
      <c r="F322" s="102" t="b">
        <v>0</v>
      </c>
      <c r="G322" s="102" t="b">
        <v>0</v>
      </c>
    </row>
    <row r="323" spans="1:7" ht="15">
      <c r="A323" s="104" t="s">
        <v>1243</v>
      </c>
      <c r="B323" s="102">
        <v>5</v>
      </c>
      <c r="C323" s="106">
        <v>0.009160738897461726</v>
      </c>
      <c r="D323" s="102" t="s">
        <v>1177</v>
      </c>
      <c r="E323" s="102" t="b">
        <v>0</v>
      </c>
      <c r="F323" s="102" t="b">
        <v>0</v>
      </c>
      <c r="G323" s="102" t="b">
        <v>0</v>
      </c>
    </row>
    <row r="324" spans="1:7" ht="15">
      <c r="A324" s="104" t="s">
        <v>1230</v>
      </c>
      <c r="B324" s="102">
        <v>5</v>
      </c>
      <c r="C324" s="106">
        <v>0.008143322475570033</v>
      </c>
      <c r="D324" s="102" t="s">
        <v>1177</v>
      </c>
      <c r="E324" s="102" t="b">
        <v>0</v>
      </c>
      <c r="F324" s="102" t="b">
        <v>0</v>
      </c>
      <c r="G324" s="102" t="b">
        <v>0</v>
      </c>
    </row>
    <row r="325" spans="1:7" ht="15">
      <c r="A325" s="104" t="s">
        <v>1267</v>
      </c>
      <c r="B325" s="102">
        <v>5</v>
      </c>
      <c r="C325" s="106">
        <v>0.007354152988533742</v>
      </c>
      <c r="D325" s="102" t="s">
        <v>1177</v>
      </c>
      <c r="E325" s="102" t="b">
        <v>0</v>
      </c>
      <c r="F325" s="102" t="b">
        <v>0</v>
      </c>
      <c r="G325" s="102" t="b">
        <v>0</v>
      </c>
    </row>
    <row r="326" spans="1:7" ht="15">
      <c r="A326" s="104" t="s">
        <v>1218</v>
      </c>
      <c r="B326" s="102">
        <v>5</v>
      </c>
      <c r="C326" s="106">
        <v>0.007354152988533742</v>
      </c>
      <c r="D326" s="102" t="s">
        <v>1177</v>
      </c>
      <c r="E326" s="102" t="b">
        <v>0</v>
      </c>
      <c r="F326" s="102" t="b">
        <v>0</v>
      </c>
      <c r="G326" s="102" t="b">
        <v>0</v>
      </c>
    </row>
    <row r="327" spans="1:7" ht="15">
      <c r="A327" s="104" t="s">
        <v>1259</v>
      </c>
      <c r="B327" s="102">
        <v>5</v>
      </c>
      <c r="C327" s="106">
        <v>0.009160738897461726</v>
      </c>
      <c r="D327" s="102" t="s">
        <v>1177</v>
      </c>
      <c r="E327" s="102" t="b">
        <v>0</v>
      </c>
      <c r="F327" s="102" t="b">
        <v>0</v>
      </c>
      <c r="G327" s="102" t="b">
        <v>0</v>
      </c>
    </row>
    <row r="328" spans="1:7" ht="15">
      <c r="A328" s="104" t="s">
        <v>1268</v>
      </c>
      <c r="B328" s="102">
        <v>5</v>
      </c>
      <c r="C328" s="106">
        <v>0.013046091134592527</v>
      </c>
      <c r="D328" s="102" t="s">
        <v>1177</v>
      </c>
      <c r="E328" s="102" t="b">
        <v>0</v>
      </c>
      <c r="F328" s="102" t="b">
        <v>0</v>
      </c>
      <c r="G328" s="102" t="b">
        <v>0</v>
      </c>
    </row>
    <row r="329" spans="1:7" ht="15">
      <c r="A329" s="104" t="s">
        <v>1269</v>
      </c>
      <c r="B329" s="102">
        <v>5</v>
      </c>
      <c r="C329" s="106">
        <v>0.013046091134592527</v>
      </c>
      <c r="D329" s="102" t="s">
        <v>1177</v>
      </c>
      <c r="E329" s="102" t="b">
        <v>0</v>
      </c>
      <c r="F329" s="102" t="b">
        <v>0</v>
      </c>
      <c r="G329" s="102" t="b">
        <v>0</v>
      </c>
    </row>
    <row r="330" spans="1:7" ht="15">
      <c r="A330" s="104" t="s">
        <v>1293</v>
      </c>
      <c r="B330" s="102">
        <v>4</v>
      </c>
      <c r="C330" s="106">
        <v>0.006514657980456026</v>
      </c>
      <c r="D330" s="102" t="s">
        <v>1177</v>
      </c>
      <c r="E330" s="102" t="b">
        <v>0</v>
      </c>
      <c r="F330" s="102" t="b">
        <v>0</v>
      </c>
      <c r="G330" s="102" t="b">
        <v>0</v>
      </c>
    </row>
    <row r="331" spans="1:7" ht="15">
      <c r="A331" s="104" t="s">
        <v>1219</v>
      </c>
      <c r="B331" s="102">
        <v>4</v>
      </c>
      <c r="C331" s="106">
        <v>0.0073285911179693805</v>
      </c>
      <c r="D331" s="102" t="s">
        <v>1177</v>
      </c>
      <c r="E331" s="102" t="b">
        <v>0</v>
      </c>
      <c r="F331" s="102" t="b">
        <v>0</v>
      </c>
      <c r="G331" s="102" t="b">
        <v>0</v>
      </c>
    </row>
    <row r="332" spans="1:7" ht="15">
      <c r="A332" s="104" t="s">
        <v>1246</v>
      </c>
      <c r="B332" s="102">
        <v>4</v>
      </c>
      <c r="C332" s="106">
        <v>0.008475765444065024</v>
      </c>
      <c r="D332" s="102" t="s">
        <v>1177</v>
      </c>
      <c r="E332" s="102" t="b">
        <v>0</v>
      </c>
      <c r="F332" s="102" t="b">
        <v>0</v>
      </c>
      <c r="G332" s="102" t="b">
        <v>0</v>
      </c>
    </row>
    <row r="333" spans="1:7" ht="15">
      <c r="A333" s="104" t="s">
        <v>1294</v>
      </c>
      <c r="B333" s="102">
        <v>4</v>
      </c>
      <c r="C333" s="106">
        <v>0.010436872907674023</v>
      </c>
      <c r="D333" s="102" t="s">
        <v>1177</v>
      </c>
      <c r="E333" s="102" t="b">
        <v>0</v>
      </c>
      <c r="F333" s="102" t="b">
        <v>0</v>
      </c>
      <c r="G333" s="102" t="b">
        <v>0</v>
      </c>
    </row>
    <row r="334" spans="1:7" ht="15">
      <c r="A334" s="104" t="s">
        <v>1211</v>
      </c>
      <c r="B334" s="102">
        <v>3</v>
      </c>
      <c r="C334" s="106">
        <v>0.005496443338477035</v>
      </c>
      <c r="D334" s="102" t="s">
        <v>1177</v>
      </c>
      <c r="E334" s="102" t="b">
        <v>0</v>
      </c>
      <c r="F334" s="102" t="b">
        <v>0</v>
      </c>
      <c r="G334" s="102" t="b">
        <v>0</v>
      </c>
    </row>
    <row r="335" spans="1:7" ht="15">
      <c r="A335" s="104" t="s">
        <v>1220</v>
      </c>
      <c r="B335" s="102">
        <v>3</v>
      </c>
      <c r="C335" s="106">
        <v>0.005496443338477035</v>
      </c>
      <c r="D335" s="102" t="s">
        <v>1177</v>
      </c>
      <c r="E335" s="102" t="b">
        <v>0</v>
      </c>
      <c r="F335" s="102" t="b">
        <v>0</v>
      </c>
      <c r="G335" s="102" t="b">
        <v>0</v>
      </c>
    </row>
    <row r="336" spans="1:7" ht="15">
      <c r="A336" s="104" t="s">
        <v>1282</v>
      </c>
      <c r="B336" s="102">
        <v>3</v>
      </c>
      <c r="C336" s="106">
        <v>0.005496443338477035</v>
      </c>
      <c r="D336" s="102" t="s">
        <v>1177</v>
      </c>
      <c r="E336" s="102" t="b">
        <v>0</v>
      </c>
      <c r="F336" s="102" t="b">
        <v>0</v>
      </c>
      <c r="G336" s="102" t="b">
        <v>0</v>
      </c>
    </row>
    <row r="337" spans="1:7" ht="15">
      <c r="A337" s="104" t="s">
        <v>1224</v>
      </c>
      <c r="B337" s="102">
        <v>3</v>
      </c>
      <c r="C337" s="106">
        <v>0.005496443338477035</v>
      </c>
      <c r="D337" s="102" t="s">
        <v>1177</v>
      </c>
      <c r="E337" s="102" t="b">
        <v>0</v>
      </c>
      <c r="F337" s="102" t="b">
        <v>0</v>
      </c>
      <c r="G337" s="102" t="b">
        <v>0</v>
      </c>
    </row>
    <row r="338" spans="1:7" ht="15">
      <c r="A338" s="104" t="s">
        <v>1261</v>
      </c>
      <c r="B338" s="102">
        <v>3</v>
      </c>
      <c r="C338" s="106">
        <v>0.007827654680755516</v>
      </c>
      <c r="D338" s="102" t="s">
        <v>1177</v>
      </c>
      <c r="E338" s="102" t="b">
        <v>0</v>
      </c>
      <c r="F338" s="102" t="b">
        <v>0</v>
      </c>
      <c r="G338" s="102" t="b">
        <v>0</v>
      </c>
    </row>
    <row r="339" spans="1:7" ht="15">
      <c r="A339" s="104" t="s">
        <v>1335</v>
      </c>
      <c r="B339" s="102">
        <v>3</v>
      </c>
      <c r="C339" s="106">
        <v>0.007827654680755516</v>
      </c>
      <c r="D339" s="102" t="s">
        <v>1177</v>
      </c>
      <c r="E339" s="102" t="b">
        <v>0</v>
      </c>
      <c r="F339" s="102" t="b">
        <v>0</v>
      </c>
      <c r="G339" s="102" t="b">
        <v>0</v>
      </c>
    </row>
    <row r="340" spans="1:7" ht="15">
      <c r="A340" s="104" t="s">
        <v>1301</v>
      </c>
      <c r="B340" s="102">
        <v>3</v>
      </c>
      <c r="C340" s="106">
        <v>0.006356824083048768</v>
      </c>
      <c r="D340" s="102" t="s">
        <v>1177</v>
      </c>
      <c r="E340" s="102" t="b">
        <v>0</v>
      </c>
      <c r="F340" s="102" t="b">
        <v>0</v>
      </c>
      <c r="G340" s="102" t="b">
        <v>0</v>
      </c>
    </row>
    <row r="341" spans="1:7" ht="15">
      <c r="A341" s="104" t="s">
        <v>1300</v>
      </c>
      <c r="B341" s="102">
        <v>3</v>
      </c>
      <c r="C341" s="106">
        <v>0.006356824083048768</v>
      </c>
      <c r="D341" s="102" t="s">
        <v>1177</v>
      </c>
      <c r="E341" s="102" t="b">
        <v>0</v>
      </c>
      <c r="F341" s="102" t="b">
        <v>0</v>
      </c>
      <c r="G341" s="102" t="b">
        <v>0</v>
      </c>
    </row>
    <row r="342" spans="1:7" ht="15">
      <c r="A342" s="104" t="s">
        <v>1327</v>
      </c>
      <c r="B342" s="102">
        <v>3</v>
      </c>
      <c r="C342" s="106">
        <v>0.007827654680755516</v>
      </c>
      <c r="D342" s="102" t="s">
        <v>1177</v>
      </c>
      <c r="E342" s="102" t="b">
        <v>0</v>
      </c>
      <c r="F342" s="102" t="b">
        <v>0</v>
      </c>
      <c r="G342" s="102" t="b">
        <v>0</v>
      </c>
    </row>
    <row r="343" spans="1:7" ht="15">
      <c r="A343" s="104" t="s">
        <v>1277</v>
      </c>
      <c r="B343" s="102">
        <v>3</v>
      </c>
      <c r="C343" s="106">
        <v>0.007827654680755516</v>
      </c>
      <c r="D343" s="102" t="s">
        <v>1177</v>
      </c>
      <c r="E343" s="102" t="b">
        <v>0</v>
      </c>
      <c r="F343" s="102" t="b">
        <v>0</v>
      </c>
      <c r="G343" s="102" t="b">
        <v>0</v>
      </c>
    </row>
    <row r="344" spans="1:7" ht="15">
      <c r="A344" s="104" t="s">
        <v>1324</v>
      </c>
      <c r="B344" s="102">
        <v>3</v>
      </c>
      <c r="C344" s="106">
        <v>0.007827654680755516</v>
      </c>
      <c r="D344" s="102" t="s">
        <v>1177</v>
      </c>
      <c r="E344" s="102" t="b">
        <v>0</v>
      </c>
      <c r="F344" s="102" t="b">
        <v>1</v>
      </c>
      <c r="G344" s="102" t="b">
        <v>0</v>
      </c>
    </row>
    <row r="345" spans="1:7" ht="15">
      <c r="A345" s="104" t="s">
        <v>1325</v>
      </c>
      <c r="B345" s="102">
        <v>3</v>
      </c>
      <c r="C345" s="106">
        <v>0.007827654680755516</v>
      </c>
      <c r="D345" s="102" t="s">
        <v>1177</v>
      </c>
      <c r="E345" s="102" t="b">
        <v>0</v>
      </c>
      <c r="F345" s="102" t="b">
        <v>0</v>
      </c>
      <c r="G345" s="102" t="b">
        <v>0</v>
      </c>
    </row>
    <row r="346" spans="1:7" ht="15">
      <c r="A346" s="104" t="s">
        <v>1326</v>
      </c>
      <c r="B346" s="102">
        <v>3</v>
      </c>
      <c r="C346" s="106">
        <v>0.007827654680755516</v>
      </c>
      <c r="D346" s="102" t="s">
        <v>1177</v>
      </c>
      <c r="E346" s="102" t="b">
        <v>0</v>
      </c>
      <c r="F346" s="102" t="b">
        <v>0</v>
      </c>
      <c r="G346" s="102" t="b">
        <v>0</v>
      </c>
    </row>
    <row r="347" spans="1:7" ht="15">
      <c r="A347" s="104" t="s">
        <v>1213</v>
      </c>
      <c r="B347" s="102">
        <v>2</v>
      </c>
      <c r="C347" s="106">
        <v>0.004237882722032512</v>
      </c>
      <c r="D347" s="102" t="s">
        <v>1177</v>
      </c>
      <c r="E347" s="102" t="b">
        <v>0</v>
      </c>
      <c r="F347" s="102" t="b">
        <v>0</v>
      </c>
      <c r="G347" s="102" t="b">
        <v>0</v>
      </c>
    </row>
    <row r="348" spans="1:7" ht="15">
      <c r="A348" s="104" t="s">
        <v>1236</v>
      </c>
      <c r="B348" s="102">
        <v>2</v>
      </c>
      <c r="C348" s="106">
        <v>0.004237882722032512</v>
      </c>
      <c r="D348" s="102" t="s">
        <v>1177</v>
      </c>
      <c r="E348" s="102" t="b">
        <v>0</v>
      </c>
      <c r="F348" s="102" t="b">
        <v>0</v>
      </c>
      <c r="G348" s="102" t="b">
        <v>0</v>
      </c>
    </row>
    <row r="349" spans="1:7" ht="15">
      <c r="A349" s="104" t="s">
        <v>1410</v>
      </c>
      <c r="B349" s="102">
        <v>2</v>
      </c>
      <c r="C349" s="106">
        <v>0.004237882722032512</v>
      </c>
      <c r="D349" s="102" t="s">
        <v>1177</v>
      </c>
      <c r="E349" s="102" t="b">
        <v>0</v>
      </c>
      <c r="F349" s="102" t="b">
        <v>0</v>
      </c>
      <c r="G349" s="102" t="b">
        <v>0</v>
      </c>
    </row>
    <row r="350" spans="1:7" ht="15">
      <c r="A350" s="104" t="s">
        <v>1405</v>
      </c>
      <c r="B350" s="102">
        <v>2</v>
      </c>
      <c r="C350" s="106">
        <v>0.004237882722032512</v>
      </c>
      <c r="D350" s="102" t="s">
        <v>1177</v>
      </c>
      <c r="E350" s="102" t="b">
        <v>0</v>
      </c>
      <c r="F350" s="102" t="b">
        <v>0</v>
      </c>
      <c r="G350" s="102" t="b">
        <v>0</v>
      </c>
    </row>
    <row r="351" spans="1:7" ht="15">
      <c r="A351" s="104" t="s">
        <v>1238</v>
      </c>
      <c r="B351" s="102">
        <v>2</v>
      </c>
      <c r="C351" s="106">
        <v>0.004237882722032512</v>
      </c>
      <c r="D351" s="102" t="s">
        <v>1177</v>
      </c>
      <c r="E351" s="102" t="b">
        <v>0</v>
      </c>
      <c r="F351" s="102" t="b">
        <v>0</v>
      </c>
      <c r="G351" s="102" t="b">
        <v>0</v>
      </c>
    </row>
    <row r="352" spans="1:7" ht="15">
      <c r="A352" s="104" t="s">
        <v>1406</v>
      </c>
      <c r="B352" s="102">
        <v>2</v>
      </c>
      <c r="C352" s="106">
        <v>0.004237882722032512</v>
      </c>
      <c r="D352" s="102" t="s">
        <v>1177</v>
      </c>
      <c r="E352" s="102" t="b">
        <v>0</v>
      </c>
      <c r="F352" s="102" t="b">
        <v>0</v>
      </c>
      <c r="G352" s="102" t="b">
        <v>0</v>
      </c>
    </row>
    <row r="353" spans="1:7" ht="15">
      <c r="A353" s="104" t="s">
        <v>1278</v>
      </c>
      <c r="B353" s="102">
        <v>2</v>
      </c>
      <c r="C353" s="106">
        <v>0.004237882722032512</v>
      </c>
      <c r="D353" s="102" t="s">
        <v>1177</v>
      </c>
      <c r="E353" s="102" t="b">
        <v>0</v>
      </c>
      <c r="F353" s="102" t="b">
        <v>0</v>
      </c>
      <c r="G353" s="102" t="b">
        <v>0</v>
      </c>
    </row>
    <row r="354" spans="1:7" ht="15">
      <c r="A354" s="104" t="s">
        <v>1309</v>
      </c>
      <c r="B354" s="102">
        <v>2</v>
      </c>
      <c r="C354" s="106">
        <v>0.004237882722032512</v>
      </c>
      <c r="D354" s="102" t="s">
        <v>1177</v>
      </c>
      <c r="E354" s="102" t="b">
        <v>0</v>
      </c>
      <c r="F354" s="102" t="b">
        <v>0</v>
      </c>
      <c r="G354" s="102" t="b">
        <v>0</v>
      </c>
    </row>
    <row r="355" spans="1:7" ht="15">
      <c r="A355" s="104" t="s">
        <v>1431</v>
      </c>
      <c r="B355" s="102">
        <v>2</v>
      </c>
      <c r="C355" s="106">
        <v>0.004237882722032512</v>
      </c>
      <c r="D355" s="102" t="s">
        <v>1177</v>
      </c>
      <c r="E355" s="102" t="b">
        <v>0</v>
      </c>
      <c r="F355" s="102" t="b">
        <v>0</v>
      </c>
      <c r="G355" s="102" t="b">
        <v>0</v>
      </c>
    </row>
    <row r="356" spans="1:7" ht="15">
      <c r="A356" s="104" t="s">
        <v>1436</v>
      </c>
      <c r="B356" s="102">
        <v>2</v>
      </c>
      <c r="C356" s="106">
        <v>0.005218436453837011</v>
      </c>
      <c r="D356" s="102" t="s">
        <v>1177</v>
      </c>
      <c r="E356" s="102" t="b">
        <v>0</v>
      </c>
      <c r="F356" s="102" t="b">
        <v>0</v>
      </c>
      <c r="G356" s="102" t="b">
        <v>0</v>
      </c>
    </row>
    <row r="357" spans="1:7" ht="15">
      <c r="A357" s="104" t="s">
        <v>1435</v>
      </c>
      <c r="B357" s="102">
        <v>2</v>
      </c>
      <c r="C357" s="106">
        <v>0.005218436453837011</v>
      </c>
      <c r="D357" s="102" t="s">
        <v>1177</v>
      </c>
      <c r="E357" s="102" t="b">
        <v>0</v>
      </c>
      <c r="F357" s="102" t="b">
        <v>0</v>
      </c>
      <c r="G357" s="102" t="b">
        <v>0</v>
      </c>
    </row>
    <row r="358" spans="1:7" ht="15">
      <c r="A358" s="104" t="s">
        <v>1216</v>
      </c>
      <c r="B358" s="102">
        <v>2</v>
      </c>
      <c r="C358" s="106">
        <v>0.005218436453837011</v>
      </c>
      <c r="D358" s="102" t="s">
        <v>1177</v>
      </c>
      <c r="E358" s="102" t="b">
        <v>0</v>
      </c>
      <c r="F358" s="102" t="b">
        <v>0</v>
      </c>
      <c r="G358" s="102" t="b">
        <v>0</v>
      </c>
    </row>
    <row r="359" spans="1:7" ht="15">
      <c r="A359" s="104" t="s">
        <v>1430</v>
      </c>
      <c r="B359" s="102">
        <v>2</v>
      </c>
      <c r="C359" s="106">
        <v>0.005218436453837011</v>
      </c>
      <c r="D359" s="102" t="s">
        <v>1177</v>
      </c>
      <c r="E359" s="102" t="b">
        <v>0</v>
      </c>
      <c r="F359" s="102" t="b">
        <v>0</v>
      </c>
      <c r="G359" s="102" t="b">
        <v>0</v>
      </c>
    </row>
    <row r="360" spans="1:7" ht="15">
      <c r="A360" s="104" t="s">
        <v>1248</v>
      </c>
      <c r="B360" s="102">
        <v>2</v>
      </c>
      <c r="C360" s="106">
        <v>0.004237882722032512</v>
      </c>
      <c r="D360" s="102" t="s">
        <v>1177</v>
      </c>
      <c r="E360" s="102" t="b">
        <v>0</v>
      </c>
      <c r="F360" s="102" t="b">
        <v>0</v>
      </c>
      <c r="G360" s="102" t="b">
        <v>0</v>
      </c>
    </row>
    <row r="361" spans="1:7" ht="15">
      <c r="A361" s="104" t="s">
        <v>1310</v>
      </c>
      <c r="B361" s="102">
        <v>2</v>
      </c>
      <c r="C361" s="106">
        <v>0.004237882722032512</v>
      </c>
      <c r="D361" s="102" t="s">
        <v>1177</v>
      </c>
      <c r="E361" s="102" t="b">
        <v>0</v>
      </c>
      <c r="F361" s="102" t="b">
        <v>0</v>
      </c>
      <c r="G361" s="102" t="b">
        <v>0</v>
      </c>
    </row>
    <row r="362" spans="1:7" ht="15">
      <c r="A362" s="104" t="s">
        <v>1281</v>
      </c>
      <c r="B362" s="102">
        <v>2</v>
      </c>
      <c r="C362" s="106">
        <v>0.004237882722032512</v>
      </c>
      <c r="D362" s="102" t="s">
        <v>1177</v>
      </c>
      <c r="E362" s="102" t="b">
        <v>0</v>
      </c>
      <c r="F362" s="102" t="b">
        <v>0</v>
      </c>
      <c r="G362" s="102" t="b">
        <v>0</v>
      </c>
    </row>
    <row r="363" spans="1:7" ht="15">
      <c r="A363" s="104" t="s">
        <v>1412</v>
      </c>
      <c r="B363" s="102">
        <v>2</v>
      </c>
      <c r="C363" s="106">
        <v>0.005218436453837011</v>
      </c>
      <c r="D363" s="102" t="s">
        <v>1177</v>
      </c>
      <c r="E363" s="102" t="b">
        <v>0</v>
      </c>
      <c r="F363" s="102" t="b">
        <v>0</v>
      </c>
      <c r="G363" s="102" t="b">
        <v>0</v>
      </c>
    </row>
    <row r="364" spans="1:7" ht="15">
      <c r="A364" s="104" t="s">
        <v>1413</v>
      </c>
      <c r="B364" s="102">
        <v>2</v>
      </c>
      <c r="C364" s="106">
        <v>0.005218436453837011</v>
      </c>
      <c r="D364" s="102" t="s">
        <v>1177</v>
      </c>
      <c r="E364" s="102" t="b">
        <v>0</v>
      </c>
      <c r="F364" s="102" t="b">
        <v>0</v>
      </c>
      <c r="G364" s="102" t="b">
        <v>0</v>
      </c>
    </row>
    <row r="365" spans="1:7" ht="15">
      <c r="A365" s="104" t="s">
        <v>1313</v>
      </c>
      <c r="B365" s="102">
        <v>2</v>
      </c>
      <c r="C365" s="106">
        <v>0.005218436453837011</v>
      </c>
      <c r="D365" s="102" t="s">
        <v>1177</v>
      </c>
      <c r="E365" s="102" t="b">
        <v>0</v>
      </c>
      <c r="F365" s="102" t="b">
        <v>1</v>
      </c>
      <c r="G365" s="102" t="b">
        <v>0</v>
      </c>
    </row>
    <row r="366" spans="1:7" ht="15">
      <c r="A366" s="104" t="s">
        <v>1408</v>
      </c>
      <c r="B366" s="102">
        <v>2</v>
      </c>
      <c r="C366" s="106">
        <v>0.005218436453837011</v>
      </c>
      <c r="D366" s="102" t="s">
        <v>1177</v>
      </c>
      <c r="E366" s="102" t="b">
        <v>0</v>
      </c>
      <c r="F366" s="102" t="b">
        <v>0</v>
      </c>
      <c r="G366" s="102" t="b">
        <v>0</v>
      </c>
    </row>
    <row r="367" spans="1:7" ht="15">
      <c r="A367" s="104" t="s">
        <v>1409</v>
      </c>
      <c r="B367" s="102">
        <v>2</v>
      </c>
      <c r="C367" s="106">
        <v>0.005218436453837011</v>
      </c>
      <c r="D367" s="102" t="s">
        <v>1177</v>
      </c>
      <c r="E367" s="102" t="b">
        <v>0</v>
      </c>
      <c r="F367" s="102" t="b">
        <v>0</v>
      </c>
      <c r="G367" s="102" t="b">
        <v>0</v>
      </c>
    </row>
    <row r="368" spans="1:7" ht="15">
      <c r="A368" s="104" t="s">
        <v>1407</v>
      </c>
      <c r="B368" s="102">
        <v>2</v>
      </c>
      <c r="C368" s="106">
        <v>0.005218436453837011</v>
      </c>
      <c r="D368" s="102" t="s">
        <v>1177</v>
      </c>
      <c r="E368" s="102" t="b">
        <v>0</v>
      </c>
      <c r="F368" s="102" t="b">
        <v>0</v>
      </c>
      <c r="G368" s="102" t="b">
        <v>0</v>
      </c>
    </row>
    <row r="369" spans="1:7" ht="15">
      <c r="A369" s="104" t="s">
        <v>1237</v>
      </c>
      <c r="B369" s="102">
        <v>2</v>
      </c>
      <c r="C369" s="106">
        <v>0.005218436453837011</v>
      </c>
      <c r="D369" s="102" t="s">
        <v>1177</v>
      </c>
      <c r="E369" s="102" t="b">
        <v>0</v>
      </c>
      <c r="F369" s="102" t="b">
        <v>0</v>
      </c>
      <c r="G369" s="102" t="b">
        <v>0</v>
      </c>
    </row>
    <row r="370" spans="1:7" ht="15">
      <c r="A370" s="104" t="s">
        <v>1274</v>
      </c>
      <c r="B370" s="102">
        <v>2</v>
      </c>
      <c r="C370" s="106">
        <v>0.004237882722032512</v>
      </c>
      <c r="D370" s="102" t="s">
        <v>1177</v>
      </c>
      <c r="E370" s="102" t="b">
        <v>0</v>
      </c>
      <c r="F370" s="102" t="b">
        <v>0</v>
      </c>
      <c r="G370" s="102" t="b">
        <v>0</v>
      </c>
    </row>
    <row r="371" spans="1:7" ht="15">
      <c r="A371" s="104" t="s">
        <v>1338</v>
      </c>
      <c r="B371" s="102">
        <v>2</v>
      </c>
      <c r="C371" s="106">
        <v>0.005218436453837011</v>
      </c>
      <c r="D371" s="102" t="s">
        <v>1177</v>
      </c>
      <c r="E371" s="102" t="b">
        <v>0</v>
      </c>
      <c r="F371" s="102" t="b">
        <v>0</v>
      </c>
      <c r="G371" s="102" t="b">
        <v>0</v>
      </c>
    </row>
    <row r="372" spans="1:7" ht="15">
      <c r="A372" s="104" t="s">
        <v>1339</v>
      </c>
      <c r="B372" s="102">
        <v>2</v>
      </c>
      <c r="C372" s="106">
        <v>0.005218436453837011</v>
      </c>
      <c r="D372" s="102" t="s">
        <v>1177</v>
      </c>
      <c r="E372" s="102" t="b">
        <v>0</v>
      </c>
      <c r="F372" s="102" t="b">
        <v>0</v>
      </c>
      <c r="G372" s="102" t="b">
        <v>0</v>
      </c>
    </row>
    <row r="373" spans="1:7" ht="15">
      <c r="A373" s="104" t="s">
        <v>1206</v>
      </c>
      <c r="B373" s="102">
        <v>18</v>
      </c>
      <c r="C373" s="106">
        <v>0.012382330103907255</v>
      </c>
      <c r="D373" s="102" t="s">
        <v>1178</v>
      </c>
      <c r="E373" s="102" t="b">
        <v>0</v>
      </c>
      <c r="F373" s="102" t="b">
        <v>0</v>
      </c>
      <c r="G373" s="102" t="b">
        <v>0</v>
      </c>
    </row>
    <row r="374" spans="1:7" ht="15">
      <c r="A374" s="104" t="s">
        <v>1211</v>
      </c>
      <c r="B374" s="102">
        <v>11</v>
      </c>
      <c r="C374" s="106">
        <v>0.014851565316241593</v>
      </c>
      <c r="D374" s="102" t="s">
        <v>1178</v>
      </c>
      <c r="E374" s="102" t="b">
        <v>0</v>
      </c>
      <c r="F374" s="102" t="b">
        <v>0</v>
      </c>
      <c r="G374" s="102" t="b">
        <v>0</v>
      </c>
    </row>
    <row r="375" spans="1:7" ht="15">
      <c r="A375" s="104" t="s">
        <v>1205</v>
      </c>
      <c r="B375" s="102">
        <v>9</v>
      </c>
      <c r="C375" s="106">
        <v>0.01688209065806807</v>
      </c>
      <c r="D375" s="102" t="s">
        <v>1178</v>
      </c>
      <c r="E375" s="102" t="b">
        <v>0</v>
      </c>
      <c r="F375" s="102" t="b">
        <v>0</v>
      </c>
      <c r="G375" s="102" t="b">
        <v>0</v>
      </c>
    </row>
    <row r="376" spans="1:7" ht="15">
      <c r="A376" s="104" t="s">
        <v>1241</v>
      </c>
      <c r="B376" s="102">
        <v>8</v>
      </c>
      <c r="C376" s="106">
        <v>0.015006302807171619</v>
      </c>
      <c r="D376" s="102" t="s">
        <v>1178</v>
      </c>
      <c r="E376" s="102" t="b">
        <v>0</v>
      </c>
      <c r="F376" s="102" t="b">
        <v>0</v>
      </c>
      <c r="G376" s="102" t="b">
        <v>0</v>
      </c>
    </row>
    <row r="377" spans="1:7" ht="15">
      <c r="A377" s="104" t="s">
        <v>1242</v>
      </c>
      <c r="B377" s="102">
        <v>8</v>
      </c>
      <c r="C377" s="106">
        <v>0.012692033839815047</v>
      </c>
      <c r="D377" s="102" t="s">
        <v>1178</v>
      </c>
      <c r="E377" s="102" t="b">
        <v>0</v>
      </c>
      <c r="F377" s="102" t="b">
        <v>0</v>
      </c>
      <c r="G377" s="102" t="b">
        <v>0</v>
      </c>
    </row>
    <row r="378" spans="1:7" ht="15">
      <c r="A378" s="104" t="s">
        <v>1245</v>
      </c>
      <c r="B378" s="102">
        <v>7</v>
      </c>
      <c r="C378" s="106">
        <v>0.025710872984023633</v>
      </c>
      <c r="D378" s="102" t="s">
        <v>1178</v>
      </c>
      <c r="E378" s="102" t="b">
        <v>0</v>
      </c>
      <c r="F378" s="102" t="b">
        <v>0</v>
      </c>
      <c r="G378" s="102" t="b">
        <v>0</v>
      </c>
    </row>
    <row r="379" spans="1:7" ht="15">
      <c r="A379" s="104" t="s">
        <v>1216</v>
      </c>
      <c r="B379" s="102">
        <v>6</v>
      </c>
      <c r="C379" s="106">
        <v>0.009519025379861287</v>
      </c>
      <c r="D379" s="102" t="s">
        <v>1178</v>
      </c>
      <c r="E379" s="102" t="b">
        <v>0</v>
      </c>
      <c r="F379" s="102" t="b">
        <v>0</v>
      </c>
      <c r="G379" s="102" t="b">
        <v>0</v>
      </c>
    </row>
    <row r="380" spans="1:7" ht="15">
      <c r="A380" s="104" t="s">
        <v>1250</v>
      </c>
      <c r="B380" s="102">
        <v>6</v>
      </c>
      <c r="C380" s="106">
        <v>0.013492435820751252</v>
      </c>
      <c r="D380" s="102" t="s">
        <v>1178</v>
      </c>
      <c r="E380" s="102" t="b">
        <v>0</v>
      </c>
      <c r="F380" s="102" t="b">
        <v>0</v>
      </c>
      <c r="G380" s="102" t="b">
        <v>0</v>
      </c>
    </row>
    <row r="381" spans="1:7" ht="15">
      <c r="A381" s="104" t="s">
        <v>1251</v>
      </c>
      <c r="B381" s="102">
        <v>6</v>
      </c>
      <c r="C381" s="106">
        <v>0.013492435820751252</v>
      </c>
      <c r="D381" s="102" t="s">
        <v>1178</v>
      </c>
      <c r="E381" s="102" t="b">
        <v>0</v>
      </c>
      <c r="F381" s="102" t="b">
        <v>0</v>
      </c>
      <c r="G381" s="102" t="b">
        <v>0</v>
      </c>
    </row>
    <row r="382" spans="1:7" ht="15">
      <c r="A382" s="104" t="s">
        <v>1204</v>
      </c>
      <c r="B382" s="102">
        <v>6</v>
      </c>
      <c r="C382" s="106">
        <v>0.011254727105378714</v>
      </c>
      <c r="D382" s="102" t="s">
        <v>1178</v>
      </c>
      <c r="E382" s="102" t="b">
        <v>0</v>
      </c>
      <c r="F382" s="102" t="b">
        <v>0</v>
      </c>
      <c r="G382" s="102" t="b">
        <v>0</v>
      </c>
    </row>
    <row r="383" spans="1:7" ht="15">
      <c r="A383" s="104" t="s">
        <v>1252</v>
      </c>
      <c r="B383" s="102">
        <v>6</v>
      </c>
      <c r="C383" s="106">
        <v>0.013492435820751252</v>
      </c>
      <c r="D383" s="102" t="s">
        <v>1178</v>
      </c>
      <c r="E383" s="102" t="b">
        <v>0</v>
      </c>
      <c r="F383" s="102" t="b">
        <v>0</v>
      </c>
      <c r="G383" s="102" t="b">
        <v>0</v>
      </c>
    </row>
    <row r="384" spans="1:7" ht="15">
      <c r="A384" s="104" t="s">
        <v>1253</v>
      </c>
      <c r="B384" s="102">
        <v>6</v>
      </c>
      <c r="C384" s="106">
        <v>0.022037891129163115</v>
      </c>
      <c r="D384" s="102" t="s">
        <v>1178</v>
      </c>
      <c r="E384" s="102" t="b">
        <v>0</v>
      </c>
      <c r="F384" s="102" t="b">
        <v>0</v>
      </c>
      <c r="G384" s="102" t="b">
        <v>0</v>
      </c>
    </row>
    <row r="385" spans="1:7" ht="15">
      <c r="A385" s="104" t="s">
        <v>1221</v>
      </c>
      <c r="B385" s="102">
        <v>5</v>
      </c>
      <c r="C385" s="106">
        <v>0.013871924264392429</v>
      </c>
      <c r="D385" s="102" t="s">
        <v>1178</v>
      </c>
      <c r="E385" s="102" t="b">
        <v>0</v>
      </c>
      <c r="F385" s="102" t="b">
        <v>0</v>
      </c>
      <c r="G385" s="102" t="b">
        <v>0</v>
      </c>
    </row>
    <row r="386" spans="1:7" ht="15">
      <c r="A386" s="104" t="s">
        <v>1263</v>
      </c>
      <c r="B386" s="102">
        <v>5</v>
      </c>
      <c r="C386" s="106">
        <v>0.009378939254482261</v>
      </c>
      <c r="D386" s="102" t="s">
        <v>1178</v>
      </c>
      <c r="E386" s="102" t="b">
        <v>0</v>
      </c>
      <c r="F386" s="102" t="b">
        <v>0</v>
      </c>
      <c r="G386" s="102" t="b">
        <v>0</v>
      </c>
    </row>
    <row r="387" spans="1:7" ht="15">
      <c r="A387" s="104" t="s">
        <v>1264</v>
      </c>
      <c r="B387" s="102">
        <v>5</v>
      </c>
      <c r="C387" s="106">
        <v>0.009378939254482261</v>
      </c>
      <c r="D387" s="102" t="s">
        <v>1178</v>
      </c>
      <c r="E387" s="102" t="b">
        <v>0</v>
      </c>
      <c r="F387" s="102" t="b">
        <v>0</v>
      </c>
      <c r="G387" s="102" t="b">
        <v>0</v>
      </c>
    </row>
    <row r="388" spans="1:7" ht="15">
      <c r="A388" s="104" t="s">
        <v>1265</v>
      </c>
      <c r="B388" s="102">
        <v>5</v>
      </c>
      <c r="C388" s="106">
        <v>0.013871924264392429</v>
      </c>
      <c r="D388" s="102" t="s">
        <v>1178</v>
      </c>
      <c r="E388" s="102" t="b">
        <v>0</v>
      </c>
      <c r="F388" s="102" t="b">
        <v>0</v>
      </c>
      <c r="G388" s="102" t="b">
        <v>0</v>
      </c>
    </row>
    <row r="389" spans="1:7" ht="15">
      <c r="A389" s="104" t="s">
        <v>1284</v>
      </c>
      <c r="B389" s="102">
        <v>4</v>
      </c>
      <c r="C389" s="106">
        <v>0.007503151403585809</v>
      </c>
      <c r="D389" s="102" t="s">
        <v>1178</v>
      </c>
      <c r="E389" s="102" t="b">
        <v>0</v>
      </c>
      <c r="F389" s="102" t="b">
        <v>0</v>
      </c>
      <c r="G389" s="102" t="b">
        <v>0</v>
      </c>
    </row>
    <row r="390" spans="1:7" ht="15">
      <c r="A390" s="104" t="s">
        <v>1285</v>
      </c>
      <c r="B390" s="102">
        <v>4</v>
      </c>
      <c r="C390" s="106">
        <v>0.007503151403585809</v>
      </c>
      <c r="D390" s="102" t="s">
        <v>1178</v>
      </c>
      <c r="E390" s="102" t="b">
        <v>0</v>
      </c>
      <c r="F390" s="102" t="b">
        <v>0</v>
      </c>
      <c r="G390" s="102" t="b">
        <v>0</v>
      </c>
    </row>
    <row r="391" spans="1:7" ht="15">
      <c r="A391" s="104" t="s">
        <v>1210</v>
      </c>
      <c r="B391" s="102">
        <v>4</v>
      </c>
      <c r="C391" s="106">
        <v>0.007503151403585809</v>
      </c>
      <c r="D391" s="102" t="s">
        <v>1178</v>
      </c>
      <c r="E391" s="102" t="b">
        <v>0</v>
      </c>
      <c r="F391" s="102" t="b">
        <v>0</v>
      </c>
      <c r="G391" s="102" t="b">
        <v>0</v>
      </c>
    </row>
    <row r="392" spans="1:7" ht="15">
      <c r="A392" s="104" t="s">
        <v>1217</v>
      </c>
      <c r="B392" s="102">
        <v>4</v>
      </c>
      <c r="C392" s="106">
        <v>0.007503151403585809</v>
      </c>
      <c r="D392" s="102" t="s">
        <v>1178</v>
      </c>
      <c r="E392" s="102" t="b">
        <v>0</v>
      </c>
      <c r="F392" s="102" t="b">
        <v>0</v>
      </c>
      <c r="G392" s="102" t="b">
        <v>0</v>
      </c>
    </row>
    <row r="393" spans="1:7" ht="15">
      <c r="A393" s="104" t="s">
        <v>1286</v>
      </c>
      <c r="B393" s="102">
        <v>4</v>
      </c>
      <c r="C393" s="106">
        <v>0.008994957213834167</v>
      </c>
      <c r="D393" s="102" t="s">
        <v>1178</v>
      </c>
      <c r="E393" s="102" t="b">
        <v>0</v>
      </c>
      <c r="F393" s="102" t="b">
        <v>0</v>
      </c>
      <c r="G393" s="102" t="b">
        <v>0</v>
      </c>
    </row>
    <row r="394" spans="1:7" ht="15">
      <c r="A394" s="104" t="s">
        <v>1288</v>
      </c>
      <c r="B394" s="102">
        <v>4</v>
      </c>
      <c r="C394" s="106">
        <v>0.014691927419442077</v>
      </c>
      <c r="D394" s="102" t="s">
        <v>1178</v>
      </c>
      <c r="E394" s="102" t="b">
        <v>0</v>
      </c>
      <c r="F394" s="102" t="b">
        <v>0</v>
      </c>
      <c r="G394" s="102" t="b">
        <v>0</v>
      </c>
    </row>
    <row r="395" spans="1:7" ht="15">
      <c r="A395" s="104" t="s">
        <v>1289</v>
      </c>
      <c r="B395" s="102">
        <v>4</v>
      </c>
      <c r="C395" s="106">
        <v>0.014691927419442077</v>
      </c>
      <c r="D395" s="102" t="s">
        <v>1178</v>
      </c>
      <c r="E395" s="102" t="b">
        <v>0</v>
      </c>
      <c r="F395" s="102" t="b">
        <v>0</v>
      </c>
      <c r="G395" s="102" t="b">
        <v>0</v>
      </c>
    </row>
    <row r="396" spans="1:7" ht="15">
      <c r="A396" s="104" t="s">
        <v>1287</v>
      </c>
      <c r="B396" s="102">
        <v>4</v>
      </c>
      <c r="C396" s="106">
        <v>0.014691927419442077</v>
      </c>
      <c r="D396" s="102" t="s">
        <v>1178</v>
      </c>
      <c r="E396" s="102" t="b">
        <v>0</v>
      </c>
      <c r="F396" s="102" t="b">
        <v>0</v>
      </c>
      <c r="G396" s="102" t="b">
        <v>0</v>
      </c>
    </row>
    <row r="397" spans="1:7" ht="15">
      <c r="A397" s="104" t="s">
        <v>1291</v>
      </c>
      <c r="B397" s="102">
        <v>3</v>
      </c>
      <c r="C397" s="106">
        <v>0.011018945564581557</v>
      </c>
      <c r="D397" s="102" t="s">
        <v>1178</v>
      </c>
      <c r="E397" s="102" t="b">
        <v>0</v>
      </c>
      <c r="F397" s="102" t="b">
        <v>0</v>
      </c>
      <c r="G397" s="102" t="b">
        <v>0</v>
      </c>
    </row>
    <row r="398" spans="1:7" ht="15">
      <c r="A398" s="104" t="s">
        <v>1320</v>
      </c>
      <c r="B398" s="102">
        <v>3</v>
      </c>
      <c r="C398" s="106">
        <v>0.011018945564581557</v>
      </c>
      <c r="D398" s="102" t="s">
        <v>1178</v>
      </c>
      <c r="E398" s="102" t="b">
        <v>0</v>
      </c>
      <c r="F398" s="102" t="b">
        <v>0</v>
      </c>
      <c r="G398" s="102" t="b">
        <v>0</v>
      </c>
    </row>
    <row r="399" spans="1:7" ht="15">
      <c r="A399" s="104" t="s">
        <v>1319</v>
      </c>
      <c r="B399" s="102">
        <v>3</v>
      </c>
      <c r="C399" s="106">
        <v>0.011018945564581557</v>
      </c>
      <c r="D399" s="102" t="s">
        <v>1178</v>
      </c>
      <c r="E399" s="102" t="b">
        <v>0</v>
      </c>
      <c r="F399" s="102" t="b">
        <v>0</v>
      </c>
      <c r="G399" s="102" t="b">
        <v>0</v>
      </c>
    </row>
    <row r="400" spans="1:7" ht="15">
      <c r="A400" s="104" t="s">
        <v>1317</v>
      </c>
      <c r="B400" s="102">
        <v>3</v>
      </c>
      <c r="C400" s="106">
        <v>0.011018945564581557</v>
      </c>
      <c r="D400" s="102" t="s">
        <v>1178</v>
      </c>
      <c r="E400" s="102" t="b">
        <v>0</v>
      </c>
      <c r="F400" s="102" t="b">
        <v>0</v>
      </c>
      <c r="G400" s="102" t="b">
        <v>0</v>
      </c>
    </row>
    <row r="401" spans="1:7" ht="15">
      <c r="A401" s="104" t="s">
        <v>1316</v>
      </c>
      <c r="B401" s="102">
        <v>3</v>
      </c>
      <c r="C401" s="106">
        <v>0.006746217910375626</v>
      </c>
      <c r="D401" s="102" t="s">
        <v>1178</v>
      </c>
      <c r="E401" s="102" t="b">
        <v>0</v>
      </c>
      <c r="F401" s="102" t="b">
        <v>0</v>
      </c>
      <c r="G401" s="102" t="b">
        <v>0</v>
      </c>
    </row>
    <row r="402" spans="1:7" ht="15">
      <c r="A402" s="104" t="s">
        <v>1377</v>
      </c>
      <c r="B402" s="102">
        <v>2</v>
      </c>
      <c r="C402" s="106">
        <v>0.005548769705756971</v>
      </c>
      <c r="D402" s="102" t="s">
        <v>1178</v>
      </c>
      <c r="E402" s="102" t="b">
        <v>0</v>
      </c>
      <c r="F402" s="102" t="b">
        <v>0</v>
      </c>
      <c r="G402" s="102" t="b">
        <v>0</v>
      </c>
    </row>
    <row r="403" spans="1:7" ht="15">
      <c r="A403" s="104" t="s">
        <v>1378</v>
      </c>
      <c r="B403" s="102">
        <v>2</v>
      </c>
      <c r="C403" s="106">
        <v>0.0073459637097210385</v>
      </c>
      <c r="D403" s="102" t="s">
        <v>1178</v>
      </c>
      <c r="E403" s="102" t="b">
        <v>0</v>
      </c>
      <c r="F403" s="102" t="b">
        <v>0</v>
      </c>
      <c r="G403" s="102" t="b">
        <v>0</v>
      </c>
    </row>
    <row r="404" spans="1:7" ht="15">
      <c r="A404" s="104" t="s">
        <v>1219</v>
      </c>
      <c r="B404" s="102">
        <v>2</v>
      </c>
      <c r="C404" s="106">
        <v>0.005548769705756971</v>
      </c>
      <c r="D404" s="102" t="s">
        <v>1178</v>
      </c>
      <c r="E404" s="102" t="b">
        <v>0</v>
      </c>
      <c r="F404" s="102" t="b">
        <v>0</v>
      </c>
      <c r="G404" s="102" t="b">
        <v>0</v>
      </c>
    </row>
    <row r="405" spans="1:7" ht="15">
      <c r="A405" s="104" t="s">
        <v>1279</v>
      </c>
      <c r="B405" s="102">
        <v>2</v>
      </c>
      <c r="C405" s="106">
        <v>0.005548769705756971</v>
      </c>
      <c r="D405" s="102" t="s">
        <v>1178</v>
      </c>
      <c r="E405" s="102" t="b">
        <v>0</v>
      </c>
      <c r="F405" s="102" t="b">
        <v>0</v>
      </c>
      <c r="G405" s="102" t="b">
        <v>0</v>
      </c>
    </row>
    <row r="406" spans="1:7" ht="15">
      <c r="A406" s="104" t="s">
        <v>1399</v>
      </c>
      <c r="B406" s="102">
        <v>2</v>
      </c>
      <c r="C406" s="106">
        <v>0.005548769705756971</v>
      </c>
      <c r="D406" s="102" t="s">
        <v>1178</v>
      </c>
      <c r="E406" s="102" t="b">
        <v>0</v>
      </c>
      <c r="F406" s="102" t="b">
        <v>0</v>
      </c>
      <c r="G406" s="102" t="b">
        <v>0</v>
      </c>
    </row>
    <row r="407" spans="1:7" ht="15">
      <c r="A407" s="104" t="s">
        <v>1403</v>
      </c>
      <c r="B407" s="102">
        <v>2</v>
      </c>
      <c r="C407" s="106">
        <v>0.005548769705756971</v>
      </c>
      <c r="D407" s="102" t="s">
        <v>1178</v>
      </c>
      <c r="E407" s="102" t="b">
        <v>0</v>
      </c>
      <c r="F407" s="102" t="b">
        <v>0</v>
      </c>
      <c r="G407" s="102" t="b">
        <v>0</v>
      </c>
    </row>
    <row r="408" spans="1:7" ht="15">
      <c r="A408" s="104" t="s">
        <v>1404</v>
      </c>
      <c r="B408" s="102">
        <v>2</v>
      </c>
      <c r="C408" s="106">
        <v>0.005548769705756971</v>
      </c>
      <c r="D408" s="102" t="s">
        <v>1178</v>
      </c>
      <c r="E408" s="102" t="b">
        <v>0</v>
      </c>
      <c r="F408" s="102" t="b">
        <v>0</v>
      </c>
      <c r="G408" s="102" t="b">
        <v>0</v>
      </c>
    </row>
    <row r="409" spans="1:7" ht="15">
      <c r="A409" s="104" t="s">
        <v>1307</v>
      </c>
      <c r="B409" s="102">
        <v>2</v>
      </c>
      <c r="C409" s="106">
        <v>0.005548769705756971</v>
      </c>
      <c r="D409" s="102" t="s">
        <v>1178</v>
      </c>
      <c r="E409" s="102" t="b">
        <v>0</v>
      </c>
      <c r="F409" s="102" t="b">
        <v>0</v>
      </c>
      <c r="G409" s="102" t="b">
        <v>0</v>
      </c>
    </row>
    <row r="410" spans="1:7" ht="15">
      <c r="A410" s="104" t="s">
        <v>1218</v>
      </c>
      <c r="B410" s="102">
        <v>2</v>
      </c>
      <c r="C410" s="106">
        <v>0.0073459637097210385</v>
      </c>
      <c r="D410" s="102" t="s">
        <v>1178</v>
      </c>
      <c r="E410" s="102" t="b">
        <v>0</v>
      </c>
      <c r="F410" s="102" t="b">
        <v>0</v>
      </c>
      <c r="G410" s="102" t="b">
        <v>0</v>
      </c>
    </row>
    <row r="411" spans="1:7" ht="15">
      <c r="A411" s="104" t="s">
        <v>1207</v>
      </c>
      <c r="B411" s="102">
        <v>2</v>
      </c>
      <c r="C411" s="106">
        <v>0.0073459637097210385</v>
      </c>
      <c r="D411" s="102" t="s">
        <v>1178</v>
      </c>
      <c r="E411" s="102" t="b">
        <v>0</v>
      </c>
      <c r="F411" s="102" t="b">
        <v>0</v>
      </c>
      <c r="G411" s="102" t="b">
        <v>0</v>
      </c>
    </row>
    <row r="412" spans="1:7" ht="15">
      <c r="A412" s="104" t="s">
        <v>1401</v>
      </c>
      <c r="B412" s="102">
        <v>2</v>
      </c>
      <c r="C412" s="106">
        <v>0.005548769705756971</v>
      </c>
      <c r="D412" s="102" t="s">
        <v>1178</v>
      </c>
      <c r="E412" s="102" t="b">
        <v>0</v>
      </c>
      <c r="F412" s="102" t="b">
        <v>0</v>
      </c>
      <c r="G412" s="102" t="b">
        <v>0</v>
      </c>
    </row>
    <row r="413" spans="1:7" ht="15">
      <c r="A413" s="104" t="s">
        <v>1262</v>
      </c>
      <c r="B413" s="102">
        <v>2</v>
      </c>
      <c r="C413" s="106">
        <v>0.0073459637097210385</v>
      </c>
      <c r="D413" s="102" t="s">
        <v>1178</v>
      </c>
      <c r="E413" s="102" t="b">
        <v>0</v>
      </c>
      <c r="F413" s="102" t="b">
        <v>0</v>
      </c>
      <c r="G413" s="102" t="b">
        <v>0</v>
      </c>
    </row>
    <row r="414" spans="1:7" ht="15">
      <c r="A414" s="104" t="s">
        <v>1390</v>
      </c>
      <c r="B414" s="102">
        <v>2</v>
      </c>
      <c r="C414" s="106">
        <v>0.005548769705756971</v>
      </c>
      <c r="D414" s="102" t="s">
        <v>1178</v>
      </c>
      <c r="E414" s="102" t="b">
        <v>0</v>
      </c>
      <c r="F414" s="102" t="b">
        <v>0</v>
      </c>
      <c r="G414" s="102" t="b">
        <v>0</v>
      </c>
    </row>
    <row r="415" spans="1:7" ht="15">
      <c r="A415" s="104" t="s">
        <v>1400</v>
      </c>
      <c r="B415" s="102">
        <v>2</v>
      </c>
      <c r="C415" s="106">
        <v>0.0073459637097210385</v>
      </c>
      <c r="D415" s="102" t="s">
        <v>1178</v>
      </c>
      <c r="E415" s="102" t="b">
        <v>0</v>
      </c>
      <c r="F415" s="102" t="b">
        <v>0</v>
      </c>
      <c r="G415" s="102" t="b">
        <v>0</v>
      </c>
    </row>
    <row r="416" spans="1:7" ht="15">
      <c r="A416" s="104" t="s">
        <v>1392</v>
      </c>
      <c r="B416" s="102">
        <v>2</v>
      </c>
      <c r="C416" s="106">
        <v>0.0073459637097210385</v>
      </c>
      <c r="D416" s="102" t="s">
        <v>1178</v>
      </c>
      <c r="E416" s="102" t="b">
        <v>0</v>
      </c>
      <c r="F416" s="102" t="b">
        <v>0</v>
      </c>
      <c r="G416" s="102" t="b">
        <v>0</v>
      </c>
    </row>
    <row r="417" spans="1:7" ht="15">
      <c r="A417" s="104" t="s">
        <v>1393</v>
      </c>
      <c r="B417" s="102">
        <v>2</v>
      </c>
      <c r="C417" s="106">
        <v>0.0073459637097210385</v>
      </c>
      <c r="D417" s="102" t="s">
        <v>1178</v>
      </c>
      <c r="E417" s="102" t="b">
        <v>0</v>
      </c>
      <c r="F417" s="102" t="b">
        <v>0</v>
      </c>
      <c r="G417" s="102" t="b">
        <v>0</v>
      </c>
    </row>
    <row r="418" spans="1:7" ht="15">
      <c r="A418" s="104" t="s">
        <v>1387</v>
      </c>
      <c r="B418" s="102">
        <v>2</v>
      </c>
      <c r="C418" s="106">
        <v>0.005548769705756971</v>
      </c>
      <c r="D418" s="102" t="s">
        <v>1178</v>
      </c>
      <c r="E418" s="102" t="b">
        <v>0</v>
      </c>
      <c r="F418" s="102" t="b">
        <v>0</v>
      </c>
      <c r="G418" s="102" t="b">
        <v>0</v>
      </c>
    </row>
    <row r="419" spans="1:7" ht="15">
      <c r="A419" s="104" t="s">
        <v>1394</v>
      </c>
      <c r="B419" s="102">
        <v>2</v>
      </c>
      <c r="C419" s="106">
        <v>0.0073459637097210385</v>
      </c>
      <c r="D419" s="102" t="s">
        <v>1178</v>
      </c>
      <c r="E419" s="102" t="b">
        <v>0</v>
      </c>
      <c r="F419" s="102" t="b">
        <v>0</v>
      </c>
      <c r="G419" s="102" t="b">
        <v>0</v>
      </c>
    </row>
    <row r="420" spans="1:7" ht="15">
      <c r="A420" s="104" t="s">
        <v>1391</v>
      </c>
      <c r="B420" s="102">
        <v>2</v>
      </c>
      <c r="C420" s="106">
        <v>0.005548769705756971</v>
      </c>
      <c r="D420" s="102" t="s">
        <v>1178</v>
      </c>
      <c r="E420" s="102" t="b">
        <v>1</v>
      </c>
      <c r="F420" s="102" t="b">
        <v>0</v>
      </c>
      <c r="G420" s="102" t="b">
        <v>0</v>
      </c>
    </row>
    <row r="421" spans="1:7" ht="15">
      <c r="A421" s="104" t="s">
        <v>1382</v>
      </c>
      <c r="B421" s="102">
        <v>2</v>
      </c>
      <c r="C421" s="106">
        <v>0.005548769705756971</v>
      </c>
      <c r="D421" s="102" t="s">
        <v>1178</v>
      </c>
      <c r="E421" s="102" t="b">
        <v>0</v>
      </c>
      <c r="F421" s="102" t="b">
        <v>0</v>
      </c>
      <c r="G421" s="102" t="b">
        <v>0</v>
      </c>
    </row>
    <row r="422" spans="1:7" ht="15">
      <c r="A422" s="104" t="s">
        <v>1383</v>
      </c>
      <c r="B422" s="102">
        <v>2</v>
      </c>
      <c r="C422" s="106">
        <v>0.005548769705756971</v>
      </c>
      <c r="D422" s="102" t="s">
        <v>1178</v>
      </c>
      <c r="E422" s="102" t="b">
        <v>0</v>
      </c>
      <c r="F422" s="102" t="b">
        <v>0</v>
      </c>
      <c r="G422" s="102" t="b">
        <v>0</v>
      </c>
    </row>
    <row r="423" spans="1:7" ht="15">
      <c r="A423" s="104" t="s">
        <v>1290</v>
      </c>
      <c r="B423" s="102">
        <v>2</v>
      </c>
      <c r="C423" s="106">
        <v>0.0073459637097210385</v>
      </c>
      <c r="D423" s="102" t="s">
        <v>1178</v>
      </c>
      <c r="E423" s="102" t="b">
        <v>0</v>
      </c>
      <c r="F423" s="102" t="b">
        <v>0</v>
      </c>
      <c r="G423" s="102" t="b">
        <v>0</v>
      </c>
    </row>
    <row r="424" spans="1:7" ht="15">
      <c r="A424" s="104" t="s">
        <v>1381</v>
      </c>
      <c r="B424" s="102">
        <v>2</v>
      </c>
      <c r="C424" s="106">
        <v>0.005548769705756971</v>
      </c>
      <c r="D424" s="102" t="s">
        <v>1178</v>
      </c>
      <c r="E424" s="102" t="b">
        <v>0</v>
      </c>
      <c r="F424" s="102" t="b">
        <v>0</v>
      </c>
      <c r="G424" s="102" t="b">
        <v>0</v>
      </c>
    </row>
    <row r="425" spans="1:7" ht="15">
      <c r="A425" s="104" t="s">
        <v>1388</v>
      </c>
      <c r="B425" s="102">
        <v>2</v>
      </c>
      <c r="C425" s="106">
        <v>0.0073459637097210385</v>
      </c>
      <c r="D425" s="102" t="s">
        <v>1178</v>
      </c>
      <c r="E425" s="102" t="b">
        <v>0</v>
      </c>
      <c r="F425" s="102" t="b">
        <v>0</v>
      </c>
      <c r="G425" s="102" t="b">
        <v>0</v>
      </c>
    </row>
    <row r="426" spans="1:7" ht="15">
      <c r="A426" s="104" t="s">
        <v>1384</v>
      </c>
      <c r="B426" s="102">
        <v>2</v>
      </c>
      <c r="C426" s="106">
        <v>0.0073459637097210385</v>
      </c>
      <c r="D426" s="102" t="s">
        <v>1178</v>
      </c>
      <c r="E426" s="102" t="b">
        <v>0</v>
      </c>
      <c r="F426" s="102" t="b">
        <v>0</v>
      </c>
      <c r="G426" s="102" t="b">
        <v>0</v>
      </c>
    </row>
    <row r="427" spans="1:7" ht="15">
      <c r="A427" s="104" t="s">
        <v>1318</v>
      </c>
      <c r="B427" s="102">
        <v>2</v>
      </c>
      <c r="C427" s="106">
        <v>0.0073459637097210385</v>
      </c>
      <c r="D427" s="102" t="s">
        <v>1178</v>
      </c>
      <c r="E427" s="102" t="b">
        <v>0</v>
      </c>
      <c r="F427" s="102" t="b">
        <v>0</v>
      </c>
      <c r="G427" s="102" t="b">
        <v>0</v>
      </c>
    </row>
    <row r="428" spans="1:7" ht="15">
      <c r="A428" s="104" t="s">
        <v>1386</v>
      </c>
      <c r="B428" s="102">
        <v>2</v>
      </c>
      <c r="C428" s="106">
        <v>0.0073459637097210385</v>
      </c>
      <c r="D428" s="102" t="s">
        <v>1178</v>
      </c>
      <c r="E428" s="102" t="b">
        <v>0</v>
      </c>
      <c r="F428" s="102" t="b">
        <v>0</v>
      </c>
      <c r="G428" s="102" t="b">
        <v>0</v>
      </c>
    </row>
    <row r="429" spans="1:7" ht="15">
      <c r="A429" s="104" t="s">
        <v>1379</v>
      </c>
      <c r="B429" s="102">
        <v>2</v>
      </c>
      <c r="C429" s="106">
        <v>0.005548769705756971</v>
      </c>
      <c r="D429" s="102" t="s">
        <v>1178</v>
      </c>
      <c r="E429" s="102" t="b">
        <v>0</v>
      </c>
      <c r="F429" s="102" t="b">
        <v>0</v>
      </c>
      <c r="G429" s="102" t="b">
        <v>0</v>
      </c>
    </row>
    <row r="430" spans="1:7" ht="15">
      <c r="A430" s="104" t="s">
        <v>1380</v>
      </c>
      <c r="B430" s="102">
        <v>2</v>
      </c>
      <c r="C430" s="106">
        <v>0.0073459637097210385</v>
      </c>
      <c r="D430" s="102" t="s">
        <v>1178</v>
      </c>
      <c r="E430" s="102" t="b">
        <v>0</v>
      </c>
      <c r="F430" s="102" t="b">
        <v>0</v>
      </c>
      <c r="G430" s="102" t="b">
        <v>0</v>
      </c>
    </row>
    <row r="431" spans="1:7" ht="15">
      <c r="A431" s="104" t="s">
        <v>1204</v>
      </c>
      <c r="B431" s="102">
        <v>14</v>
      </c>
      <c r="C431" s="106">
        <v>0.043658154026635775</v>
      </c>
      <c r="D431" s="102" t="s">
        <v>1179</v>
      </c>
      <c r="E431" s="102" t="b">
        <v>0</v>
      </c>
      <c r="F431" s="102" t="b">
        <v>0</v>
      </c>
      <c r="G431" s="102" t="b">
        <v>0</v>
      </c>
    </row>
    <row r="432" spans="1:7" ht="15">
      <c r="A432" s="104" t="s">
        <v>1222</v>
      </c>
      <c r="B432" s="102">
        <v>10</v>
      </c>
      <c r="C432" s="106">
        <v>0.050859558848604165</v>
      </c>
      <c r="D432" s="102" t="s">
        <v>1179</v>
      </c>
      <c r="E432" s="102" t="b">
        <v>0</v>
      </c>
      <c r="F432" s="102" t="b">
        <v>0</v>
      </c>
      <c r="G432" s="102" t="b">
        <v>0</v>
      </c>
    </row>
    <row r="433" spans="1:7" ht="15">
      <c r="A433" s="104" t="s">
        <v>1238</v>
      </c>
      <c r="B433" s="102">
        <v>6</v>
      </c>
      <c r="C433" s="106">
        <v>0.030515735309162496</v>
      </c>
      <c r="D433" s="102" t="s">
        <v>1179</v>
      </c>
      <c r="E433" s="102" t="b">
        <v>0</v>
      </c>
      <c r="F433" s="102" t="b">
        <v>0</v>
      </c>
      <c r="G433" s="102" t="b">
        <v>0</v>
      </c>
    </row>
    <row r="434" spans="1:7" ht="15">
      <c r="A434" s="104" t="s">
        <v>1205</v>
      </c>
      <c r="B434" s="102">
        <v>4</v>
      </c>
      <c r="C434" s="106">
        <v>0.020343823539441665</v>
      </c>
      <c r="D434" s="102" t="s">
        <v>1179</v>
      </c>
      <c r="E434" s="102" t="b">
        <v>0</v>
      </c>
      <c r="F434" s="102" t="b">
        <v>0</v>
      </c>
      <c r="G434" s="102" t="b">
        <v>0</v>
      </c>
    </row>
    <row r="435" spans="1:7" ht="15">
      <c r="A435" s="104" t="s">
        <v>1206</v>
      </c>
      <c r="B435" s="102">
        <v>3</v>
      </c>
      <c r="C435" s="106">
        <v>0.015257867654581248</v>
      </c>
      <c r="D435" s="102" t="s">
        <v>1179</v>
      </c>
      <c r="E435" s="102" t="b">
        <v>0</v>
      </c>
      <c r="F435" s="102" t="b">
        <v>0</v>
      </c>
      <c r="G435" s="102" t="b">
        <v>0</v>
      </c>
    </row>
    <row r="436" spans="1:7" ht="15">
      <c r="A436" s="104" t="s">
        <v>1218</v>
      </c>
      <c r="B436" s="102">
        <v>2</v>
      </c>
      <c r="C436" s="106">
        <v>0.010171911769720833</v>
      </c>
      <c r="D436" s="102" t="s">
        <v>1179</v>
      </c>
      <c r="E436" s="102" t="b">
        <v>0</v>
      </c>
      <c r="F436" s="102" t="b">
        <v>0</v>
      </c>
      <c r="G436" s="102" t="b">
        <v>0</v>
      </c>
    </row>
    <row r="437" spans="1:7" ht="15">
      <c r="A437" s="104" t="s">
        <v>1219</v>
      </c>
      <c r="B437" s="102">
        <v>2</v>
      </c>
      <c r="C437" s="106">
        <v>0.010171911769720833</v>
      </c>
      <c r="D437" s="102" t="s">
        <v>1179</v>
      </c>
      <c r="E437" s="102" t="b">
        <v>0</v>
      </c>
      <c r="F437" s="102" t="b">
        <v>0</v>
      </c>
      <c r="G437" s="102" t="b">
        <v>0</v>
      </c>
    </row>
    <row r="438" spans="1:7" ht="15">
      <c r="A438" s="104" t="s">
        <v>1397</v>
      </c>
      <c r="B438" s="102">
        <v>2</v>
      </c>
      <c r="C438" s="106">
        <v>0.014106944392779411</v>
      </c>
      <c r="D438" s="102" t="s">
        <v>1179</v>
      </c>
      <c r="E438" s="102" t="b">
        <v>0</v>
      </c>
      <c r="F438" s="102" t="b">
        <v>0</v>
      </c>
      <c r="G438" s="102" t="b">
        <v>0</v>
      </c>
    </row>
    <row r="439" spans="1:7" ht="15">
      <c r="A439" s="104" t="s">
        <v>1370</v>
      </c>
      <c r="B439" s="102">
        <v>2</v>
      </c>
      <c r="C439" s="106">
        <v>0.010171911769720833</v>
      </c>
      <c r="D439" s="102" t="s">
        <v>1179</v>
      </c>
      <c r="E439" s="102" t="b">
        <v>0</v>
      </c>
      <c r="F439" s="102" t="b">
        <v>0</v>
      </c>
      <c r="G439" s="102" t="b">
        <v>0</v>
      </c>
    </row>
    <row r="440" spans="1:7" ht="15">
      <c r="A440" s="104" t="s">
        <v>1371</v>
      </c>
      <c r="B440" s="102">
        <v>2</v>
      </c>
      <c r="C440" s="106">
        <v>0.010171911769720833</v>
      </c>
      <c r="D440" s="102" t="s">
        <v>1179</v>
      </c>
      <c r="E440" s="102" t="b">
        <v>0</v>
      </c>
      <c r="F440" s="102" t="b">
        <v>0</v>
      </c>
      <c r="G440" s="102" t="b">
        <v>0</v>
      </c>
    </row>
    <row r="441" spans="1:7" ht="15">
      <c r="A441" s="104" t="s">
        <v>1372</v>
      </c>
      <c r="B441" s="102">
        <v>2</v>
      </c>
      <c r="C441" s="106">
        <v>0.014106944392779411</v>
      </c>
      <c r="D441" s="102" t="s">
        <v>1179</v>
      </c>
      <c r="E441" s="102" t="b">
        <v>0</v>
      </c>
      <c r="F441" s="102" t="b">
        <v>0</v>
      </c>
      <c r="G441" s="102" t="b">
        <v>0</v>
      </c>
    </row>
    <row r="442" spans="1:7" ht="15">
      <c r="A442" s="104" t="s">
        <v>1369</v>
      </c>
      <c r="B442" s="102">
        <v>2</v>
      </c>
      <c r="C442" s="106">
        <v>0.014106944392779411</v>
      </c>
      <c r="D442" s="102" t="s">
        <v>1179</v>
      </c>
      <c r="E442" s="102" t="b">
        <v>0</v>
      </c>
      <c r="F442" s="102" t="b">
        <v>0</v>
      </c>
      <c r="G442" s="102" t="b">
        <v>0</v>
      </c>
    </row>
    <row r="443" spans="1:7" ht="15">
      <c r="A443" s="104" t="s">
        <v>1206</v>
      </c>
      <c r="B443" s="102">
        <v>10</v>
      </c>
      <c r="C443" s="106">
        <v>0.017142550025601073</v>
      </c>
      <c r="D443" s="102" t="s">
        <v>1180</v>
      </c>
      <c r="E443" s="102" t="b">
        <v>0</v>
      </c>
      <c r="F443" s="102" t="b">
        <v>0</v>
      </c>
      <c r="G443" s="102" t="b">
        <v>0</v>
      </c>
    </row>
    <row r="444" spans="1:7" ht="15">
      <c r="A444" s="104" t="s">
        <v>1225</v>
      </c>
      <c r="B444" s="102">
        <v>9</v>
      </c>
      <c r="C444" s="106">
        <v>0.011685427526891112</v>
      </c>
      <c r="D444" s="102" t="s">
        <v>1180</v>
      </c>
      <c r="E444" s="102" t="b">
        <v>0</v>
      </c>
      <c r="F444" s="102" t="b">
        <v>0</v>
      </c>
      <c r="G444" s="102" t="b">
        <v>0</v>
      </c>
    </row>
    <row r="445" spans="1:7" ht="15">
      <c r="A445" s="104" t="s">
        <v>1240</v>
      </c>
      <c r="B445" s="102">
        <v>8</v>
      </c>
      <c r="C445" s="106">
        <v>0.017485873970249106</v>
      </c>
      <c r="D445" s="102" t="s">
        <v>1180</v>
      </c>
      <c r="E445" s="102" t="b">
        <v>0</v>
      </c>
      <c r="F445" s="102" t="b">
        <v>0</v>
      </c>
      <c r="G445" s="102" t="b">
        <v>0</v>
      </c>
    </row>
    <row r="446" spans="1:7" ht="15">
      <c r="A446" s="104" t="s">
        <v>1205</v>
      </c>
      <c r="B446" s="102">
        <v>7</v>
      </c>
      <c r="C446" s="106">
        <v>0.015300139723967964</v>
      </c>
      <c r="D446" s="102" t="s">
        <v>1180</v>
      </c>
      <c r="E446" s="102" t="b">
        <v>0</v>
      </c>
      <c r="F446" s="102" t="b">
        <v>0</v>
      </c>
      <c r="G446" s="102" t="b">
        <v>0</v>
      </c>
    </row>
    <row r="447" spans="1:7" ht="15">
      <c r="A447" s="104" t="s">
        <v>1204</v>
      </c>
      <c r="B447" s="102">
        <v>7</v>
      </c>
      <c r="C447" s="106">
        <v>0.015300139723967964</v>
      </c>
      <c r="D447" s="102" t="s">
        <v>1180</v>
      </c>
      <c r="E447" s="102" t="b">
        <v>0</v>
      </c>
      <c r="F447" s="102" t="b">
        <v>0</v>
      </c>
      <c r="G447" s="102" t="b">
        <v>0</v>
      </c>
    </row>
    <row r="448" spans="1:7" ht="15">
      <c r="A448" s="104" t="s">
        <v>1216</v>
      </c>
      <c r="B448" s="102">
        <v>7</v>
      </c>
      <c r="C448" s="106">
        <v>0.029131573389041626</v>
      </c>
      <c r="D448" s="102" t="s">
        <v>1180</v>
      </c>
      <c r="E448" s="102" t="b">
        <v>0</v>
      </c>
      <c r="F448" s="102" t="b">
        <v>0</v>
      </c>
      <c r="G448" s="102" t="b">
        <v>0</v>
      </c>
    </row>
    <row r="449" spans="1:7" ht="15">
      <c r="A449" s="104" t="s">
        <v>1249</v>
      </c>
      <c r="B449" s="102">
        <v>6</v>
      </c>
      <c r="C449" s="106">
        <v>0.016380102532838687</v>
      </c>
      <c r="D449" s="102" t="s">
        <v>1180</v>
      </c>
      <c r="E449" s="102" t="b">
        <v>0</v>
      </c>
      <c r="F449" s="102" t="b">
        <v>0</v>
      </c>
      <c r="G449" s="102" t="b">
        <v>0</v>
      </c>
    </row>
    <row r="450" spans="1:7" ht="15">
      <c r="A450" s="104" t="s">
        <v>1218</v>
      </c>
      <c r="B450" s="102">
        <v>4</v>
      </c>
      <c r="C450" s="106">
        <v>0.016646613365166648</v>
      </c>
      <c r="D450" s="102" t="s">
        <v>1180</v>
      </c>
      <c r="E450" s="102" t="b">
        <v>0</v>
      </c>
      <c r="F450" s="102" t="b">
        <v>0</v>
      </c>
      <c r="G450" s="102" t="b">
        <v>0</v>
      </c>
    </row>
    <row r="451" spans="1:7" ht="15">
      <c r="A451" s="104" t="s">
        <v>1211</v>
      </c>
      <c r="B451" s="102">
        <v>4</v>
      </c>
      <c r="C451" s="106">
        <v>0.016646613365166648</v>
      </c>
      <c r="D451" s="102" t="s">
        <v>1180</v>
      </c>
      <c r="E451" s="102" t="b">
        <v>0</v>
      </c>
      <c r="F451" s="102" t="b">
        <v>0</v>
      </c>
      <c r="G451" s="102" t="b">
        <v>0</v>
      </c>
    </row>
    <row r="452" spans="1:7" ht="15">
      <c r="A452" s="104" t="s">
        <v>1248</v>
      </c>
      <c r="B452" s="102">
        <v>4</v>
      </c>
      <c r="C452" s="106">
        <v>0.020709661710152014</v>
      </c>
      <c r="D452" s="102" t="s">
        <v>1180</v>
      </c>
      <c r="E452" s="102" t="b">
        <v>0</v>
      </c>
      <c r="F452" s="102" t="b">
        <v>0</v>
      </c>
      <c r="G452" s="102" t="b">
        <v>0</v>
      </c>
    </row>
    <row r="453" spans="1:7" ht="15">
      <c r="A453" s="104" t="s">
        <v>1226</v>
      </c>
      <c r="B453" s="102">
        <v>3</v>
      </c>
      <c r="C453" s="106">
        <v>0.015532246282614008</v>
      </c>
      <c r="D453" s="102" t="s">
        <v>1180</v>
      </c>
      <c r="E453" s="102" t="b">
        <v>0</v>
      </c>
      <c r="F453" s="102" t="b">
        <v>0</v>
      </c>
      <c r="G453" s="102" t="b">
        <v>0</v>
      </c>
    </row>
    <row r="454" spans="1:7" ht="15">
      <c r="A454" s="104" t="s">
        <v>1239</v>
      </c>
      <c r="B454" s="102">
        <v>3</v>
      </c>
      <c r="C454" s="106">
        <v>0.015532246282614008</v>
      </c>
      <c r="D454" s="102" t="s">
        <v>1180</v>
      </c>
      <c r="E454" s="102" t="b">
        <v>0</v>
      </c>
      <c r="F454" s="102" t="b">
        <v>0</v>
      </c>
      <c r="G454" s="102" t="b">
        <v>0</v>
      </c>
    </row>
    <row r="455" spans="1:7" ht="15">
      <c r="A455" s="104" t="s">
        <v>1312</v>
      </c>
      <c r="B455" s="102">
        <v>3</v>
      </c>
      <c r="C455" s="106">
        <v>0.015532246282614008</v>
      </c>
      <c r="D455" s="102" t="s">
        <v>1180</v>
      </c>
      <c r="E455" s="102" t="b">
        <v>0</v>
      </c>
      <c r="F455" s="102" t="b">
        <v>0</v>
      </c>
      <c r="G455" s="102" t="b">
        <v>0</v>
      </c>
    </row>
    <row r="456" spans="1:7" ht="15">
      <c r="A456" s="104" t="s">
        <v>1207</v>
      </c>
      <c r="B456" s="102">
        <v>2</v>
      </c>
      <c r="C456" s="106">
        <v>0.013218103360046434</v>
      </c>
      <c r="D456" s="102" t="s">
        <v>1180</v>
      </c>
      <c r="E456" s="102" t="b">
        <v>0</v>
      </c>
      <c r="F456" s="102" t="b">
        <v>0</v>
      </c>
      <c r="G456" s="102" t="b">
        <v>0</v>
      </c>
    </row>
    <row r="457" spans="1:7" ht="15">
      <c r="A457" s="104" t="s">
        <v>1315</v>
      </c>
      <c r="B457" s="102">
        <v>2</v>
      </c>
      <c r="C457" s="106">
        <v>0.013218103360046434</v>
      </c>
      <c r="D457" s="102" t="s">
        <v>1180</v>
      </c>
      <c r="E457" s="102" t="b">
        <v>0</v>
      </c>
      <c r="F457" s="102" t="b">
        <v>0</v>
      </c>
      <c r="G457" s="102" t="b">
        <v>0</v>
      </c>
    </row>
    <row r="458" spans="1:7" ht="15">
      <c r="A458" s="104" t="s">
        <v>1247</v>
      </c>
      <c r="B458" s="102">
        <v>2</v>
      </c>
      <c r="C458" s="106">
        <v>0.013218103360046434</v>
      </c>
      <c r="D458" s="102" t="s">
        <v>1180</v>
      </c>
      <c r="E458" s="102" t="b">
        <v>0</v>
      </c>
      <c r="F458" s="102" t="b">
        <v>0</v>
      </c>
      <c r="G458" s="102" t="b">
        <v>0</v>
      </c>
    </row>
    <row r="459" spans="1:7" ht="15">
      <c r="A459" s="104" t="s">
        <v>1433</v>
      </c>
      <c r="B459" s="102">
        <v>2</v>
      </c>
      <c r="C459" s="106">
        <v>0.013218103360046434</v>
      </c>
      <c r="D459" s="102" t="s">
        <v>1180</v>
      </c>
      <c r="E459" s="102" t="b">
        <v>0</v>
      </c>
      <c r="F459" s="102" t="b">
        <v>0</v>
      </c>
      <c r="G459" s="102" t="b">
        <v>0</v>
      </c>
    </row>
    <row r="460" spans="1:7" ht="15">
      <c r="A460" s="104" t="s">
        <v>1434</v>
      </c>
      <c r="B460" s="102">
        <v>2</v>
      </c>
      <c r="C460" s="106">
        <v>0.013218103360046434</v>
      </c>
      <c r="D460" s="102" t="s">
        <v>1180</v>
      </c>
      <c r="E460" s="102" t="b">
        <v>0</v>
      </c>
      <c r="F460" s="102" t="b">
        <v>0</v>
      </c>
      <c r="G460" s="102" t="b">
        <v>0</v>
      </c>
    </row>
    <row r="461" spans="1:7" ht="15">
      <c r="A461" s="104" t="s">
        <v>1212</v>
      </c>
      <c r="B461" s="102">
        <v>2</v>
      </c>
      <c r="C461" s="106">
        <v>0.013218103360046434</v>
      </c>
      <c r="D461" s="102" t="s">
        <v>1180</v>
      </c>
      <c r="E461" s="102" t="b">
        <v>0</v>
      </c>
      <c r="F461" s="102" t="b">
        <v>0</v>
      </c>
      <c r="G461" s="102" t="b">
        <v>0</v>
      </c>
    </row>
    <row r="462" spans="1:7" ht="15">
      <c r="A462" s="104" t="s">
        <v>1323</v>
      </c>
      <c r="B462" s="102">
        <v>2</v>
      </c>
      <c r="C462" s="106">
        <v>0.013218103360046434</v>
      </c>
      <c r="D462" s="102" t="s">
        <v>1180</v>
      </c>
      <c r="E462" s="102" t="b">
        <v>0</v>
      </c>
      <c r="F462" s="102" t="b">
        <v>0</v>
      </c>
      <c r="G462" s="102" t="b">
        <v>0</v>
      </c>
    </row>
    <row r="463" spans="1:7" ht="15">
      <c r="A463" s="104" t="s">
        <v>1374</v>
      </c>
      <c r="B463" s="102">
        <v>2</v>
      </c>
      <c r="C463" s="106">
        <v>0.013218103360046434</v>
      </c>
      <c r="D463" s="102" t="s">
        <v>1180</v>
      </c>
      <c r="E463" s="102" t="b">
        <v>0</v>
      </c>
      <c r="F463" s="102" t="b">
        <v>0</v>
      </c>
      <c r="G463" s="102" t="b">
        <v>0</v>
      </c>
    </row>
    <row r="464" spans="1:7" ht="15">
      <c r="A464" s="104" t="s">
        <v>1375</v>
      </c>
      <c r="B464" s="102">
        <v>2</v>
      </c>
      <c r="C464" s="106">
        <v>0.013218103360046434</v>
      </c>
      <c r="D464" s="102" t="s">
        <v>1180</v>
      </c>
      <c r="E464" s="102" t="b">
        <v>0</v>
      </c>
      <c r="F464" s="102" t="b">
        <v>0</v>
      </c>
      <c r="G464" s="102" t="b">
        <v>0</v>
      </c>
    </row>
    <row r="465" spans="1:7" ht="15">
      <c r="A465" s="104" t="s">
        <v>1205</v>
      </c>
      <c r="B465" s="102">
        <v>17</v>
      </c>
      <c r="C465" s="106">
        <v>0</v>
      </c>
      <c r="D465" s="102" t="s">
        <v>1181</v>
      </c>
      <c r="E465" s="102" t="b">
        <v>0</v>
      </c>
      <c r="F465" s="102" t="b">
        <v>0</v>
      </c>
      <c r="G465" s="102" t="b">
        <v>0</v>
      </c>
    </row>
    <row r="466" spans="1:7" ht="15">
      <c r="A466" s="104" t="s">
        <v>1223</v>
      </c>
      <c r="B466" s="102">
        <v>11</v>
      </c>
      <c r="C466" s="106">
        <v>0.012084550069809753</v>
      </c>
      <c r="D466" s="102" t="s">
        <v>1181</v>
      </c>
      <c r="E466" s="102" t="b">
        <v>0</v>
      </c>
      <c r="F466" s="102" t="b">
        <v>0</v>
      </c>
      <c r="G466" s="102" t="b">
        <v>0</v>
      </c>
    </row>
    <row r="467" spans="1:7" ht="15">
      <c r="A467" s="104" t="s">
        <v>1229</v>
      </c>
      <c r="B467" s="102">
        <v>9</v>
      </c>
      <c r="C467" s="106">
        <v>0.03337523906044708</v>
      </c>
      <c r="D467" s="102" t="s">
        <v>1181</v>
      </c>
      <c r="E467" s="102" t="b">
        <v>0</v>
      </c>
      <c r="F467" s="102" t="b">
        <v>0</v>
      </c>
      <c r="G467" s="102" t="b">
        <v>0</v>
      </c>
    </row>
    <row r="468" spans="1:7" ht="15">
      <c r="A468" s="104" t="s">
        <v>1235</v>
      </c>
      <c r="B468" s="102">
        <v>8</v>
      </c>
      <c r="C468" s="106">
        <v>0.005498440454357811</v>
      </c>
      <c r="D468" s="102" t="s">
        <v>1181</v>
      </c>
      <c r="E468" s="102" t="b">
        <v>0</v>
      </c>
      <c r="F468" s="102" t="b">
        <v>0</v>
      </c>
      <c r="G468" s="102" t="b">
        <v>0</v>
      </c>
    </row>
    <row r="469" spans="1:7" ht="15">
      <c r="A469" s="104" t="s">
        <v>1234</v>
      </c>
      <c r="B469" s="102">
        <v>8</v>
      </c>
      <c r="C469" s="106">
        <v>0.008788763687134365</v>
      </c>
      <c r="D469" s="102" t="s">
        <v>1181</v>
      </c>
      <c r="E469" s="102" t="b">
        <v>0</v>
      </c>
      <c r="F469" s="102" t="b">
        <v>0</v>
      </c>
      <c r="G469" s="102" t="b">
        <v>0</v>
      </c>
    </row>
    <row r="470" spans="1:7" ht="15">
      <c r="A470" s="104" t="s">
        <v>1204</v>
      </c>
      <c r="B470" s="102">
        <v>6</v>
      </c>
      <c r="C470" s="106">
        <v>0.012809787049531115</v>
      </c>
      <c r="D470" s="102" t="s">
        <v>1181</v>
      </c>
      <c r="E470" s="102" t="b">
        <v>0</v>
      </c>
      <c r="F470" s="102" t="b">
        <v>0</v>
      </c>
      <c r="G470" s="102" t="b">
        <v>0</v>
      </c>
    </row>
    <row r="471" spans="1:7" ht="15">
      <c r="A471" s="104" t="s">
        <v>1260</v>
      </c>
      <c r="B471" s="102">
        <v>5</v>
      </c>
      <c r="C471" s="106">
        <v>0.024786170366525494</v>
      </c>
      <c r="D471" s="102" t="s">
        <v>1181</v>
      </c>
      <c r="E471" s="102" t="b">
        <v>0</v>
      </c>
      <c r="F471" s="102" t="b">
        <v>0</v>
      </c>
      <c r="G471" s="102" t="b">
        <v>0</v>
      </c>
    </row>
    <row r="472" spans="1:7" ht="15">
      <c r="A472" s="104" t="s">
        <v>1302</v>
      </c>
      <c r="B472" s="102">
        <v>3</v>
      </c>
      <c r="C472" s="106">
        <v>0.011125079686815694</v>
      </c>
      <c r="D472" s="102" t="s">
        <v>1181</v>
      </c>
      <c r="E472" s="102" t="b">
        <v>0</v>
      </c>
      <c r="F472" s="102" t="b">
        <v>0</v>
      </c>
      <c r="G472" s="102" t="b">
        <v>0</v>
      </c>
    </row>
    <row r="473" spans="1:7" ht="15">
      <c r="A473" s="104" t="s">
        <v>1306</v>
      </c>
      <c r="B473" s="102">
        <v>3</v>
      </c>
      <c r="C473" s="106">
        <v>0.02127659574468085</v>
      </c>
      <c r="D473" s="102" t="s">
        <v>1181</v>
      </c>
      <c r="E473" s="102" t="b">
        <v>0</v>
      </c>
      <c r="F473" s="102" t="b">
        <v>0</v>
      </c>
      <c r="G473" s="102" t="b">
        <v>0</v>
      </c>
    </row>
    <row r="474" spans="1:7" ht="15">
      <c r="A474" s="104" t="s">
        <v>1308</v>
      </c>
      <c r="B474" s="102">
        <v>2</v>
      </c>
      <c r="C474" s="106">
        <v>0.014184397163120567</v>
      </c>
      <c r="D474" s="102" t="s">
        <v>1181</v>
      </c>
      <c r="E474" s="102" t="b">
        <v>0</v>
      </c>
      <c r="F474" s="102" t="b">
        <v>0</v>
      </c>
      <c r="G474" s="102" t="b">
        <v>0</v>
      </c>
    </row>
    <row r="475" spans="1:7" ht="15">
      <c r="A475" s="104" t="s">
        <v>1350</v>
      </c>
      <c r="B475" s="102">
        <v>2</v>
      </c>
      <c r="C475" s="106">
        <v>0.009914468146610197</v>
      </c>
      <c r="D475" s="102" t="s">
        <v>1181</v>
      </c>
      <c r="E475" s="102" t="b">
        <v>0</v>
      </c>
      <c r="F475" s="102" t="b">
        <v>0</v>
      </c>
      <c r="G475" s="102" t="b">
        <v>0</v>
      </c>
    </row>
    <row r="476" spans="1:7" ht="15">
      <c r="A476" s="104" t="s">
        <v>1303</v>
      </c>
      <c r="B476" s="102">
        <v>2</v>
      </c>
      <c r="C476" s="106">
        <v>0.009914468146610197</v>
      </c>
      <c r="D476" s="102" t="s">
        <v>1181</v>
      </c>
      <c r="E476" s="102" t="b">
        <v>0</v>
      </c>
      <c r="F476" s="102" t="b">
        <v>0</v>
      </c>
      <c r="G476" s="102" t="b">
        <v>0</v>
      </c>
    </row>
    <row r="477" spans="1:7" ht="15">
      <c r="A477" s="104" t="s">
        <v>1344</v>
      </c>
      <c r="B477" s="102">
        <v>2</v>
      </c>
      <c r="C477" s="106">
        <v>0.009914468146610197</v>
      </c>
      <c r="D477" s="102" t="s">
        <v>1181</v>
      </c>
      <c r="E477" s="102" t="b">
        <v>0</v>
      </c>
      <c r="F477" s="102" t="b">
        <v>0</v>
      </c>
      <c r="G477" s="102" t="b">
        <v>0</v>
      </c>
    </row>
    <row r="478" spans="1:7" ht="15">
      <c r="A478" s="104" t="s">
        <v>1351</v>
      </c>
      <c r="B478" s="102">
        <v>2</v>
      </c>
      <c r="C478" s="106">
        <v>0.014184397163120567</v>
      </c>
      <c r="D478" s="102" t="s">
        <v>1181</v>
      </c>
      <c r="E478" s="102" t="b">
        <v>0</v>
      </c>
      <c r="F478" s="102" t="b">
        <v>0</v>
      </c>
      <c r="G478" s="102" t="b">
        <v>0</v>
      </c>
    </row>
    <row r="479" spans="1:7" ht="15">
      <c r="A479" s="104" t="s">
        <v>1353</v>
      </c>
      <c r="B479" s="102">
        <v>2</v>
      </c>
      <c r="C479" s="106">
        <v>0.014184397163120567</v>
      </c>
      <c r="D479" s="102" t="s">
        <v>1181</v>
      </c>
      <c r="E479" s="102" t="b">
        <v>0</v>
      </c>
      <c r="F479" s="102" t="b">
        <v>0</v>
      </c>
      <c r="G479" s="102" t="b">
        <v>0</v>
      </c>
    </row>
    <row r="480" spans="1:7" ht="15">
      <c r="A480" s="104" t="s">
        <v>1354</v>
      </c>
      <c r="B480" s="102">
        <v>2</v>
      </c>
      <c r="C480" s="106">
        <v>0.014184397163120567</v>
      </c>
      <c r="D480" s="102" t="s">
        <v>1181</v>
      </c>
      <c r="E480" s="102" t="b">
        <v>0</v>
      </c>
      <c r="F480" s="102" t="b">
        <v>0</v>
      </c>
      <c r="G480" s="102" t="b">
        <v>0</v>
      </c>
    </row>
    <row r="481" spans="1:7" ht="15">
      <c r="A481" s="104" t="s">
        <v>1355</v>
      </c>
      <c r="B481" s="102">
        <v>2</v>
      </c>
      <c r="C481" s="106">
        <v>0.014184397163120567</v>
      </c>
      <c r="D481" s="102" t="s">
        <v>1181</v>
      </c>
      <c r="E481" s="102" t="b">
        <v>0</v>
      </c>
      <c r="F481" s="102" t="b">
        <v>0</v>
      </c>
      <c r="G481" s="102" t="b">
        <v>0</v>
      </c>
    </row>
    <row r="482" spans="1:7" ht="15">
      <c r="A482" s="104" t="s">
        <v>1349</v>
      </c>
      <c r="B482" s="102">
        <v>2</v>
      </c>
      <c r="C482" s="106">
        <v>0.014184397163120567</v>
      </c>
      <c r="D482" s="102" t="s">
        <v>1181</v>
      </c>
      <c r="E482" s="102" t="b">
        <v>0</v>
      </c>
      <c r="F482" s="102" t="b">
        <v>0</v>
      </c>
      <c r="G482" s="102" t="b">
        <v>0</v>
      </c>
    </row>
    <row r="483" spans="1:7" ht="15">
      <c r="A483" s="104" t="s">
        <v>1346</v>
      </c>
      <c r="B483" s="102">
        <v>2</v>
      </c>
      <c r="C483" s="106">
        <v>0.014184397163120567</v>
      </c>
      <c r="D483" s="102" t="s">
        <v>1181</v>
      </c>
      <c r="E483" s="102" t="b">
        <v>0</v>
      </c>
      <c r="F483" s="102" t="b">
        <v>0</v>
      </c>
      <c r="G483" s="102" t="b">
        <v>0</v>
      </c>
    </row>
    <row r="484" spans="1:7" ht="15">
      <c r="A484" s="104" t="s">
        <v>1347</v>
      </c>
      <c r="B484" s="102">
        <v>2</v>
      </c>
      <c r="C484" s="106">
        <v>0.014184397163120567</v>
      </c>
      <c r="D484" s="102" t="s">
        <v>1181</v>
      </c>
      <c r="E484" s="102" t="b">
        <v>0</v>
      </c>
      <c r="F484" s="102" t="b">
        <v>0</v>
      </c>
      <c r="G484" s="102" t="b">
        <v>0</v>
      </c>
    </row>
    <row r="485" spans="1:7" ht="15">
      <c r="A485" s="104" t="s">
        <v>1348</v>
      </c>
      <c r="B485" s="102">
        <v>2</v>
      </c>
      <c r="C485" s="106">
        <v>0.014184397163120567</v>
      </c>
      <c r="D485" s="102" t="s">
        <v>1181</v>
      </c>
      <c r="E485" s="102" t="b">
        <v>0</v>
      </c>
      <c r="F485" s="102" t="b">
        <v>0</v>
      </c>
      <c r="G485" s="102" t="b">
        <v>0</v>
      </c>
    </row>
    <row r="486" spans="1:7" ht="15">
      <c r="A486" s="104" t="s">
        <v>1228</v>
      </c>
      <c r="B486" s="102">
        <v>10</v>
      </c>
      <c r="C486" s="106">
        <v>0.05854248524167637</v>
      </c>
      <c r="D486" s="102" t="s">
        <v>1182</v>
      </c>
      <c r="E486" s="102" t="b">
        <v>0</v>
      </c>
      <c r="F486" s="102" t="b">
        <v>0</v>
      </c>
      <c r="G486" s="102" t="b">
        <v>0</v>
      </c>
    </row>
    <row r="487" spans="1:7" ht="15">
      <c r="A487" s="104" t="s">
        <v>1227</v>
      </c>
      <c r="B487" s="102">
        <v>10</v>
      </c>
      <c r="C487" s="106">
        <v>0.05854248524167637</v>
      </c>
      <c r="D487" s="102" t="s">
        <v>1182</v>
      </c>
      <c r="E487" s="102" t="b">
        <v>0</v>
      </c>
      <c r="F487" s="102" t="b">
        <v>0</v>
      </c>
      <c r="G487" s="102" t="b">
        <v>0</v>
      </c>
    </row>
    <row r="488" spans="1:7" ht="15">
      <c r="A488" s="104" t="s">
        <v>1205</v>
      </c>
      <c r="B488" s="102">
        <v>6</v>
      </c>
      <c r="C488" s="106">
        <v>0.009396533930183045</v>
      </c>
      <c r="D488" s="102" t="s">
        <v>1182</v>
      </c>
      <c r="E488" s="102" t="b">
        <v>0</v>
      </c>
      <c r="F488" s="102" t="b">
        <v>0</v>
      </c>
      <c r="G488" s="102" t="b">
        <v>0</v>
      </c>
    </row>
    <row r="489" spans="1:7" ht="15">
      <c r="A489" s="104" t="s">
        <v>1204</v>
      </c>
      <c r="B489" s="102">
        <v>6</v>
      </c>
      <c r="C489" s="106">
        <v>0.009396533930183045</v>
      </c>
      <c r="D489" s="102" t="s">
        <v>1182</v>
      </c>
      <c r="E489" s="102" t="b">
        <v>0</v>
      </c>
      <c r="F489" s="102" t="b">
        <v>0</v>
      </c>
      <c r="G489" s="102" t="b">
        <v>0</v>
      </c>
    </row>
    <row r="490" spans="1:7" ht="15">
      <c r="A490" s="104" t="s">
        <v>1254</v>
      </c>
      <c r="B490" s="102">
        <v>6</v>
      </c>
      <c r="C490" s="106">
        <v>0.03512549114500583</v>
      </c>
      <c r="D490" s="102" t="s">
        <v>1182</v>
      </c>
      <c r="E490" s="102" t="b">
        <v>0</v>
      </c>
      <c r="F490" s="102" t="b">
        <v>0</v>
      </c>
      <c r="G490" s="102" t="b">
        <v>0</v>
      </c>
    </row>
    <row r="491" spans="1:7" ht="15">
      <c r="A491" s="104" t="s">
        <v>1207</v>
      </c>
      <c r="B491" s="102">
        <v>5</v>
      </c>
      <c r="C491" s="106">
        <v>0.007830444941819205</v>
      </c>
      <c r="D491" s="102" t="s">
        <v>1182</v>
      </c>
      <c r="E491" s="102" t="b">
        <v>0</v>
      </c>
      <c r="F491" s="102" t="b">
        <v>0</v>
      </c>
      <c r="G491" s="102" t="b">
        <v>0</v>
      </c>
    </row>
    <row r="492" spans="1:7" ht="15">
      <c r="A492" s="104" t="s">
        <v>1270</v>
      </c>
      <c r="B492" s="102">
        <v>5</v>
      </c>
      <c r="C492" s="106">
        <v>0.029271242620838186</v>
      </c>
      <c r="D492" s="102" t="s">
        <v>1182</v>
      </c>
      <c r="E492" s="102" t="b">
        <v>0</v>
      </c>
      <c r="F492" s="102" t="b">
        <v>0</v>
      </c>
      <c r="G492" s="102" t="b">
        <v>0</v>
      </c>
    </row>
    <row r="493" spans="1:7" ht="15">
      <c r="A493" s="104" t="s">
        <v>1271</v>
      </c>
      <c r="B493" s="102">
        <v>5</v>
      </c>
      <c r="C493" s="106">
        <v>0.029271242620838186</v>
      </c>
      <c r="D493" s="102" t="s">
        <v>1182</v>
      </c>
      <c r="E493" s="102" t="b">
        <v>0</v>
      </c>
      <c r="F493" s="102" t="b">
        <v>0</v>
      </c>
      <c r="G493" s="102" t="b">
        <v>0</v>
      </c>
    </row>
    <row r="494" spans="1:7" ht="15">
      <c r="A494" s="104" t="s">
        <v>1296</v>
      </c>
      <c r="B494" s="102">
        <v>4</v>
      </c>
      <c r="C494" s="106">
        <v>0.008642515781873927</v>
      </c>
      <c r="D494" s="102" t="s">
        <v>1182</v>
      </c>
      <c r="E494" s="102" t="b">
        <v>0</v>
      </c>
      <c r="F494" s="102" t="b">
        <v>0</v>
      </c>
      <c r="G494" s="102" t="b">
        <v>0</v>
      </c>
    </row>
    <row r="495" spans="1:7" ht="15">
      <c r="A495" s="104" t="s">
        <v>1297</v>
      </c>
      <c r="B495" s="102">
        <v>4</v>
      </c>
      <c r="C495" s="106">
        <v>0.02341699409667055</v>
      </c>
      <c r="D495" s="102" t="s">
        <v>1182</v>
      </c>
      <c r="E495" s="102" t="b">
        <v>0</v>
      </c>
      <c r="F495" s="102" t="b">
        <v>0</v>
      </c>
      <c r="G495" s="102" t="b">
        <v>0</v>
      </c>
    </row>
    <row r="496" spans="1:7" ht="15">
      <c r="A496" s="104" t="s">
        <v>1298</v>
      </c>
      <c r="B496" s="102">
        <v>4</v>
      </c>
      <c r="C496" s="106">
        <v>0.02341699409667055</v>
      </c>
      <c r="D496" s="102" t="s">
        <v>1182</v>
      </c>
      <c r="E496" s="102" t="b">
        <v>0</v>
      </c>
      <c r="F496" s="102" t="b">
        <v>0</v>
      </c>
      <c r="G496" s="102" t="b">
        <v>0</v>
      </c>
    </row>
    <row r="497" spans="1:7" ht="15">
      <c r="A497" s="104" t="s">
        <v>1295</v>
      </c>
      <c r="B497" s="102">
        <v>4</v>
      </c>
      <c r="C497" s="106">
        <v>0.02341699409667055</v>
      </c>
      <c r="D497" s="102" t="s">
        <v>1182</v>
      </c>
      <c r="E497" s="102" t="b">
        <v>0</v>
      </c>
      <c r="F497" s="102" t="b">
        <v>0</v>
      </c>
      <c r="G497" s="102" t="b">
        <v>0</v>
      </c>
    </row>
    <row r="498" spans="1:7" ht="15">
      <c r="A498" s="104" t="s">
        <v>1212</v>
      </c>
      <c r="B498" s="102">
        <v>3</v>
      </c>
      <c r="C498" s="106">
        <v>0.008781372786251457</v>
      </c>
      <c r="D498" s="102" t="s">
        <v>1182</v>
      </c>
      <c r="E498" s="102" t="b">
        <v>0</v>
      </c>
      <c r="F498" s="102" t="b">
        <v>0</v>
      </c>
      <c r="G498" s="102" t="b">
        <v>0</v>
      </c>
    </row>
    <row r="499" spans="1:7" ht="15">
      <c r="A499" s="104" t="s">
        <v>1331</v>
      </c>
      <c r="B499" s="102">
        <v>3</v>
      </c>
      <c r="C499" s="106">
        <v>0.017562745572502914</v>
      </c>
      <c r="D499" s="102" t="s">
        <v>1182</v>
      </c>
      <c r="E499" s="102" t="b">
        <v>0</v>
      </c>
      <c r="F499" s="102" t="b">
        <v>0</v>
      </c>
      <c r="G499" s="102" t="b">
        <v>0</v>
      </c>
    </row>
    <row r="500" spans="1:7" ht="15">
      <c r="A500" s="104" t="s">
        <v>1329</v>
      </c>
      <c r="B500" s="102">
        <v>3</v>
      </c>
      <c r="C500" s="106">
        <v>0.017562745572502914</v>
      </c>
      <c r="D500" s="102" t="s">
        <v>1182</v>
      </c>
      <c r="E500" s="102" t="b">
        <v>0</v>
      </c>
      <c r="F500" s="102" t="b">
        <v>0</v>
      </c>
      <c r="G500" s="102" t="b">
        <v>0</v>
      </c>
    </row>
    <row r="501" spans="1:7" ht="15">
      <c r="A501" s="104" t="s">
        <v>1243</v>
      </c>
      <c r="B501" s="102">
        <v>2</v>
      </c>
      <c r="C501" s="106">
        <v>0.011708497048335275</v>
      </c>
      <c r="D501" s="102" t="s">
        <v>1182</v>
      </c>
      <c r="E501" s="102" t="b">
        <v>0</v>
      </c>
      <c r="F501" s="102" t="b">
        <v>0</v>
      </c>
      <c r="G501" s="102" t="b">
        <v>0</v>
      </c>
    </row>
    <row r="502" spans="1:7" ht="15">
      <c r="A502" s="104" t="s">
        <v>1322</v>
      </c>
      <c r="B502" s="102">
        <v>2</v>
      </c>
      <c r="C502" s="106">
        <v>0.00801487746963612</v>
      </c>
      <c r="D502" s="102" t="s">
        <v>1182</v>
      </c>
      <c r="E502" s="102" t="b">
        <v>0</v>
      </c>
      <c r="F502" s="102" t="b">
        <v>0</v>
      </c>
      <c r="G502" s="102" t="b">
        <v>0</v>
      </c>
    </row>
    <row r="503" spans="1:7" ht="15">
      <c r="A503" s="104" t="s">
        <v>1423</v>
      </c>
      <c r="B503" s="102">
        <v>2</v>
      </c>
      <c r="C503" s="106">
        <v>0.011708497048335275</v>
      </c>
      <c r="D503" s="102" t="s">
        <v>1182</v>
      </c>
      <c r="E503" s="102" t="b">
        <v>0</v>
      </c>
      <c r="F503" s="102" t="b">
        <v>0</v>
      </c>
      <c r="G503" s="102" t="b">
        <v>0</v>
      </c>
    </row>
    <row r="504" spans="1:7" ht="15">
      <c r="A504" s="104" t="s">
        <v>1424</v>
      </c>
      <c r="B504" s="102">
        <v>2</v>
      </c>
      <c r="C504" s="106">
        <v>0.011708497048335275</v>
      </c>
      <c r="D504" s="102" t="s">
        <v>1182</v>
      </c>
      <c r="E504" s="102" t="b">
        <v>0</v>
      </c>
      <c r="F504" s="102" t="b">
        <v>0</v>
      </c>
      <c r="G504" s="102" t="b">
        <v>0</v>
      </c>
    </row>
    <row r="505" spans="1:7" ht="15">
      <c r="A505" s="104" t="s">
        <v>1276</v>
      </c>
      <c r="B505" s="102">
        <v>2</v>
      </c>
      <c r="C505" s="106">
        <v>0.011708497048335275</v>
      </c>
      <c r="D505" s="102" t="s">
        <v>1182</v>
      </c>
      <c r="E505" s="102" t="b">
        <v>0</v>
      </c>
      <c r="F505" s="102" t="b">
        <v>0</v>
      </c>
      <c r="G505" s="102" t="b">
        <v>0</v>
      </c>
    </row>
    <row r="506" spans="1:7" ht="15">
      <c r="A506" s="104" t="s">
        <v>1425</v>
      </c>
      <c r="B506" s="102">
        <v>2</v>
      </c>
      <c r="C506" s="106">
        <v>0.011708497048335275</v>
      </c>
      <c r="D506" s="102" t="s">
        <v>1182</v>
      </c>
      <c r="E506" s="102" t="b">
        <v>0</v>
      </c>
      <c r="F506" s="102" t="b">
        <v>0</v>
      </c>
      <c r="G506" s="102" t="b">
        <v>0</v>
      </c>
    </row>
    <row r="507" spans="1:7" ht="15">
      <c r="A507" s="104" t="s">
        <v>1426</v>
      </c>
      <c r="B507" s="102">
        <v>2</v>
      </c>
      <c r="C507" s="106">
        <v>0.011708497048335275</v>
      </c>
      <c r="D507" s="102" t="s">
        <v>1182</v>
      </c>
      <c r="E507" s="102" t="b">
        <v>0</v>
      </c>
      <c r="F507" s="102" t="b">
        <v>0</v>
      </c>
      <c r="G507" s="102" t="b">
        <v>0</v>
      </c>
    </row>
    <row r="508" spans="1:7" ht="15">
      <c r="A508" s="104" t="s">
        <v>1427</v>
      </c>
      <c r="B508" s="102">
        <v>2</v>
      </c>
      <c r="C508" s="106">
        <v>0.011708497048335275</v>
      </c>
      <c r="D508" s="102" t="s">
        <v>1182</v>
      </c>
      <c r="E508" s="102" t="b">
        <v>0</v>
      </c>
      <c r="F508" s="102" t="b">
        <v>0</v>
      </c>
      <c r="G508" s="102" t="b">
        <v>0</v>
      </c>
    </row>
    <row r="509" spans="1:7" ht="15">
      <c r="A509" s="104" t="s">
        <v>1420</v>
      </c>
      <c r="B509" s="102">
        <v>2</v>
      </c>
      <c r="C509" s="106">
        <v>0.011708497048335275</v>
      </c>
      <c r="D509" s="102" t="s">
        <v>1182</v>
      </c>
      <c r="E509" s="102" t="b">
        <v>0</v>
      </c>
      <c r="F509" s="102" t="b">
        <v>0</v>
      </c>
      <c r="G509" s="102" t="b">
        <v>0</v>
      </c>
    </row>
    <row r="510" spans="1:7" ht="15">
      <c r="A510" s="104" t="s">
        <v>1421</v>
      </c>
      <c r="B510" s="102">
        <v>2</v>
      </c>
      <c r="C510" s="106">
        <v>0.011708497048335275</v>
      </c>
      <c r="D510" s="102" t="s">
        <v>1182</v>
      </c>
      <c r="E510" s="102" t="b">
        <v>0</v>
      </c>
      <c r="F510" s="102" t="b">
        <v>0</v>
      </c>
      <c r="G510" s="102" t="b">
        <v>0</v>
      </c>
    </row>
    <row r="511" spans="1:7" ht="15">
      <c r="A511" s="104" t="s">
        <v>1422</v>
      </c>
      <c r="B511" s="102">
        <v>2</v>
      </c>
      <c r="C511" s="106">
        <v>0.011708497048335275</v>
      </c>
      <c r="D511" s="102" t="s">
        <v>1182</v>
      </c>
      <c r="E511" s="102" t="b">
        <v>0</v>
      </c>
      <c r="F511" s="102" t="b">
        <v>0</v>
      </c>
      <c r="G511" s="102" t="b">
        <v>0</v>
      </c>
    </row>
    <row r="512" spans="1:7" ht="15">
      <c r="A512" s="104" t="s">
        <v>1414</v>
      </c>
      <c r="B512" s="102">
        <v>2</v>
      </c>
      <c r="C512" s="106">
        <v>0.011708497048335275</v>
      </c>
      <c r="D512" s="102" t="s">
        <v>1182</v>
      </c>
      <c r="E512" s="102" t="b">
        <v>0</v>
      </c>
      <c r="F512" s="102" t="b">
        <v>0</v>
      </c>
      <c r="G512" s="102" t="b">
        <v>0</v>
      </c>
    </row>
    <row r="513" spans="1:7" ht="15">
      <c r="A513" s="104" t="s">
        <v>1415</v>
      </c>
      <c r="B513" s="102">
        <v>2</v>
      </c>
      <c r="C513" s="106">
        <v>0.011708497048335275</v>
      </c>
      <c r="D513" s="102" t="s">
        <v>1182</v>
      </c>
      <c r="E513" s="102" t="b">
        <v>0</v>
      </c>
      <c r="F513" s="102" t="b">
        <v>0</v>
      </c>
      <c r="G513" s="102" t="b">
        <v>0</v>
      </c>
    </row>
    <row r="514" spans="1:7" ht="15">
      <c r="A514" s="104" t="s">
        <v>1416</v>
      </c>
      <c r="B514" s="102">
        <v>2</v>
      </c>
      <c r="C514" s="106">
        <v>0.011708497048335275</v>
      </c>
      <c r="D514" s="102" t="s">
        <v>1182</v>
      </c>
      <c r="E514" s="102" t="b">
        <v>0</v>
      </c>
      <c r="F514" s="102" t="b">
        <v>0</v>
      </c>
      <c r="G514" s="102" t="b">
        <v>0</v>
      </c>
    </row>
    <row r="515" spans="1:7" ht="15">
      <c r="A515" s="104" t="s">
        <v>1417</v>
      </c>
      <c r="B515" s="102">
        <v>2</v>
      </c>
      <c r="C515" s="106">
        <v>0.011708497048335275</v>
      </c>
      <c r="D515" s="102" t="s">
        <v>1182</v>
      </c>
      <c r="E515" s="102" t="b">
        <v>0</v>
      </c>
      <c r="F515" s="102" t="b">
        <v>0</v>
      </c>
      <c r="G515" s="102" t="b">
        <v>0</v>
      </c>
    </row>
    <row r="516" spans="1:7" ht="15">
      <c r="A516" s="104" t="s">
        <v>1328</v>
      </c>
      <c r="B516" s="102">
        <v>2</v>
      </c>
      <c r="C516" s="106">
        <v>0.011708497048335275</v>
      </c>
      <c r="D516" s="102" t="s">
        <v>1182</v>
      </c>
      <c r="E516" s="102" t="b">
        <v>0</v>
      </c>
      <c r="F516" s="102" t="b">
        <v>0</v>
      </c>
      <c r="G516" s="102" t="b">
        <v>0</v>
      </c>
    </row>
    <row r="517" spans="1:7" ht="15">
      <c r="A517" s="104" t="s">
        <v>1330</v>
      </c>
      <c r="B517" s="102">
        <v>2</v>
      </c>
      <c r="C517" s="106">
        <v>0.011708497048335275</v>
      </c>
      <c r="D517" s="102" t="s">
        <v>1182</v>
      </c>
      <c r="E517" s="102" t="b">
        <v>0</v>
      </c>
      <c r="F517" s="102" t="b">
        <v>0</v>
      </c>
      <c r="G517" s="102" t="b">
        <v>0</v>
      </c>
    </row>
    <row r="518" spans="1:7" ht="15">
      <c r="A518" s="104" t="s">
        <v>1418</v>
      </c>
      <c r="B518" s="102">
        <v>2</v>
      </c>
      <c r="C518" s="106">
        <v>0.011708497048335275</v>
      </c>
      <c r="D518" s="102" t="s">
        <v>1182</v>
      </c>
      <c r="E518" s="102" t="b">
        <v>0</v>
      </c>
      <c r="F518" s="102" t="b">
        <v>0</v>
      </c>
      <c r="G518" s="102" t="b">
        <v>0</v>
      </c>
    </row>
    <row r="519" spans="1:7" ht="15">
      <c r="A519" s="104" t="s">
        <v>1419</v>
      </c>
      <c r="B519" s="102">
        <v>2</v>
      </c>
      <c r="C519" s="106">
        <v>0.011708497048335275</v>
      </c>
      <c r="D519" s="102" t="s">
        <v>1182</v>
      </c>
      <c r="E519" s="102" t="b">
        <v>0</v>
      </c>
      <c r="F519" s="102" t="b">
        <v>0</v>
      </c>
      <c r="G519" s="102" t="b">
        <v>0</v>
      </c>
    </row>
    <row r="520" spans="1:7" ht="15">
      <c r="A520" s="104" t="s">
        <v>1292</v>
      </c>
      <c r="B520" s="102">
        <v>2</v>
      </c>
      <c r="C520" s="106">
        <v>0.011708497048335275</v>
      </c>
      <c r="D520" s="102" t="s">
        <v>1182</v>
      </c>
      <c r="E520" s="102" t="b">
        <v>0</v>
      </c>
      <c r="F520" s="102" t="b">
        <v>0</v>
      </c>
      <c r="G520" s="102" t="b">
        <v>0</v>
      </c>
    </row>
    <row r="521" spans="1:7" ht="15">
      <c r="A521" s="104" t="s">
        <v>1209</v>
      </c>
      <c r="B521" s="102">
        <v>7</v>
      </c>
      <c r="C521" s="106">
        <v>0.026228108967888873</v>
      </c>
      <c r="D521" s="102" t="s">
        <v>1183</v>
      </c>
      <c r="E521" s="102" t="b">
        <v>0</v>
      </c>
      <c r="F521" s="102" t="b">
        <v>0</v>
      </c>
      <c r="G521" s="102" t="b">
        <v>0</v>
      </c>
    </row>
    <row r="522" spans="1:7" ht="15">
      <c r="A522" s="104" t="s">
        <v>1204</v>
      </c>
      <c r="B522" s="102">
        <v>5</v>
      </c>
      <c r="C522" s="106">
        <v>0.031158724190550567</v>
      </c>
      <c r="D522" s="102" t="s">
        <v>1183</v>
      </c>
      <c r="E522" s="102" t="b">
        <v>0</v>
      </c>
      <c r="F522" s="102" t="b">
        <v>0</v>
      </c>
      <c r="G522" s="102" t="b">
        <v>0</v>
      </c>
    </row>
    <row r="523" spans="1:7" ht="15">
      <c r="A523" s="104" t="s">
        <v>1266</v>
      </c>
      <c r="B523" s="102">
        <v>3</v>
      </c>
      <c r="C523" s="106">
        <v>0.06500754153955822</v>
      </c>
      <c r="D523" s="102" t="s">
        <v>1183</v>
      </c>
      <c r="E523" s="102" t="b">
        <v>0</v>
      </c>
      <c r="F523" s="102" t="b">
        <v>0</v>
      </c>
      <c r="G523" s="102" t="b">
        <v>0</v>
      </c>
    </row>
    <row r="524" spans="1:7" ht="15">
      <c r="A524" s="104" t="s">
        <v>1206</v>
      </c>
      <c r="B524" s="102">
        <v>3</v>
      </c>
      <c r="C524" s="106">
        <v>0.02830590656112265</v>
      </c>
      <c r="D524" s="102" t="s">
        <v>1183</v>
      </c>
      <c r="E524" s="102" t="b">
        <v>0</v>
      </c>
      <c r="F524" s="102" t="b">
        <v>0</v>
      </c>
      <c r="G524" s="102" t="b">
        <v>0</v>
      </c>
    </row>
    <row r="525" spans="1:7" ht="15">
      <c r="A525" s="104" t="s">
        <v>1205</v>
      </c>
      <c r="B525" s="102">
        <v>3</v>
      </c>
      <c r="C525" s="106">
        <v>0.02830590656112265</v>
      </c>
      <c r="D525" s="102" t="s">
        <v>1183</v>
      </c>
      <c r="E525" s="102" t="b">
        <v>0</v>
      </c>
      <c r="F525" s="102" t="b">
        <v>0</v>
      </c>
      <c r="G525" s="102" t="b">
        <v>0</v>
      </c>
    </row>
    <row r="526" spans="1:7" ht="15">
      <c r="A526" s="104" t="s">
        <v>1443</v>
      </c>
      <c r="B526" s="102">
        <v>2</v>
      </c>
      <c r="C526" s="106">
        <v>0.027900925351296187</v>
      </c>
      <c r="D526" s="102" t="s">
        <v>1183</v>
      </c>
      <c r="E526" s="102" t="b">
        <v>0</v>
      </c>
      <c r="F526" s="102" t="b">
        <v>0</v>
      </c>
      <c r="G526"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D78DF-B88A-4FA7-8B38-3386ECC40499}">
  <dimension ref="A1:L3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1454</v>
      </c>
      <c r="B1" s="13" t="s">
        <v>1455</v>
      </c>
      <c r="C1" s="13" t="s">
        <v>1445</v>
      </c>
      <c r="D1" s="13" t="s">
        <v>1449</v>
      </c>
      <c r="E1" s="13" t="s">
        <v>1456</v>
      </c>
      <c r="F1" s="13" t="s">
        <v>144</v>
      </c>
      <c r="G1" s="13" t="s">
        <v>1457</v>
      </c>
      <c r="H1" s="13" t="s">
        <v>1458</v>
      </c>
      <c r="I1" s="13" t="s">
        <v>1459</v>
      </c>
      <c r="J1" s="13" t="s">
        <v>1460</v>
      </c>
      <c r="K1" s="13" t="s">
        <v>1461</v>
      </c>
      <c r="L1" s="13" t="s">
        <v>1462</v>
      </c>
    </row>
    <row r="2" spans="1:12" ht="15">
      <c r="A2" s="102" t="s">
        <v>1205</v>
      </c>
      <c r="B2" s="102" t="s">
        <v>1204</v>
      </c>
      <c r="C2" s="102">
        <v>63</v>
      </c>
      <c r="D2" s="106">
        <v>0.014858447378813016</v>
      </c>
      <c r="E2" s="106">
        <v>1.0097357217082543</v>
      </c>
      <c r="F2" s="102" t="s">
        <v>1450</v>
      </c>
      <c r="G2" s="102" t="b">
        <v>0</v>
      </c>
      <c r="H2" s="102" t="b">
        <v>0</v>
      </c>
      <c r="I2" s="102" t="b">
        <v>0</v>
      </c>
      <c r="J2" s="102" t="b">
        <v>0</v>
      </c>
      <c r="K2" s="102" t="b">
        <v>0</v>
      </c>
      <c r="L2" s="102" t="b">
        <v>0</v>
      </c>
    </row>
    <row r="3" spans="1:12" ht="15">
      <c r="A3" s="104" t="s">
        <v>1206</v>
      </c>
      <c r="B3" s="102" t="s">
        <v>1205</v>
      </c>
      <c r="C3" s="102">
        <v>35</v>
      </c>
      <c r="D3" s="106">
        <v>0.01175677253456216</v>
      </c>
      <c r="E3" s="106">
        <v>0.8927423656915691</v>
      </c>
      <c r="F3" s="102" t="s">
        <v>1450</v>
      </c>
      <c r="G3" s="102" t="b">
        <v>0</v>
      </c>
      <c r="H3" s="102" t="b">
        <v>0</v>
      </c>
      <c r="I3" s="102" t="b">
        <v>0</v>
      </c>
      <c r="J3" s="102" t="b">
        <v>0</v>
      </c>
      <c r="K3" s="102" t="b">
        <v>0</v>
      </c>
      <c r="L3" s="102" t="b">
        <v>0</v>
      </c>
    </row>
    <row r="4" spans="1:12" ht="15">
      <c r="A4" s="104" t="s">
        <v>1215</v>
      </c>
      <c r="B4" s="102" t="s">
        <v>1210</v>
      </c>
      <c r="C4" s="102">
        <v>21</v>
      </c>
      <c r="D4" s="106">
        <v>0.014600763118691577</v>
      </c>
      <c r="E4" s="106">
        <v>1.7157712867327226</v>
      </c>
      <c r="F4" s="102" t="s">
        <v>1450</v>
      </c>
      <c r="G4" s="102" t="b">
        <v>0</v>
      </c>
      <c r="H4" s="102" t="b">
        <v>0</v>
      </c>
      <c r="I4" s="102" t="b">
        <v>0</v>
      </c>
      <c r="J4" s="102" t="b">
        <v>0</v>
      </c>
      <c r="K4" s="102" t="b">
        <v>0</v>
      </c>
      <c r="L4" s="102" t="b">
        <v>0</v>
      </c>
    </row>
    <row r="5" spans="1:12" ht="15">
      <c r="A5" s="104" t="s">
        <v>1206</v>
      </c>
      <c r="B5" s="102" t="s">
        <v>1211</v>
      </c>
      <c r="C5" s="102">
        <v>21</v>
      </c>
      <c r="D5" s="106">
        <v>0.00895299795242574</v>
      </c>
      <c r="E5" s="106">
        <v>1.156701049979968</v>
      </c>
      <c r="F5" s="102" t="s">
        <v>1450</v>
      </c>
      <c r="G5" s="102" t="b">
        <v>0</v>
      </c>
      <c r="H5" s="102" t="b">
        <v>0</v>
      </c>
      <c r="I5" s="102" t="b">
        <v>0</v>
      </c>
      <c r="J5" s="102" t="b">
        <v>0</v>
      </c>
      <c r="K5" s="102" t="b">
        <v>0</v>
      </c>
      <c r="L5" s="102" t="b">
        <v>0</v>
      </c>
    </row>
    <row r="6" spans="1:12" ht="15">
      <c r="A6" s="104" t="s">
        <v>1206</v>
      </c>
      <c r="B6" s="102" t="s">
        <v>1219</v>
      </c>
      <c r="C6" s="102">
        <v>14</v>
      </c>
      <c r="D6" s="106">
        <v>0.007187289931760282</v>
      </c>
      <c r="E6" s="106">
        <v>1.2686748094239002</v>
      </c>
      <c r="F6" s="102" t="s">
        <v>1450</v>
      </c>
      <c r="G6" s="102" t="b">
        <v>0</v>
      </c>
      <c r="H6" s="102" t="b">
        <v>0</v>
      </c>
      <c r="I6" s="102" t="b">
        <v>0</v>
      </c>
      <c r="J6" s="102" t="b">
        <v>0</v>
      </c>
      <c r="K6" s="102" t="b">
        <v>0</v>
      </c>
      <c r="L6" s="102" t="b">
        <v>0</v>
      </c>
    </row>
    <row r="7" spans="1:12" ht="15">
      <c r="A7" s="104" t="s">
        <v>1204</v>
      </c>
      <c r="B7" s="102" t="s">
        <v>1208</v>
      </c>
      <c r="C7" s="102">
        <v>11</v>
      </c>
      <c r="D7" s="106">
        <v>0.007648018776457492</v>
      </c>
      <c r="E7" s="106">
        <v>0.6743786015744976</v>
      </c>
      <c r="F7" s="102" t="s">
        <v>1450</v>
      </c>
      <c r="G7" s="102" t="b">
        <v>0</v>
      </c>
      <c r="H7" s="102" t="b">
        <v>0</v>
      </c>
      <c r="I7" s="102" t="b">
        <v>0</v>
      </c>
      <c r="J7" s="102" t="b">
        <v>0</v>
      </c>
      <c r="K7" s="102" t="b">
        <v>0</v>
      </c>
      <c r="L7" s="102" t="b">
        <v>0</v>
      </c>
    </row>
    <row r="8" spans="1:12" ht="15">
      <c r="A8" s="104" t="s">
        <v>1222</v>
      </c>
      <c r="B8" s="102" t="s">
        <v>1204</v>
      </c>
      <c r="C8" s="102">
        <v>11</v>
      </c>
      <c r="D8" s="106">
        <v>0.009284860077645724</v>
      </c>
      <c r="E8" s="106">
        <v>1.1812067831271904</v>
      </c>
      <c r="F8" s="102" t="s">
        <v>1450</v>
      </c>
      <c r="G8" s="102" t="b">
        <v>0</v>
      </c>
      <c r="H8" s="102" t="b">
        <v>0</v>
      </c>
      <c r="I8" s="102" t="b">
        <v>0</v>
      </c>
      <c r="J8" s="102" t="b">
        <v>0</v>
      </c>
      <c r="K8" s="102" t="b">
        <v>0</v>
      </c>
      <c r="L8" s="102" t="b">
        <v>0</v>
      </c>
    </row>
    <row r="9" spans="1:12" ht="15">
      <c r="A9" s="104" t="s">
        <v>1209</v>
      </c>
      <c r="B9" s="102" t="s">
        <v>1206</v>
      </c>
      <c r="C9" s="102">
        <v>10</v>
      </c>
      <c r="D9" s="106">
        <v>0.0058561118676104746</v>
      </c>
      <c r="E9" s="106">
        <v>0.8230584711522236</v>
      </c>
      <c r="F9" s="102" t="s">
        <v>1450</v>
      </c>
      <c r="G9" s="102" t="b">
        <v>0</v>
      </c>
      <c r="H9" s="102" t="b">
        <v>0</v>
      </c>
      <c r="I9" s="102" t="b">
        <v>0</v>
      </c>
      <c r="J9" s="102" t="b">
        <v>0</v>
      </c>
      <c r="K9" s="102" t="b">
        <v>0</v>
      </c>
      <c r="L9" s="102" t="b">
        <v>0</v>
      </c>
    </row>
    <row r="10" spans="1:12" ht="15">
      <c r="A10" s="104" t="s">
        <v>1214</v>
      </c>
      <c r="B10" s="102" t="s">
        <v>1215</v>
      </c>
      <c r="C10" s="102">
        <v>10</v>
      </c>
      <c r="D10" s="106">
        <v>0.0073441494141452315</v>
      </c>
      <c r="E10" s="106">
        <v>1.5881266567484977</v>
      </c>
      <c r="F10" s="102" t="s">
        <v>1450</v>
      </c>
      <c r="G10" s="102" t="b">
        <v>0</v>
      </c>
      <c r="H10" s="102" t="b">
        <v>0</v>
      </c>
      <c r="I10" s="102" t="b">
        <v>0</v>
      </c>
      <c r="J10" s="102" t="b">
        <v>0</v>
      </c>
      <c r="K10" s="102" t="b">
        <v>0</v>
      </c>
      <c r="L10" s="102" t="b">
        <v>0</v>
      </c>
    </row>
    <row r="11" spans="1:12" ht="15">
      <c r="A11" s="104" t="s">
        <v>1210</v>
      </c>
      <c r="B11" s="102" t="s">
        <v>1208</v>
      </c>
      <c r="C11" s="102">
        <v>10</v>
      </c>
      <c r="D11" s="106">
        <v>0.0073441494141452315</v>
      </c>
      <c r="E11" s="106">
        <v>1.0723186102465352</v>
      </c>
      <c r="F11" s="102" t="s">
        <v>1450</v>
      </c>
      <c r="G11" s="102" t="b">
        <v>0</v>
      </c>
      <c r="H11" s="102" t="b">
        <v>0</v>
      </c>
      <c r="I11" s="102" t="b">
        <v>0</v>
      </c>
      <c r="J11" s="102" t="b">
        <v>0</v>
      </c>
      <c r="K11" s="102" t="b">
        <v>0</v>
      </c>
      <c r="L11" s="102" t="b">
        <v>0</v>
      </c>
    </row>
    <row r="12" spans="1:12" ht="15">
      <c r="A12" s="104" t="s">
        <v>1207</v>
      </c>
      <c r="B12" s="102" t="s">
        <v>1217</v>
      </c>
      <c r="C12" s="102">
        <v>9</v>
      </c>
      <c r="D12" s="106">
        <v>0.005959634462298605</v>
      </c>
      <c r="E12" s="106">
        <v>1.3082859601544545</v>
      </c>
      <c r="F12" s="102" t="s">
        <v>1450</v>
      </c>
      <c r="G12" s="102" t="b">
        <v>0</v>
      </c>
      <c r="H12" s="102" t="b">
        <v>0</v>
      </c>
      <c r="I12" s="102" t="b">
        <v>0</v>
      </c>
      <c r="J12" s="102" t="b">
        <v>0</v>
      </c>
      <c r="K12" s="102" t="b">
        <v>0</v>
      </c>
      <c r="L12" s="102" t="b">
        <v>0</v>
      </c>
    </row>
    <row r="13" spans="1:12" ht="15">
      <c r="A13" s="104" t="s">
        <v>1205</v>
      </c>
      <c r="B13" s="102" t="s">
        <v>1235</v>
      </c>
      <c r="C13" s="102">
        <v>8</v>
      </c>
      <c r="D13" s="106">
        <v>0.005068122368069817</v>
      </c>
      <c r="E13" s="106">
        <v>1.2634736157380924</v>
      </c>
      <c r="F13" s="102" t="s">
        <v>1450</v>
      </c>
      <c r="G13" s="102" t="b">
        <v>0</v>
      </c>
      <c r="H13" s="102" t="b">
        <v>0</v>
      </c>
      <c r="I13" s="102" t="b">
        <v>0</v>
      </c>
      <c r="J13" s="102" t="b">
        <v>0</v>
      </c>
      <c r="K13" s="102" t="b">
        <v>0</v>
      </c>
      <c r="L13" s="102" t="b">
        <v>0</v>
      </c>
    </row>
    <row r="14" spans="1:12" ht="15">
      <c r="A14" s="104" t="s">
        <v>1207</v>
      </c>
      <c r="B14" s="102" t="s">
        <v>1212</v>
      </c>
      <c r="C14" s="102">
        <v>8</v>
      </c>
      <c r="D14" s="106">
        <v>0.005068122368069817</v>
      </c>
      <c r="E14" s="106">
        <v>1.0652479114681601</v>
      </c>
      <c r="F14" s="102" t="s">
        <v>1450</v>
      </c>
      <c r="G14" s="102" t="b">
        <v>0</v>
      </c>
      <c r="H14" s="102" t="b">
        <v>0</v>
      </c>
      <c r="I14" s="102" t="b">
        <v>0</v>
      </c>
      <c r="J14" s="102" t="b">
        <v>0</v>
      </c>
      <c r="K14" s="102" t="b">
        <v>0</v>
      </c>
      <c r="L14" s="102" t="b">
        <v>0</v>
      </c>
    </row>
    <row r="15" spans="1:12" ht="15">
      <c r="A15" s="104" t="s">
        <v>1207</v>
      </c>
      <c r="B15" s="102" t="s">
        <v>1204</v>
      </c>
      <c r="C15" s="102">
        <v>8</v>
      </c>
      <c r="D15" s="106">
        <v>0.005068122368069817</v>
      </c>
      <c r="E15" s="106">
        <v>0.45932749932695965</v>
      </c>
      <c r="F15" s="102" t="s">
        <v>1450</v>
      </c>
      <c r="G15" s="102" t="b">
        <v>0</v>
      </c>
      <c r="H15" s="102" t="b">
        <v>0</v>
      </c>
      <c r="I15" s="102" t="b">
        <v>0</v>
      </c>
      <c r="J15" s="102" t="b">
        <v>0</v>
      </c>
      <c r="K15" s="102" t="b">
        <v>0</v>
      </c>
      <c r="L15" s="102" t="b">
        <v>0</v>
      </c>
    </row>
    <row r="16" spans="1:12" ht="15">
      <c r="A16" s="104" t="s">
        <v>1216</v>
      </c>
      <c r="B16" s="102" t="s">
        <v>1226</v>
      </c>
      <c r="C16" s="102">
        <v>8</v>
      </c>
      <c r="D16" s="106">
        <v>0.005068122368069817</v>
      </c>
      <c r="E16" s="106">
        <v>1.8115517945998092</v>
      </c>
      <c r="F16" s="102" t="s">
        <v>1450</v>
      </c>
      <c r="G16" s="102" t="b">
        <v>0</v>
      </c>
      <c r="H16" s="102" t="b">
        <v>0</v>
      </c>
      <c r="I16" s="102" t="b">
        <v>0</v>
      </c>
      <c r="J16" s="102" t="b">
        <v>0</v>
      </c>
      <c r="K16" s="102" t="b">
        <v>0</v>
      </c>
      <c r="L16" s="102" t="b">
        <v>0</v>
      </c>
    </row>
    <row r="17" spans="1:12" ht="15">
      <c r="A17" s="104" t="s">
        <v>1226</v>
      </c>
      <c r="B17" s="102" t="s">
        <v>1239</v>
      </c>
      <c r="C17" s="102">
        <v>8</v>
      </c>
      <c r="D17" s="106">
        <v>0.005068122368069817</v>
      </c>
      <c r="E17" s="106">
        <v>2.230681102341785</v>
      </c>
      <c r="F17" s="102" t="s">
        <v>1450</v>
      </c>
      <c r="G17" s="102" t="b">
        <v>0</v>
      </c>
      <c r="H17" s="102" t="b">
        <v>0</v>
      </c>
      <c r="I17" s="102" t="b">
        <v>0</v>
      </c>
      <c r="J17" s="102" t="b">
        <v>0</v>
      </c>
      <c r="K17" s="102" t="b">
        <v>0</v>
      </c>
      <c r="L17" s="102" t="b">
        <v>0</v>
      </c>
    </row>
    <row r="18" spans="1:12" ht="15">
      <c r="A18" s="104" t="s">
        <v>1220</v>
      </c>
      <c r="B18" s="102" t="s">
        <v>1231</v>
      </c>
      <c r="C18" s="102">
        <v>7</v>
      </c>
      <c r="D18" s="106">
        <v>0.006517859637209749</v>
      </c>
      <c r="E18" s="106">
        <v>2.016801282396704</v>
      </c>
      <c r="F18" s="102" t="s">
        <v>1450</v>
      </c>
      <c r="G18" s="102" t="b">
        <v>0</v>
      </c>
      <c r="H18" s="102" t="b">
        <v>0</v>
      </c>
      <c r="I18" s="102" t="b">
        <v>0</v>
      </c>
      <c r="J18" s="102" t="b">
        <v>0</v>
      </c>
      <c r="K18" s="102" t="b">
        <v>0</v>
      </c>
      <c r="L18" s="102" t="b">
        <v>0</v>
      </c>
    </row>
    <row r="19" spans="1:12" ht="15">
      <c r="A19" s="104" t="s">
        <v>1211</v>
      </c>
      <c r="B19" s="102" t="s">
        <v>1206</v>
      </c>
      <c r="C19" s="102">
        <v>7</v>
      </c>
      <c r="D19" s="106">
        <v>0.00463527124845447</v>
      </c>
      <c r="E19" s="106">
        <v>0.7892002038912562</v>
      </c>
      <c r="F19" s="102" t="s">
        <v>1450</v>
      </c>
      <c r="G19" s="102" t="b">
        <v>0</v>
      </c>
      <c r="H19" s="102" t="b">
        <v>0</v>
      </c>
      <c r="I19" s="102" t="b">
        <v>0</v>
      </c>
      <c r="J19" s="102" t="b">
        <v>0</v>
      </c>
      <c r="K19" s="102" t="b">
        <v>0</v>
      </c>
      <c r="L19" s="102" t="b">
        <v>0</v>
      </c>
    </row>
    <row r="20" spans="1:12" ht="15">
      <c r="A20" s="104" t="s">
        <v>1204</v>
      </c>
      <c r="B20" s="102" t="s">
        <v>1214</v>
      </c>
      <c r="C20" s="102">
        <v>7</v>
      </c>
      <c r="D20" s="106">
        <v>0.0054762333546354205</v>
      </c>
      <c r="E20" s="106">
        <v>0.8662641278134109</v>
      </c>
      <c r="F20" s="102" t="s">
        <v>1450</v>
      </c>
      <c r="G20" s="102" t="b">
        <v>0</v>
      </c>
      <c r="H20" s="102" t="b">
        <v>0</v>
      </c>
      <c r="I20" s="102" t="b">
        <v>0</v>
      </c>
      <c r="J20" s="102" t="b">
        <v>0</v>
      </c>
      <c r="K20" s="102" t="b">
        <v>0</v>
      </c>
      <c r="L20" s="102" t="b">
        <v>0</v>
      </c>
    </row>
    <row r="21" spans="1:12" ht="15">
      <c r="A21" s="104" t="s">
        <v>1204</v>
      </c>
      <c r="B21" s="102" t="s">
        <v>1218</v>
      </c>
      <c r="C21" s="102">
        <v>6</v>
      </c>
      <c r="D21" s="106">
        <v>0.004171646605340451</v>
      </c>
      <c r="E21" s="106">
        <v>0.9406464909792668</v>
      </c>
      <c r="F21" s="102" t="s">
        <v>1450</v>
      </c>
      <c r="G21" s="102" t="b">
        <v>0</v>
      </c>
      <c r="H21" s="102" t="b">
        <v>0</v>
      </c>
      <c r="I21" s="102" t="b">
        <v>0</v>
      </c>
      <c r="J21" s="102" t="b">
        <v>0</v>
      </c>
      <c r="K21" s="102" t="b">
        <v>0</v>
      </c>
      <c r="L21" s="102" t="b">
        <v>0</v>
      </c>
    </row>
    <row r="22" spans="1:12" ht="15">
      <c r="A22" s="104" t="s">
        <v>1205</v>
      </c>
      <c r="B22" s="102" t="s">
        <v>1212</v>
      </c>
      <c r="C22" s="102">
        <v>6</v>
      </c>
      <c r="D22" s="106">
        <v>0.004171646605340451</v>
      </c>
      <c r="E22" s="106">
        <v>0.5944668347795168</v>
      </c>
      <c r="F22" s="102" t="s">
        <v>1450</v>
      </c>
      <c r="G22" s="102" t="b">
        <v>0</v>
      </c>
      <c r="H22" s="102" t="b">
        <v>0</v>
      </c>
      <c r="I22" s="102" t="b">
        <v>0</v>
      </c>
      <c r="J22" s="102" t="b">
        <v>0</v>
      </c>
      <c r="K22" s="102" t="b">
        <v>0</v>
      </c>
      <c r="L22" s="102" t="b">
        <v>0</v>
      </c>
    </row>
    <row r="23" spans="1:12" ht="15">
      <c r="A23" s="104" t="s">
        <v>1210</v>
      </c>
      <c r="B23" s="102" t="s">
        <v>1207</v>
      </c>
      <c r="C23" s="102">
        <v>6</v>
      </c>
      <c r="D23" s="106">
        <v>0.004171646605340451</v>
      </c>
      <c r="E23" s="106">
        <v>0.8504698606301789</v>
      </c>
      <c r="F23" s="102" t="s">
        <v>1450</v>
      </c>
      <c r="G23" s="102" t="b">
        <v>0</v>
      </c>
      <c r="H23" s="102" t="b">
        <v>0</v>
      </c>
      <c r="I23" s="102" t="b">
        <v>0</v>
      </c>
      <c r="J23" s="102" t="b">
        <v>0</v>
      </c>
      <c r="K23" s="102" t="b">
        <v>0</v>
      </c>
      <c r="L23" s="102" t="b">
        <v>0</v>
      </c>
    </row>
    <row r="24" spans="1:12" ht="15">
      <c r="A24" s="104" t="s">
        <v>1249</v>
      </c>
      <c r="B24" s="102" t="s">
        <v>1240</v>
      </c>
      <c r="C24" s="102">
        <v>6</v>
      </c>
      <c r="D24" s="106">
        <v>0.004171646605340451</v>
      </c>
      <c r="E24" s="106">
        <v>2.3689838005080666</v>
      </c>
      <c r="F24" s="102" t="s">
        <v>1450</v>
      </c>
      <c r="G24" s="102" t="b">
        <v>0</v>
      </c>
      <c r="H24" s="102" t="b">
        <v>0</v>
      </c>
      <c r="I24" s="102" t="b">
        <v>0</v>
      </c>
      <c r="J24" s="102" t="b">
        <v>0</v>
      </c>
      <c r="K24" s="102" t="b">
        <v>0</v>
      </c>
      <c r="L24" s="102" t="b">
        <v>0</v>
      </c>
    </row>
    <row r="25" spans="1:12" ht="15">
      <c r="A25" s="104" t="s">
        <v>1250</v>
      </c>
      <c r="B25" s="102" t="s">
        <v>1251</v>
      </c>
      <c r="C25" s="102">
        <v>6</v>
      </c>
      <c r="D25" s="106">
        <v>0.005064469133261304</v>
      </c>
      <c r="E25" s="106">
        <v>2.4939225371163665</v>
      </c>
      <c r="F25" s="102" t="s">
        <v>1450</v>
      </c>
      <c r="G25" s="102" t="b">
        <v>0</v>
      </c>
      <c r="H25" s="102" t="b">
        <v>0</v>
      </c>
      <c r="I25" s="102" t="b">
        <v>0</v>
      </c>
      <c r="J25" s="102" t="b">
        <v>0</v>
      </c>
      <c r="K25" s="102" t="b">
        <v>0</v>
      </c>
      <c r="L25" s="102" t="b">
        <v>0</v>
      </c>
    </row>
    <row r="26" spans="1:12" ht="15">
      <c r="A26" s="104" t="s">
        <v>1253</v>
      </c>
      <c r="B26" s="102" t="s">
        <v>1245</v>
      </c>
      <c r="C26" s="102">
        <v>6</v>
      </c>
      <c r="D26" s="106">
        <v>0.0064795593598149254</v>
      </c>
      <c r="E26" s="106">
        <v>2.426975747485753</v>
      </c>
      <c r="F26" s="102" t="s">
        <v>1450</v>
      </c>
      <c r="G26" s="102" t="b">
        <v>0</v>
      </c>
      <c r="H26" s="102" t="b">
        <v>0</v>
      </c>
      <c r="I26" s="102" t="b">
        <v>0</v>
      </c>
      <c r="J26" s="102" t="b">
        <v>0</v>
      </c>
      <c r="K26" s="102" t="b">
        <v>0</v>
      </c>
      <c r="L26" s="102" t="b">
        <v>0</v>
      </c>
    </row>
    <row r="27" spans="1:12" ht="15">
      <c r="A27" s="104" t="s">
        <v>1204</v>
      </c>
      <c r="B27" s="102" t="s">
        <v>1207</v>
      </c>
      <c r="C27" s="102">
        <v>6</v>
      </c>
      <c r="D27" s="106">
        <v>0.004171646605340451</v>
      </c>
      <c r="E27" s="106">
        <v>0.4111371667999162</v>
      </c>
      <c r="F27" s="102" t="s">
        <v>1450</v>
      </c>
      <c r="G27" s="102" t="b">
        <v>0</v>
      </c>
      <c r="H27" s="102" t="b">
        <v>0</v>
      </c>
      <c r="I27" s="102" t="b">
        <v>0</v>
      </c>
      <c r="J27" s="102" t="b">
        <v>0</v>
      </c>
      <c r="K27" s="102" t="b">
        <v>0</v>
      </c>
      <c r="L27" s="102" t="b">
        <v>0</v>
      </c>
    </row>
    <row r="28" spans="1:12" ht="15">
      <c r="A28" s="104" t="s">
        <v>1232</v>
      </c>
      <c r="B28" s="102" t="s">
        <v>1204</v>
      </c>
      <c r="C28" s="102">
        <v>6</v>
      </c>
      <c r="D28" s="106">
        <v>0.005064469133261304</v>
      </c>
      <c r="E28" s="106">
        <v>1.0940566074082902</v>
      </c>
      <c r="F28" s="102" t="s">
        <v>1450</v>
      </c>
      <c r="G28" s="102" t="b">
        <v>0</v>
      </c>
      <c r="H28" s="102" t="b">
        <v>0</v>
      </c>
      <c r="I28" s="102" t="b">
        <v>0</v>
      </c>
      <c r="J28" s="102" t="b">
        <v>0</v>
      </c>
      <c r="K28" s="102" t="b">
        <v>0</v>
      </c>
      <c r="L28" s="102" t="b">
        <v>0</v>
      </c>
    </row>
    <row r="29" spans="1:12" ht="15">
      <c r="A29" s="104" t="s">
        <v>1258</v>
      </c>
      <c r="B29" s="102" t="s">
        <v>1233</v>
      </c>
      <c r="C29" s="102">
        <v>6</v>
      </c>
      <c r="D29" s="106">
        <v>0.0064795593598149254</v>
      </c>
      <c r="E29" s="106">
        <v>2.317831278060685</v>
      </c>
      <c r="F29" s="102" t="s">
        <v>1450</v>
      </c>
      <c r="G29" s="102" t="b">
        <v>0</v>
      </c>
      <c r="H29" s="102" t="b">
        <v>0</v>
      </c>
      <c r="I29" s="102" t="b">
        <v>0</v>
      </c>
      <c r="J29" s="102" t="b">
        <v>0</v>
      </c>
      <c r="K29" s="102" t="b">
        <v>0</v>
      </c>
      <c r="L29" s="102" t="b">
        <v>0</v>
      </c>
    </row>
    <row r="30" spans="1:12" ht="15">
      <c r="A30" s="104" t="s">
        <v>1223</v>
      </c>
      <c r="B30" s="102" t="s">
        <v>1205</v>
      </c>
      <c r="C30" s="102">
        <v>5</v>
      </c>
      <c r="D30" s="106">
        <v>0.0036720747070726157</v>
      </c>
      <c r="E30" s="106">
        <v>0.9253297328951611</v>
      </c>
      <c r="F30" s="102" t="s">
        <v>1450</v>
      </c>
      <c r="G30" s="102" t="b">
        <v>0</v>
      </c>
      <c r="H30" s="102" t="b">
        <v>0</v>
      </c>
      <c r="I30" s="102" t="b">
        <v>0</v>
      </c>
      <c r="J30" s="102" t="b">
        <v>0</v>
      </c>
      <c r="K30" s="102" t="b">
        <v>0</v>
      </c>
      <c r="L30" s="102" t="b">
        <v>0</v>
      </c>
    </row>
    <row r="31" spans="1:12" ht="15">
      <c r="A31" s="104" t="s">
        <v>1246</v>
      </c>
      <c r="B31" s="102" t="s">
        <v>1261</v>
      </c>
      <c r="C31" s="102">
        <v>5</v>
      </c>
      <c r="D31" s="106">
        <v>0.004220390944384421</v>
      </c>
      <c r="E31" s="106">
        <v>2.4939225371163665</v>
      </c>
      <c r="F31" s="102" t="s">
        <v>1450</v>
      </c>
      <c r="G31" s="102" t="b">
        <v>0</v>
      </c>
      <c r="H31" s="102" t="b">
        <v>0</v>
      </c>
      <c r="I31" s="102" t="b">
        <v>0</v>
      </c>
      <c r="J31" s="102" t="b">
        <v>0</v>
      </c>
      <c r="K31" s="102" t="b">
        <v>0</v>
      </c>
      <c r="L31" s="102" t="b">
        <v>0</v>
      </c>
    </row>
    <row r="32" spans="1:12" ht="15">
      <c r="A32" s="104" t="s">
        <v>1204</v>
      </c>
      <c r="B32" s="102" t="s">
        <v>1206</v>
      </c>
      <c r="C32" s="102">
        <v>5</v>
      </c>
      <c r="D32" s="106">
        <v>0.0036720747070726157</v>
      </c>
      <c r="E32" s="106">
        <v>0.09459500495768747</v>
      </c>
      <c r="F32" s="102" t="s">
        <v>1450</v>
      </c>
      <c r="G32" s="102" t="b">
        <v>0</v>
      </c>
      <c r="H32" s="102" t="b">
        <v>0</v>
      </c>
      <c r="I32" s="102" t="b">
        <v>0</v>
      </c>
      <c r="J32" s="102" t="b">
        <v>0</v>
      </c>
      <c r="K32" s="102" t="b">
        <v>0</v>
      </c>
      <c r="L32" s="102" t="b">
        <v>0</v>
      </c>
    </row>
    <row r="33" spans="1:12" ht="15">
      <c r="A33" s="104" t="s">
        <v>1263</v>
      </c>
      <c r="B33" s="102" t="s">
        <v>1216</v>
      </c>
      <c r="C33" s="102">
        <v>5</v>
      </c>
      <c r="D33" s="106">
        <v>0.003911595253311015</v>
      </c>
      <c r="E33" s="106">
        <v>1.9498544927660906</v>
      </c>
      <c r="F33" s="102" t="s">
        <v>1450</v>
      </c>
      <c r="G33" s="102" t="b">
        <v>0</v>
      </c>
      <c r="H33" s="102" t="b">
        <v>0</v>
      </c>
      <c r="I33" s="102" t="b">
        <v>0</v>
      </c>
      <c r="J33" s="102" t="b">
        <v>0</v>
      </c>
      <c r="K33" s="102" t="b">
        <v>0</v>
      </c>
      <c r="L33" s="102" t="b">
        <v>0</v>
      </c>
    </row>
    <row r="34" spans="1:12" ht="15">
      <c r="A34" s="104" t="s">
        <v>1206</v>
      </c>
      <c r="B34" s="102" t="s">
        <v>1217</v>
      </c>
      <c r="C34" s="102">
        <v>5</v>
      </c>
      <c r="D34" s="106">
        <v>0.0036720747070726157</v>
      </c>
      <c r="E34" s="106">
        <v>0.7966931943566488</v>
      </c>
      <c r="F34" s="102" t="s">
        <v>1450</v>
      </c>
      <c r="G34" s="102" t="b">
        <v>0</v>
      </c>
      <c r="H34" s="102" t="b">
        <v>0</v>
      </c>
      <c r="I34" s="102" t="b">
        <v>0</v>
      </c>
      <c r="J34" s="102" t="b">
        <v>0</v>
      </c>
      <c r="K34" s="102" t="b">
        <v>0</v>
      </c>
      <c r="L34" s="102" t="b">
        <v>0</v>
      </c>
    </row>
    <row r="35" spans="1:12" ht="15">
      <c r="A35" s="104" t="s">
        <v>1210</v>
      </c>
      <c r="B35" s="102" t="s">
        <v>1214</v>
      </c>
      <c r="C35" s="102">
        <v>5</v>
      </c>
      <c r="D35" s="106">
        <v>0.0036720747070726157</v>
      </c>
      <c r="E35" s="106">
        <v>1.1594687859654356</v>
      </c>
      <c r="F35" s="102" t="s">
        <v>1450</v>
      </c>
      <c r="G35" s="102" t="b">
        <v>0</v>
      </c>
      <c r="H35" s="102" t="b">
        <v>0</v>
      </c>
      <c r="I35" s="102" t="b">
        <v>0</v>
      </c>
      <c r="J35" s="102" t="b">
        <v>0</v>
      </c>
      <c r="K35" s="102" t="b">
        <v>0</v>
      </c>
      <c r="L35" s="102" t="b">
        <v>0</v>
      </c>
    </row>
    <row r="36" spans="1:12" ht="15">
      <c r="A36" s="104" t="s">
        <v>1208</v>
      </c>
      <c r="B36" s="102" t="s">
        <v>1205</v>
      </c>
      <c r="C36" s="102">
        <v>5</v>
      </c>
      <c r="D36" s="106">
        <v>0.0036720747070726157</v>
      </c>
      <c r="E36" s="106">
        <v>0.3332539624737996</v>
      </c>
      <c r="F36" s="102" t="s">
        <v>1450</v>
      </c>
      <c r="G36" s="102" t="b">
        <v>0</v>
      </c>
      <c r="H36" s="102" t="b">
        <v>0</v>
      </c>
      <c r="I36" s="102" t="b">
        <v>0</v>
      </c>
      <c r="J36" s="102" t="b">
        <v>0</v>
      </c>
      <c r="K36" s="102" t="b">
        <v>0</v>
      </c>
      <c r="L36" s="102" t="b">
        <v>0</v>
      </c>
    </row>
    <row r="37" spans="1:12" ht="15">
      <c r="A37" s="104" t="s">
        <v>1208</v>
      </c>
      <c r="B37" s="102" t="s">
        <v>1215</v>
      </c>
      <c r="C37" s="102">
        <v>5</v>
      </c>
      <c r="D37" s="106">
        <v>0.0036720747070726157</v>
      </c>
      <c r="E37" s="106">
        <v>1.015356041522523</v>
      </c>
      <c r="F37" s="102" t="s">
        <v>1450</v>
      </c>
      <c r="G37" s="102" t="b">
        <v>0</v>
      </c>
      <c r="H37" s="102" t="b">
        <v>0</v>
      </c>
      <c r="I37" s="102" t="b">
        <v>0</v>
      </c>
      <c r="J37" s="102" t="b">
        <v>0</v>
      </c>
      <c r="K37" s="102" t="b">
        <v>0</v>
      </c>
      <c r="L37" s="102" t="b">
        <v>0</v>
      </c>
    </row>
    <row r="38" spans="1:12" ht="15">
      <c r="A38" s="104" t="s">
        <v>1267</v>
      </c>
      <c r="B38" s="102" t="s">
        <v>1210</v>
      </c>
      <c r="C38" s="102">
        <v>5</v>
      </c>
      <c r="D38" s="106">
        <v>0.0036720747070726157</v>
      </c>
      <c r="E38" s="106">
        <v>1.7157712867327226</v>
      </c>
      <c r="F38" s="102" t="s">
        <v>1450</v>
      </c>
      <c r="G38" s="102" t="b">
        <v>0</v>
      </c>
      <c r="H38" s="102" t="b">
        <v>0</v>
      </c>
      <c r="I38" s="102" t="b">
        <v>0</v>
      </c>
      <c r="J38" s="102" t="b">
        <v>0</v>
      </c>
      <c r="K38" s="102" t="b">
        <v>0</v>
      </c>
      <c r="L38" s="102" t="b">
        <v>0</v>
      </c>
    </row>
    <row r="39" spans="1:12" ht="15">
      <c r="A39" s="104" t="s">
        <v>1204</v>
      </c>
      <c r="B39" s="102" t="s">
        <v>1244</v>
      </c>
      <c r="C39" s="102">
        <v>5</v>
      </c>
      <c r="D39" s="106">
        <v>0.0036720747070726157</v>
      </c>
      <c r="E39" s="106">
        <v>1.197257346854835</v>
      </c>
      <c r="F39" s="102" t="s">
        <v>1450</v>
      </c>
      <c r="G39" s="102" t="b">
        <v>0</v>
      </c>
      <c r="H39" s="102" t="b">
        <v>0</v>
      </c>
      <c r="I39" s="102" t="b">
        <v>0</v>
      </c>
      <c r="J39" s="102" t="b">
        <v>1</v>
      </c>
      <c r="K39" s="102" t="b">
        <v>0</v>
      </c>
      <c r="L39" s="102" t="b">
        <v>0</v>
      </c>
    </row>
    <row r="40" spans="1:12" ht="15">
      <c r="A40" s="104" t="s">
        <v>1268</v>
      </c>
      <c r="B40" s="102" t="s">
        <v>1269</v>
      </c>
      <c r="C40" s="102">
        <v>5</v>
      </c>
      <c r="D40" s="106">
        <v>0.005399632799845771</v>
      </c>
      <c r="E40" s="106">
        <v>2.573103783163991</v>
      </c>
      <c r="F40" s="102" t="s">
        <v>1450</v>
      </c>
      <c r="G40" s="102" t="b">
        <v>0</v>
      </c>
      <c r="H40" s="102" t="b">
        <v>0</v>
      </c>
      <c r="I40" s="102" t="b">
        <v>0</v>
      </c>
      <c r="J40" s="102" t="b">
        <v>0</v>
      </c>
      <c r="K40" s="102" t="b">
        <v>0</v>
      </c>
      <c r="L40" s="102" t="b">
        <v>0</v>
      </c>
    </row>
    <row r="41" spans="1:12" ht="15">
      <c r="A41" s="104" t="s">
        <v>1269</v>
      </c>
      <c r="B41" s="102" t="s">
        <v>1204</v>
      </c>
      <c r="C41" s="102">
        <v>5</v>
      </c>
      <c r="D41" s="106">
        <v>0.005399632799845771</v>
      </c>
      <c r="E41" s="106">
        <v>1.2189953440165902</v>
      </c>
      <c r="F41" s="102" t="s">
        <v>1450</v>
      </c>
      <c r="G41" s="102" t="b">
        <v>0</v>
      </c>
      <c r="H41" s="102" t="b">
        <v>0</v>
      </c>
      <c r="I41" s="102" t="b">
        <v>0</v>
      </c>
      <c r="J41" s="102" t="b">
        <v>0</v>
      </c>
      <c r="K41" s="102" t="b">
        <v>0</v>
      </c>
      <c r="L41" s="102" t="b">
        <v>0</v>
      </c>
    </row>
    <row r="42" spans="1:12" ht="15">
      <c r="A42" s="104" t="s">
        <v>1229</v>
      </c>
      <c r="B42" s="102" t="s">
        <v>1260</v>
      </c>
      <c r="C42" s="102">
        <v>4</v>
      </c>
      <c r="D42" s="106">
        <v>0.004319706239876616</v>
      </c>
      <c r="E42" s="106">
        <v>2.2209212650526284</v>
      </c>
      <c r="F42" s="102" t="s">
        <v>1450</v>
      </c>
      <c r="G42" s="102" t="b">
        <v>0</v>
      </c>
      <c r="H42" s="102" t="b">
        <v>0</v>
      </c>
      <c r="I42" s="102" t="b">
        <v>0</v>
      </c>
      <c r="J42" s="102" t="b">
        <v>0</v>
      </c>
      <c r="K42" s="102" t="b">
        <v>0</v>
      </c>
      <c r="L42" s="102" t="b">
        <v>0</v>
      </c>
    </row>
    <row r="43" spans="1:12" ht="15">
      <c r="A43" s="104" t="s">
        <v>1204</v>
      </c>
      <c r="B43" s="102" t="s">
        <v>1205</v>
      </c>
      <c r="C43" s="102">
        <v>4</v>
      </c>
      <c r="D43" s="106">
        <v>0.003129276202648811</v>
      </c>
      <c r="E43" s="106">
        <v>-0.12582278955222026</v>
      </c>
      <c r="F43" s="102" t="s">
        <v>1450</v>
      </c>
      <c r="G43" s="102" t="b">
        <v>0</v>
      </c>
      <c r="H43" s="102" t="b">
        <v>0</v>
      </c>
      <c r="I43" s="102" t="b">
        <v>0</v>
      </c>
      <c r="J43" s="102" t="b">
        <v>0</v>
      </c>
      <c r="K43" s="102" t="b">
        <v>0</v>
      </c>
      <c r="L43" s="102" t="b">
        <v>0</v>
      </c>
    </row>
    <row r="44" spans="1:12" ht="15">
      <c r="A44" s="104" t="s">
        <v>1212</v>
      </c>
      <c r="B44" s="102" t="s">
        <v>1243</v>
      </c>
      <c r="C44" s="102">
        <v>4</v>
      </c>
      <c r="D44" s="106">
        <v>0.003129276202648811</v>
      </c>
      <c r="E44" s="106">
        <v>1.6866130579915093</v>
      </c>
      <c r="F44" s="102" t="s">
        <v>1450</v>
      </c>
      <c r="G44" s="102" t="b">
        <v>0</v>
      </c>
      <c r="H44" s="102" t="b">
        <v>0</v>
      </c>
      <c r="I44" s="102" t="b">
        <v>0</v>
      </c>
      <c r="J44" s="102" t="b">
        <v>0</v>
      </c>
      <c r="K44" s="102" t="b">
        <v>0</v>
      </c>
      <c r="L44" s="102" t="b">
        <v>0</v>
      </c>
    </row>
    <row r="45" spans="1:12" ht="15">
      <c r="A45" s="104" t="s">
        <v>1285</v>
      </c>
      <c r="B45" s="102" t="s">
        <v>1210</v>
      </c>
      <c r="C45" s="102">
        <v>4</v>
      </c>
      <c r="D45" s="106">
        <v>0.003129276202648811</v>
      </c>
      <c r="E45" s="106">
        <v>1.7157712867327226</v>
      </c>
      <c r="F45" s="102" t="s">
        <v>1450</v>
      </c>
      <c r="G45" s="102" t="b">
        <v>0</v>
      </c>
      <c r="H45" s="102" t="b">
        <v>0</v>
      </c>
      <c r="I45" s="102" t="b">
        <v>0</v>
      </c>
      <c r="J45" s="102" t="b">
        <v>0</v>
      </c>
      <c r="K45" s="102" t="b">
        <v>0</v>
      </c>
      <c r="L45" s="102" t="b">
        <v>0</v>
      </c>
    </row>
    <row r="46" spans="1:12" ht="15">
      <c r="A46" s="104" t="s">
        <v>1288</v>
      </c>
      <c r="B46" s="102" t="s">
        <v>1289</v>
      </c>
      <c r="C46" s="102">
        <v>4</v>
      </c>
      <c r="D46" s="106">
        <v>0.004319706239876616</v>
      </c>
      <c r="E46" s="106">
        <v>2.6700137961720474</v>
      </c>
      <c r="F46" s="102" t="s">
        <v>1450</v>
      </c>
      <c r="G46" s="102" t="b">
        <v>0</v>
      </c>
      <c r="H46" s="102" t="b">
        <v>0</v>
      </c>
      <c r="I46" s="102" t="b">
        <v>0</v>
      </c>
      <c r="J46" s="102" t="b">
        <v>0</v>
      </c>
      <c r="K46" s="102" t="b">
        <v>0</v>
      </c>
      <c r="L46" s="102" t="b">
        <v>0</v>
      </c>
    </row>
    <row r="47" spans="1:12" ht="15">
      <c r="A47" s="104" t="s">
        <v>1214</v>
      </c>
      <c r="B47" s="102" t="s">
        <v>1205</v>
      </c>
      <c r="C47" s="102">
        <v>4</v>
      </c>
      <c r="D47" s="106">
        <v>0.003724491221262714</v>
      </c>
      <c r="E47" s="106">
        <v>0.5080845690277368</v>
      </c>
      <c r="F47" s="102" t="s">
        <v>1450</v>
      </c>
      <c r="G47" s="102" t="b">
        <v>0</v>
      </c>
      <c r="H47" s="102" t="b">
        <v>0</v>
      </c>
      <c r="I47" s="102" t="b">
        <v>0</v>
      </c>
      <c r="J47" s="102" t="b">
        <v>0</v>
      </c>
      <c r="K47" s="102" t="b">
        <v>0</v>
      </c>
      <c r="L47" s="102" t="b">
        <v>0</v>
      </c>
    </row>
    <row r="48" spans="1:12" ht="15">
      <c r="A48" s="104" t="s">
        <v>1208</v>
      </c>
      <c r="B48" s="102" t="s">
        <v>1232</v>
      </c>
      <c r="C48" s="102">
        <v>4</v>
      </c>
      <c r="D48" s="106">
        <v>0.0033763127555075357</v>
      </c>
      <c r="E48" s="106">
        <v>1.2864228138090608</v>
      </c>
      <c r="F48" s="102" t="s">
        <v>1450</v>
      </c>
      <c r="G48" s="102" t="b">
        <v>0</v>
      </c>
      <c r="H48" s="102" t="b">
        <v>0</v>
      </c>
      <c r="I48" s="102" t="b">
        <v>0</v>
      </c>
      <c r="J48" s="102" t="b">
        <v>0</v>
      </c>
      <c r="K48" s="102" t="b">
        <v>0</v>
      </c>
      <c r="L48" s="102" t="b">
        <v>0</v>
      </c>
    </row>
    <row r="49" spans="1:12" ht="15">
      <c r="A49" s="104" t="s">
        <v>1208</v>
      </c>
      <c r="B49" s="102" t="s">
        <v>1293</v>
      </c>
      <c r="C49" s="102">
        <v>4</v>
      </c>
      <c r="D49" s="106">
        <v>0.003129276202648811</v>
      </c>
      <c r="E49" s="106">
        <v>1.6386053319204235</v>
      </c>
      <c r="F49" s="102" t="s">
        <v>1450</v>
      </c>
      <c r="G49" s="102" t="b">
        <v>0</v>
      </c>
      <c r="H49" s="102" t="b">
        <v>0</v>
      </c>
      <c r="I49" s="102" t="b">
        <v>0</v>
      </c>
      <c r="J49" s="102" t="b">
        <v>0</v>
      </c>
      <c r="K49" s="102" t="b">
        <v>0</v>
      </c>
      <c r="L49" s="102" t="b">
        <v>0</v>
      </c>
    </row>
    <row r="50" spans="1:12" ht="15">
      <c r="A50" s="104" t="s">
        <v>1293</v>
      </c>
      <c r="B50" s="102" t="s">
        <v>1210</v>
      </c>
      <c r="C50" s="102">
        <v>4</v>
      </c>
      <c r="D50" s="106">
        <v>0.003129276202648811</v>
      </c>
      <c r="E50" s="106">
        <v>1.7157712867327226</v>
      </c>
      <c r="F50" s="102" t="s">
        <v>1450</v>
      </c>
      <c r="G50" s="102" t="b">
        <v>0</v>
      </c>
      <c r="H50" s="102" t="b">
        <v>0</v>
      </c>
      <c r="I50" s="102" t="b">
        <v>0</v>
      </c>
      <c r="J50" s="102" t="b">
        <v>0</v>
      </c>
      <c r="K50" s="102" t="b">
        <v>0</v>
      </c>
      <c r="L50" s="102" t="b">
        <v>0</v>
      </c>
    </row>
    <row r="51" spans="1:12" ht="15">
      <c r="A51" s="104" t="s">
        <v>1210</v>
      </c>
      <c r="B51" s="102" t="s">
        <v>1267</v>
      </c>
      <c r="C51" s="102">
        <v>4</v>
      </c>
      <c r="D51" s="106">
        <v>0.003129276202648811</v>
      </c>
      <c r="E51" s="106">
        <v>1.6188612737246661</v>
      </c>
      <c r="F51" s="102" t="s">
        <v>1450</v>
      </c>
      <c r="G51" s="102" t="b">
        <v>0</v>
      </c>
      <c r="H51" s="102" t="b">
        <v>0</v>
      </c>
      <c r="I51" s="102" t="b">
        <v>0</v>
      </c>
      <c r="J51" s="102" t="b">
        <v>0</v>
      </c>
      <c r="K51" s="102" t="b">
        <v>0</v>
      </c>
      <c r="L51" s="102" t="b">
        <v>0</v>
      </c>
    </row>
    <row r="52" spans="1:12" ht="15">
      <c r="A52" s="104" t="s">
        <v>1217</v>
      </c>
      <c r="B52" s="102" t="s">
        <v>1208</v>
      </c>
      <c r="C52" s="102">
        <v>4</v>
      </c>
      <c r="D52" s="106">
        <v>0.003129276202648811</v>
      </c>
      <c r="E52" s="106">
        <v>1.0545898432861036</v>
      </c>
      <c r="F52" s="102" t="s">
        <v>1450</v>
      </c>
      <c r="G52" s="102" t="b">
        <v>0</v>
      </c>
      <c r="H52" s="102" t="b">
        <v>0</v>
      </c>
      <c r="I52" s="102" t="b">
        <v>0</v>
      </c>
      <c r="J52" s="102" t="b">
        <v>0</v>
      </c>
      <c r="K52" s="102" t="b">
        <v>0</v>
      </c>
      <c r="L52" s="102" t="b">
        <v>0</v>
      </c>
    </row>
    <row r="53" spans="1:12" ht="15">
      <c r="A53" s="104" t="s">
        <v>1204</v>
      </c>
      <c r="B53" s="102" t="s">
        <v>1212</v>
      </c>
      <c r="C53" s="102">
        <v>4</v>
      </c>
      <c r="D53" s="106">
        <v>0.003129276202648811</v>
      </c>
      <c r="E53" s="106">
        <v>0.4313405528882031</v>
      </c>
      <c r="F53" s="102" t="s">
        <v>1450</v>
      </c>
      <c r="G53" s="102" t="b">
        <v>0</v>
      </c>
      <c r="H53" s="102" t="b">
        <v>0</v>
      </c>
      <c r="I53" s="102" t="b">
        <v>0</v>
      </c>
      <c r="J53" s="102" t="b">
        <v>0</v>
      </c>
      <c r="K53" s="102" t="b">
        <v>0</v>
      </c>
      <c r="L53" s="102" t="b">
        <v>0</v>
      </c>
    </row>
    <row r="54" spans="1:12" ht="15">
      <c r="A54" s="104" t="s">
        <v>1214</v>
      </c>
      <c r="B54" s="102" t="s">
        <v>1207</v>
      </c>
      <c r="C54" s="102">
        <v>4</v>
      </c>
      <c r="D54" s="106">
        <v>0.004319706239876616</v>
      </c>
      <c r="E54" s="106">
        <v>0.8689532663241919</v>
      </c>
      <c r="F54" s="102" t="s">
        <v>1450</v>
      </c>
      <c r="G54" s="102" t="b">
        <v>0</v>
      </c>
      <c r="H54" s="102" t="b">
        <v>0</v>
      </c>
      <c r="I54" s="102" t="b">
        <v>0</v>
      </c>
      <c r="J54" s="102" t="b">
        <v>0</v>
      </c>
      <c r="K54" s="102" t="b">
        <v>0</v>
      </c>
      <c r="L54" s="102" t="b">
        <v>0</v>
      </c>
    </row>
    <row r="55" spans="1:12" ht="15">
      <c r="A55" s="104" t="s">
        <v>1296</v>
      </c>
      <c r="B55" s="102" t="s">
        <v>1205</v>
      </c>
      <c r="C55" s="102">
        <v>4</v>
      </c>
      <c r="D55" s="106">
        <v>0.003129276202648811</v>
      </c>
      <c r="E55" s="106">
        <v>1.2677524137173672</v>
      </c>
      <c r="F55" s="102" t="s">
        <v>1450</v>
      </c>
      <c r="G55" s="102" t="b">
        <v>0</v>
      </c>
      <c r="H55" s="102" t="b">
        <v>0</v>
      </c>
      <c r="I55" s="102" t="b">
        <v>0</v>
      </c>
      <c r="J55" s="102" t="b">
        <v>0</v>
      </c>
      <c r="K55" s="102" t="b">
        <v>0</v>
      </c>
      <c r="L55" s="102" t="b">
        <v>0</v>
      </c>
    </row>
    <row r="56" spans="1:12" ht="15">
      <c r="A56" s="104" t="s">
        <v>1211</v>
      </c>
      <c r="B56" s="102" t="s">
        <v>1255</v>
      </c>
      <c r="C56" s="102">
        <v>4</v>
      </c>
      <c r="D56" s="106">
        <v>0.003129276202648811</v>
      </c>
      <c r="E56" s="106">
        <v>1.6488244971021093</v>
      </c>
      <c r="F56" s="102" t="s">
        <v>1450</v>
      </c>
      <c r="G56" s="102" t="b">
        <v>0</v>
      </c>
      <c r="H56" s="102" t="b">
        <v>0</v>
      </c>
      <c r="I56" s="102" t="b">
        <v>0</v>
      </c>
      <c r="J56" s="102" t="b">
        <v>0</v>
      </c>
      <c r="K56" s="102" t="b">
        <v>0</v>
      </c>
      <c r="L56" s="102" t="b">
        <v>0</v>
      </c>
    </row>
    <row r="57" spans="1:12" ht="15">
      <c r="A57" s="104" t="s">
        <v>1257</v>
      </c>
      <c r="B57" s="102" t="s">
        <v>1258</v>
      </c>
      <c r="C57" s="102">
        <v>4</v>
      </c>
      <c r="D57" s="106">
        <v>0.004319706239876616</v>
      </c>
      <c r="E57" s="106">
        <v>2.317831278060685</v>
      </c>
      <c r="F57" s="102" t="s">
        <v>1450</v>
      </c>
      <c r="G57" s="102" t="b">
        <v>0</v>
      </c>
      <c r="H57" s="102" t="b">
        <v>0</v>
      </c>
      <c r="I57" s="102" t="b">
        <v>0</v>
      </c>
      <c r="J57" s="102" t="b">
        <v>0</v>
      </c>
      <c r="K57" s="102" t="b">
        <v>0</v>
      </c>
      <c r="L57" s="102" t="b">
        <v>0</v>
      </c>
    </row>
    <row r="58" spans="1:12" ht="15">
      <c r="A58" s="104" t="s">
        <v>1204</v>
      </c>
      <c r="B58" s="102" t="s">
        <v>1223</v>
      </c>
      <c r="C58" s="102">
        <v>3</v>
      </c>
      <c r="D58" s="106">
        <v>0.0027933684159470356</v>
      </c>
      <c r="E58" s="106">
        <v>0.7121671624638973</v>
      </c>
      <c r="F58" s="102" t="s">
        <v>1450</v>
      </c>
      <c r="G58" s="102" t="b">
        <v>0</v>
      </c>
      <c r="H58" s="102" t="b">
        <v>0</v>
      </c>
      <c r="I58" s="102" t="b">
        <v>0</v>
      </c>
      <c r="J58" s="102" t="b">
        <v>0</v>
      </c>
      <c r="K58" s="102" t="b">
        <v>0</v>
      </c>
      <c r="L58" s="102" t="b">
        <v>0</v>
      </c>
    </row>
    <row r="59" spans="1:12" ht="15">
      <c r="A59" s="104" t="s">
        <v>1223</v>
      </c>
      <c r="B59" s="102" t="s">
        <v>1234</v>
      </c>
      <c r="C59" s="102">
        <v>3</v>
      </c>
      <c r="D59" s="106">
        <v>0.002532234566630652</v>
      </c>
      <c r="E59" s="106">
        <v>1.8047123700695038</v>
      </c>
      <c r="F59" s="102" t="s">
        <v>1450</v>
      </c>
      <c r="G59" s="102" t="b">
        <v>0</v>
      </c>
      <c r="H59" s="102" t="b">
        <v>0</v>
      </c>
      <c r="I59" s="102" t="b">
        <v>0</v>
      </c>
      <c r="J59" s="102" t="b">
        <v>0</v>
      </c>
      <c r="K59" s="102" t="b">
        <v>0</v>
      </c>
      <c r="L59" s="102" t="b">
        <v>0</v>
      </c>
    </row>
    <row r="60" spans="1:12" ht="15">
      <c r="A60" s="104" t="s">
        <v>1205</v>
      </c>
      <c r="B60" s="102" t="s">
        <v>1205</v>
      </c>
      <c r="C60" s="102">
        <v>3</v>
      </c>
      <c r="D60" s="106">
        <v>0.002532234566630652</v>
      </c>
      <c r="E60" s="106">
        <v>-0.26372650332488784</v>
      </c>
      <c r="F60" s="102" t="s">
        <v>1450</v>
      </c>
      <c r="G60" s="102" t="b">
        <v>0</v>
      </c>
      <c r="H60" s="102" t="b">
        <v>0</v>
      </c>
      <c r="I60" s="102" t="b">
        <v>0</v>
      </c>
      <c r="J60" s="102" t="b">
        <v>0</v>
      </c>
      <c r="K60" s="102" t="b">
        <v>0</v>
      </c>
      <c r="L60" s="102" t="b">
        <v>0</v>
      </c>
    </row>
    <row r="61" spans="1:12" ht="15">
      <c r="A61" s="104" t="s">
        <v>1278</v>
      </c>
      <c r="B61" s="102" t="s">
        <v>1309</v>
      </c>
      <c r="C61" s="102">
        <v>3</v>
      </c>
      <c r="D61" s="106">
        <v>0.002532234566630652</v>
      </c>
      <c r="E61" s="106">
        <v>2.6700137961720474</v>
      </c>
      <c r="F61" s="102" t="s">
        <v>1450</v>
      </c>
      <c r="G61" s="102" t="b">
        <v>0</v>
      </c>
      <c r="H61" s="102" t="b">
        <v>0</v>
      </c>
      <c r="I61" s="102" t="b">
        <v>0</v>
      </c>
      <c r="J61" s="102" t="b">
        <v>0</v>
      </c>
      <c r="K61" s="102" t="b">
        <v>0</v>
      </c>
      <c r="L61" s="102" t="b">
        <v>0</v>
      </c>
    </row>
    <row r="62" spans="1:12" ht="15">
      <c r="A62" s="104" t="s">
        <v>1207</v>
      </c>
      <c r="B62" s="102" t="s">
        <v>1274</v>
      </c>
      <c r="C62" s="102">
        <v>3</v>
      </c>
      <c r="D62" s="106">
        <v>0.002532234566630652</v>
      </c>
      <c r="E62" s="106">
        <v>1.4843772192101359</v>
      </c>
      <c r="F62" s="102" t="s">
        <v>1450</v>
      </c>
      <c r="G62" s="102" t="b">
        <v>0</v>
      </c>
      <c r="H62" s="102" t="b">
        <v>0</v>
      </c>
      <c r="I62" s="102" t="b">
        <v>0</v>
      </c>
      <c r="J62" s="102" t="b">
        <v>0</v>
      </c>
      <c r="K62" s="102" t="b">
        <v>0</v>
      </c>
      <c r="L62" s="102" t="b">
        <v>0</v>
      </c>
    </row>
    <row r="63" spans="1:12" ht="15">
      <c r="A63" s="104" t="s">
        <v>1238</v>
      </c>
      <c r="B63" s="102" t="s">
        <v>1282</v>
      </c>
      <c r="C63" s="102">
        <v>3</v>
      </c>
      <c r="D63" s="106">
        <v>0.002532234566630652</v>
      </c>
      <c r="E63" s="106">
        <v>2.2440450638997667</v>
      </c>
      <c r="F63" s="102" t="s">
        <v>1450</v>
      </c>
      <c r="G63" s="102" t="b">
        <v>0</v>
      </c>
      <c r="H63" s="102" t="b">
        <v>0</v>
      </c>
      <c r="I63" s="102" t="b">
        <v>0</v>
      </c>
      <c r="J63" s="102" t="b">
        <v>0</v>
      </c>
      <c r="K63" s="102" t="b">
        <v>0</v>
      </c>
      <c r="L63" s="102" t="b">
        <v>0</v>
      </c>
    </row>
    <row r="64" spans="1:12" ht="15">
      <c r="A64" s="104" t="s">
        <v>1247</v>
      </c>
      <c r="B64" s="102" t="s">
        <v>1216</v>
      </c>
      <c r="C64" s="102">
        <v>3</v>
      </c>
      <c r="D64" s="106">
        <v>0.002532234566630652</v>
      </c>
      <c r="E64" s="106">
        <v>1.7280057431497342</v>
      </c>
      <c r="F64" s="102" t="s">
        <v>1450</v>
      </c>
      <c r="G64" s="102" t="b">
        <v>0</v>
      </c>
      <c r="H64" s="102" t="b">
        <v>0</v>
      </c>
      <c r="I64" s="102" t="b">
        <v>0</v>
      </c>
      <c r="J64" s="102" t="b">
        <v>0</v>
      </c>
      <c r="K64" s="102" t="b">
        <v>0</v>
      </c>
      <c r="L64" s="102" t="b">
        <v>0</v>
      </c>
    </row>
    <row r="65" spans="1:12" ht="15">
      <c r="A65" s="104" t="s">
        <v>1283</v>
      </c>
      <c r="B65" s="102" t="s">
        <v>1314</v>
      </c>
      <c r="C65" s="102">
        <v>3</v>
      </c>
      <c r="D65" s="106">
        <v>0.002532234566630652</v>
      </c>
      <c r="E65" s="106">
        <v>2.6700137961720474</v>
      </c>
      <c r="F65" s="102" t="s">
        <v>1450</v>
      </c>
      <c r="G65" s="102" t="b">
        <v>0</v>
      </c>
      <c r="H65" s="102" t="b">
        <v>0</v>
      </c>
      <c r="I65" s="102" t="b">
        <v>0</v>
      </c>
      <c r="J65" s="102" t="b">
        <v>0</v>
      </c>
      <c r="K65" s="102" t="b">
        <v>0</v>
      </c>
      <c r="L65" s="102" t="b">
        <v>0</v>
      </c>
    </row>
    <row r="66" spans="1:12" ht="15">
      <c r="A66" s="104" t="s">
        <v>1241</v>
      </c>
      <c r="B66" s="102" t="s">
        <v>1241</v>
      </c>
      <c r="C66" s="102">
        <v>3</v>
      </c>
      <c r="D66" s="106">
        <v>0.002532234566630652</v>
      </c>
      <c r="E66" s="106">
        <v>2.14713505089171</v>
      </c>
      <c r="F66" s="102" t="s">
        <v>1450</v>
      </c>
      <c r="G66" s="102" t="b">
        <v>0</v>
      </c>
      <c r="H66" s="102" t="b">
        <v>0</v>
      </c>
      <c r="I66" s="102" t="b">
        <v>0</v>
      </c>
      <c r="J66" s="102" t="b">
        <v>0</v>
      </c>
      <c r="K66" s="102" t="b">
        <v>0</v>
      </c>
      <c r="L66" s="102" t="b">
        <v>0</v>
      </c>
    </row>
    <row r="67" spans="1:12" ht="15">
      <c r="A67" s="104" t="s">
        <v>1241</v>
      </c>
      <c r="B67" s="102" t="s">
        <v>1242</v>
      </c>
      <c r="C67" s="102">
        <v>3</v>
      </c>
      <c r="D67" s="106">
        <v>0.002532234566630652</v>
      </c>
      <c r="E67" s="106">
        <v>1.9430150682357852</v>
      </c>
      <c r="F67" s="102" t="s">
        <v>1450</v>
      </c>
      <c r="G67" s="102" t="b">
        <v>0</v>
      </c>
      <c r="H67" s="102" t="b">
        <v>0</v>
      </c>
      <c r="I67" s="102" t="b">
        <v>0</v>
      </c>
      <c r="J67" s="102" t="b">
        <v>0</v>
      </c>
      <c r="K67" s="102" t="b">
        <v>0</v>
      </c>
      <c r="L67" s="102" t="b">
        <v>0</v>
      </c>
    </row>
    <row r="68" spans="1:12" ht="15">
      <c r="A68" s="104" t="s">
        <v>1242</v>
      </c>
      <c r="B68" s="102" t="s">
        <v>1284</v>
      </c>
      <c r="C68" s="102">
        <v>3</v>
      </c>
      <c r="D68" s="106">
        <v>0.002532234566630652</v>
      </c>
      <c r="E68" s="106">
        <v>2.302037010877453</v>
      </c>
      <c r="F68" s="102" t="s">
        <v>1450</v>
      </c>
      <c r="G68" s="102" t="b">
        <v>0</v>
      </c>
      <c r="H68" s="102" t="b">
        <v>0</v>
      </c>
      <c r="I68" s="102" t="b">
        <v>0</v>
      </c>
      <c r="J68" s="102" t="b">
        <v>0</v>
      </c>
      <c r="K68" s="102" t="b">
        <v>0</v>
      </c>
      <c r="L68" s="102" t="b">
        <v>0</v>
      </c>
    </row>
    <row r="69" spans="1:12" ht="15">
      <c r="A69" s="104" t="s">
        <v>1284</v>
      </c>
      <c r="B69" s="102" t="s">
        <v>1285</v>
      </c>
      <c r="C69" s="102">
        <v>3</v>
      </c>
      <c r="D69" s="106">
        <v>0.002532234566630652</v>
      </c>
      <c r="E69" s="106">
        <v>2.5450750595637475</v>
      </c>
      <c r="F69" s="102" t="s">
        <v>1450</v>
      </c>
      <c r="G69" s="102" t="b">
        <v>0</v>
      </c>
      <c r="H69" s="102" t="b">
        <v>0</v>
      </c>
      <c r="I69" s="102" t="b">
        <v>0</v>
      </c>
      <c r="J69" s="102" t="b">
        <v>0</v>
      </c>
      <c r="K69" s="102" t="b">
        <v>0</v>
      </c>
      <c r="L69" s="102" t="b">
        <v>0</v>
      </c>
    </row>
    <row r="70" spans="1:12" ht="15">
      <c r="A70" s="104" t="s">
        <v>1205</v>
      </c>
      <c r="B70" s="102" t="s">
        <v>1206</v>
      </c>
      <c r="C70" s="102">
        <v>3</v>
      </c>
      <c r="D70" s="106">
        <v>0.0027933684159470356</v>
      </c>
      <c r="E70" s="106">
        <v>-0.14021872182303646</v>
      </c>
      <c r="F70" s="102" t="s">
        <v>1450</v>
      </c>
      <c r="G70" s="102" t="b">
        <v>0</v>
      </c>
      <c r="H70" s="102" t="b">
        <v>0</v>
      </c>
      <c r="I70" s="102" t="b">
        <v>0</v>
      </c>
      <c r="J70" s="102" t="b">
        <v>0</v>
      </c>
      <c r="K70" s="102" t="b">
        <v>0</v>
      </c>
      <c r="L70" s="102" t="b">
        <v>0</v>
      </c>
    </row>
    <row r="71" spans="1:12" ht="15">
      <c r="A71" s="104" t="s">
        <v>1252</v>
      </c>
      <c r="B71" s="102" t="s">
        <v>1264</v>
      </c>
      <c r="C71" s="102">
        <v>3</v>
      </c>
      <c r="D71" s="106">
        <v>0.002532234566630652</v>
      </c>
      <c r="E71" s="106">
        <v>2.27207378750001</v>
      </c>
      <c r="F71" s="102" t="s">
        <v>1450</v>
      </c>
      <c r="G71" s="102" t="b">
        <v>0</v>
      </c>
      <c r="H71" s="102" t="b">
        <v>0</v>
      </c>
      <c r="I71" s="102" t="b">
        <v>0</v>
      </c>
      <c r="J71" s="102" t="b">
        <v>0</v>
      </c>
      <c r="K71" s="102" t="b">
        <v>0</v>
      </c>
      <c r="L71" s="102" t="b">
        <v>0</v>
      </c>
    </row>
    <row r="72" spans="1:12" ht="15">
      <c r="A72" s="104" t="s">
        <v>1218</v>
      </c>
      <c r="B72" s="102" t="s">
        <v>1205</v>
      </c>
      <c r="C72" s="102">
        <v>3</v>
      </c>
      <c r="D72" s="106">
        <v>0.002532234566630652</v>
      </c>
      <c r="E72" s="106">
        <v>0.5987456327587918</v>
      </c>
      <c r="F72" s="102" t="s">
        <v>1450</v>
      </c>
      <c r="G72" s="102" t="b">
        <v>0</v>
      </c>
      <c r="H72" s="102" t="b">
        <v>0</v>
      </c>
      <c r="I72" s="102" t="b">
        <v>0</v>
      </c>
      <c r="J72" s="102" t="b">
        <v>0</v>
      </c>
      <c r="K72" s="102" t="b">
        <v>0</v>
      </c>
      <c r="L72" s="102" t="b">
        <v>0</v>
      </c>
    </row>
    <row r="73" spans="1:12" ht="15">
      <c r="A73" s="104" t="s">
        <v>1204</v>
      </c>
      <c r="B73" s="102" t="s">
        <v>1222</v>
      </c>
      <c r="C73" s="102">
        <v>3</v>
      </c>
      <c r="D73" s="106">
        <v>0.0027933684159470356</v>
      </c>
      <c r="E73" s="106">
        <v>0.7121671624638973</v>
      </c>
      <c r="F73" s="102" t="s">
        <v>1450</v>
      </c>
      <c r="G73" s="102" t="b">
        <v>0</v>
      </c>
      <c r="H73" s="102" t="b">
        <v>0</v>
      </c>
      <c r="I73" s="102" t="b">
        <v>0</v>
      </c>
      <c r="J73" s="102" t="b">
        <v>0</v>
      </c>
      <c r="K73" s="102" t="b">
        <v>0</v>
      </c>
      <c r="L73" s="102" t="b">
        <v>0</v>
      </c>
    </row>
    <row r="74" spans="1:12" ht="15">
      <c r="A74" s="104" t="s">
        <v>1225</v>
      </c>
      <c r="B74" s="102" t="s">
        <v>1323</v>
      </c>
      <c r="C74" s="102">
        <v>3</v>
      </c>
      <c r="D74" s="106">
        <v>0.002532234566630652</v>
      </c>
      <c r="E74" s="106">
        <v>2.27207378750001</v>
      </c>
      <c r="F74" s="102" t="s">
        <v>1450</v>
      </c>
      <c r="G74" s="102" t="b">
        <v>0</v>
      </c>
      <c r="H74" s="102" t="b">
        <v>0</v>
      </c>
      <c r="I74" s="102" t="b">
        <v>0</v>
      </c>
      <c r="J74" s="102" t="b">
        <v>0</v>
      </c>
      <c r="K74" s="102" t="b">
        <v>0</v>
      </c>
      <c r="L74" s="102" t="b">
        <v>0</v>
      </c>
    </row>
    <row r="75" spans="1:12" ht="15">
      <c r="A75" s="104" t="s">
        <v>1244</v>
      </c>
      <c r="B75" s="102" t="s">
        <v>1204</v>
      </c>
      <c r="C75" s="102">
        <v>3</v>
      </c>
      <c r="D75" s="106">
        <v>0.002532234566630652</v>
      </c>
      <c r="E75" s="106">
        <v>0.8510185587219958</v>
      </c>
      <c r="F75" s="102" t="s">
        <v>1450</v>
      </c>
      <c r="G75" s="102" t="b">
        <v>1</v>
      </c>
      <c r="H75" s="102" t="b">
        <v>0</v>
      </c>
      <c r="I75" s="102" t="b">
        <v>0</v>
      </c>
      <c r="J75" s="102" t="b">
        <v>0</v>
      </c>
      <c r="K75" s="102" t="b">
        <v>0</v>
      </c>
      <c r="L75" s="102" t="b">
        <v>0</v>
      </c>
    </row>
    <row r="76" spans="1:12" ht="15">
      <c r="A76" s="104" t="s">
        <v>1210</v>
      </c>
      <c r="B76" s="102" t="s">
        <v>1215</v>
      </c>
      <c r="C76" s="102">
        <v>3</v>
      </c>
      <c r="D76" s="106">
        <v>0.002532234566630652</v>
      </c>
      <c r="E76" s="106">
        <v>0.8706732467184658</v>
      </c>
      <c r="F76" s="102" t="s">
        <v>1450</v>
      </c>
      <c r="G76" s="102" t="b">
        <v>0</v>
      </c>
      <c r="H76" s="102" t="b">
        <v>0</v>
      </c>
      <c r="I76" s="102" t="b">
        <v>0</v>
      </c>
      <c r="J76" s="102" t="b">
        <v>0</v>
      </c>
      <c r="K76" s="102" t="b">
        <v>0</v>
      </c>
      <c r="L76" s="102" t="b">
        <v>0</v>
      </c>
    </row>
    <row r="77" spans="1:12" ht="15">
      <c r="A77" s="104" t="s">
        <v>1207</v>
      </c>
      <c r="B77" s="102" t="s">
        <v>1327</v>
      </c>
      <c r="C77" s="102">
        <v>3</v>
      </c>
      <c r="D77" s="106">
        <v>0.0032397796799074627</v>
      </c>
      <c r="E77" s="106">
        <v>1.6093159558184358</v>
      </c>
      <c r="F77" s="102" t="s">
        <v>1450</v>
      </c>
      <c r="G77" s="102" t="b">
        <v>0</v>
      </c>
      <c r="H77" s="102" t="b">
        <v>0</v>
      </c>
      <c r="I77" s="102" t="b">
        <v>0</v>
      </c>
      <c r="J77" s="102" t="b">
        <v>0</v>
      </c>
      <c r="K77" s="102" t="b">
        <v>0</v>
      </c>
      <c r="L77" s="102" t="b">
        <v>0</v>
      </c>
    </row>
    <row r="78" spans="1:12" ht="15">
      <c r="A78" s="104" t="s">
        <v>1207</v>
      </c>
      <c r="B78" s="102" t="s">
        <v>1294</v>
      </c>
      <c r="C78" s="102">
        <v>3</v>
      </c>
      <c r="D78" s="106">
        <v>0.0032397796799074627</v>
      </c>
      <c r="E78" s="106">
        <v>1.4843772192101359</v>
      </c>
      <c r="F78" s="102" t="s">
        <v>1450</v>
      </c>
      <c r="G78" s="102" t="b">
        <v>0</v>
      </c>
      <c r="H78" s="102" t="b">
        <v>0</v>
      </c>
      <c r="I78" s="102" t="b">
        <v>0</v>
      </c>
      <c r="J78" s="102" t="b">
        <v>0</v>
      </c>
      <c r="K78" s="102" t="b">
        <v>0</v>
      </c>
      <c r="L78" s="102" t="b">
        <v>0</v>
      </c>
    </row>
    <row r="79" spans="1:12" ht="15">
      <c r="A79" s="104" t="s">
        <v>1294</v>
      </c>
      <c r="B79" s="102" t="s">
        <v>1277</v>
      </c>
      <c r="C79" s="102">
        <v>3</v>
      </c>
      <c r="D79" s="106">
        <v>0.0032397796799074627</v>
      </c>
      <c r="E79" s="106">
        <v>2.5450750595637475</v>
      </c>
      <c r="F79" s="102" t="s">
        <v>1450</v>
      </c>
      <c r="G79" s="102" t="b">
        <v>0</v>
      </c>
      <c r="H79" s="102" t="b">
        <v>0</v>
      </c>
      <c r="I79" s="102" t="b">
        <v>0</v>
      </c>
      <c r="J79" s="102" t="b">
        <v>0</v>
      </c>
      <c r="K79" s="102" t="b">
        <v>0</v>
      </c>
      <c r="L79" s="102" t="b">
        <v>0</v>
      </c>
    </row>
    <row r="80" spans="1:12" ht="15">
      <c r="A80" s="104" t="s">
        <v>1213</v>
      </c>
      <c r="B80" s="102" t="s">
        <v>1218</v>
      </c>
      <c r="C80" s="102">
        <v>3</v>
      </c>
      <c r="D80" s="106">
        <v>0.002532234566630652</v>
      </c>
      <c r="E80" s="106">
        <v>1.2550404482012296</v>
      </c>
      <c r="F80" s="102" t="s">
        <v>1450</v>
      </c>
      <c r="G80" s="102" t="b">
        <v>0</v>
      </c>
      <c r="H80" s="102" t="b">
        <v>0</v>
      </c>
      <c r="I80" s="102" t="b">
        <v>0</v>
      </c>
      <c r="J80" s="102" t="b">
        <v>0</v>
      </c>
      <c r="K80" s="102" t="b">
        <v>0</v>
      </c>
      <c r="L80" s="102" t="b">
        <v>0</v>
      </c>
    </row>
    <row r="81" spans="1:12" ht="15">
      <c r="A81" s="104" t="s">
        <v>1218</v>
      </c>
      <c r="B81" s="102" t="s">
        <v>1206</v>
      </c>
      <c r="C81" s="102">
        <v>3</v>
      </c>
      <c r="D81" s="106">
        <v>0.002532234566630652</v>
      </c>
      <c r="E81" s="106">
        <v>0.722253414260643</v>
      </c>
      <c r="F81" s="102" t="s">
        <v>1450</v>
      </c>
      <c r="G81" s="102" t="b">
        <v>0</v>
      </c>
      <c r="H81" s="102" t="b">
        <v>0</v>
      </c>
      <c r="I81" s="102" t="b">
        <v>0</v>
      </c>
      <c r="J81" s="102" t="b">
        <v>0</v>
      </c>
      <c r="K81" s="102" t="b">
        <v>0</v>
      </c>
      <c r="L81" s="102" t="b">
        <v>0</v>
      </c>
    </row>
    <row r="82" spans="1:12" ht="15">
      <c r="A82" s="104" t="s">
        <v>1227</v>
      </c>
      <c r="B82" s="102" t="s">
        <v>1254</v>
      </c>
      <c r="C82" s="102">
        <v>3</v>
      </c>
      <c r="D82" s="106">
        <v>0.0032397796799074627</v>
      </c>
      <c r="E82" s="106">
        <v>2.016801282396704</v>
      </c>
      <c r="F82" s="102" t="s">
        <v>1450</v>
      </c>
      <c r="G82" s="102" t="b">
        <v>0</v>
      </c>
      <c r="H82" s="102" t="b">
        <v>0</v>
      </c>
      <c r="I82" s="102" t="b">
        <v>0</v>
      </c>
      <c r="J82" s="102" t="b">
        <v>0</v>
      </c>
      <c r="K82" s="102" t="b">
        <v>0</v>
      </c>
      <c r="L82" s="102" t="b">
        <v>0</v>
      </c>
    </row>
    <row r="83" spans="1:12" ht="15">
      <c r="A83" s="104" t="s">
        <v>1270</v>
      </c>
      <c r="B83" s="102" t="s">
        <v>1254</v>
      </c>
      <c r="C83" s="102">
        <v>3</v>
      </c>
      <c r="D83" s="106">
        <v>0.0032397796799074627</v>
      </c>
      <c r="E83" s="106">
        <v>2.27207378750001</v>
      </c>
      <c r="F83" s="102" t="s">
        <v>1450</v>
      </c>
      <c r="G83" s="102" t="b">
        <v>0</v>
      </c>
      <c r="H83" s="102" t="b">
        <v>0</v>
      </c>
      <c r="I83" s="102" t="b">
        <v>0</v>
      </c>
      <c r="J83" s="102" t="b">
        <v>0</v>
      </c>
      <c r="K83" s="102" t="b">
        <v>0</v>
      </c>
      <c r="L83" s="102" t="b">
        <v>0</v>
      </c>
    </row>
    <row r="84" spans="1:12" ht="15">
      <c r="A84" s="104" t="s">
        <v>1271</v>
      </c>
      <c r="B84" s="102" t="s">
        <v>1227</v>
      </c>
      <c r="C84" s="102">
        <v>3</v>
      </c>
      <c r="D84" s="106">
        <v>0.0032397796799074627</v>
      </c>
      <c r="E84" s="106">
        <v>2.0959825284443285</v>
      </c>
      <c r="F84" s="102" t="s">
        <v>1450</v>
      </c>
      <c r="G84" s="102" t="b">
        <v>0</v>
      </c>
      <c r="H84" s="102" t="b">
        <v>0</v>
      </c>
      <c r="I84" s="102" t="b">
        <v>0</v>
      </c>
      <c r="J84" s="102" t="b">
        <v>0</v>
      </c>
      <c r="K84" s="102" t="b">
        <v>0</v>
      </c>
      <c r="L84" s="102" t="b">
        <v>0</v>
      </c>
    </row>
    <row r="85" spans="1:12" ht="15">
      <c r="A85" s="104" t="s">
        <v>1255</v>
      </c>
      <c r="B85" s="102" t="s">
        <v>1334</v>
      </c>
      <c r="C85" s="102">
        <v>3</v>
      </c>
      <c r="D85" s="106">
        <v>0.002532234566630652</v>
      </c>
      <c r="E85" s="106">
        <v>2.4939225371163665</v>
      </c>
      <c r="F85" s="102" t="s">
        <v>1450</v>
      </c>
      <c r="G85" s="102" t="b">
        <v>0</v>
      </c>
      <c r="H85" s="102" t="b">
        <v>0</v>
      </c>
      <c r="I85" s="102" t="b">
        <v>0</v>
      </c>
      <c r="J85" s="102" t="b">
        <v>0</v>
      </c>
      <c r="K85" s="102" t="b">
        <v>0</v>
      </c>
      <c r="L85" s="102" t="b">
        <v>0</v>
      </c>
    </row>
    <row r="86" spans="1:12" ht="15">
      <c r="A86" s="104" t="s">
        <v>1209</v>
      </c>
      <c r="B86" s="102" t="s">
        <v>1208</v>
      </c>
      <c r="C86" s="102">
        <v>3</v>
      </c>
      <c r="D86" s="106">
        <v>0.002532234566630652</v>
      </c>
      <c r="E86" s="106">
        <v>0.53754064166649</v>
      </c>
      <c r="F86" s="102" t="s">
        <v>1450</v>
      </c>
      <c r="G86" s="102" t="b">
        <v>0</v>
      </c>
      <c r="H86" s="102" t="b">
        <v>0</v>
      </c>
      <c r="I86" s="102" t="b">
        <v>0</v>
      </c>
      <c r="J86" s="102" t="b">
        <v>0</v>
      </c>
      <c r="K86" s="102" t="b">
        <v>0</v>
      </c>
      <c r="L86" s="102" t="b">
        <v>0</v>
      </c>
    </row>
    <row r="87" spans="1:12" ht="15">
      <c r="A87" s="104" t="s">
        <v>1221</v>
      </c>
      <c r="B87" s="102" t="s">
        <v>1206</v>
      </c>
      <c r="C87" s="102">
        <v>3</v>
      </c>
      <c r="D87" s="106">
        <v>0.002532234566630652</v>
      </c>
      <c r="E87" s="106">
        <v>0.826988764780656</v>
      </c>
      <c r="F87" s="102" t="s">
        <v>1450</v>
      </c>
      <c r="G87" s="102" t="b">
        <v>0</v>
      </c>
      <c r="H87" s="102" t="b">
        <v>0</v>
      </c>
      <c r="I87" s="102" t="b">
        <v>0</v>
      </c>
      <c r="J87" s="102" t="b">
        <v>0</v>
      </c>
      <c r="K87" s="102" t="b">
        <v>0</v>
      </c>
      <c r="L87" s="102" t="b">
        <v>0</v>
      </c>
    </row>
    <row r="88" spans="1:12" ht="15">
      <c r="A88" s="104" t="s">
        <v>1236</v>
      </c>
      <c r="B88" s="102" t="s">
        <v>1206</v>
      </c>
      <c r="C88" s="102">
        <v>3</v>
      </c>
      <c r="D88" s="106">
        <v>0.002532234566630652</v>
      </c>
      <c r="E88" s="106">
        <v>0.9652914629469376</v>
      </c>
      <c r="F88" s="102" t="s">
        <v>1450</v>
      </c>
      <c r="G88" s="102" t="b">
        <v>0</v>
      </c>
      <c r="H88" s="102" t="b">
        <v>0</v>
      </c>
      <c r="I88" s="102" t="b">
        <v>0</v>
      </c>
      <c r="J88" s="102" t="b">
        <v>0</v>
      </c>
      <c r="K88" s="102" t="b">
        <v>0</v>
      </c>
      <c r="L88" s="102" t="b">
        <v>0</v>
      </c>
    </row>
    <row r="89" spans="1:12" ht="15">
      <c r="A89" s="104" t="s">
        <v>1204</v>
      </c>
      <c r="B89" s="102" t="s">
        <v>1256</v>
      </c>
      <c r="C89" s="102">
        <v>3</v>
      </c>
      <c r="D89" s="106">
        <v>0.0027933684159470356</v>
      </c>
      <c r="E89" s="106">
        <v>0.9754085972384787</v>
      </c>
      <c r="F89" s="102" t="s">
        <v>1450</v>
      </c>
      <c r="G89" s="102" t="b">
        <v>0</v>
      </c>
      <c r="H89" s="102" t="b">
        <v>0</v>
      </c>
      <c r="I89" s="102" t="b">
        <v>0</v>
      </c>
      <c r="J89" s="102" t="b">
        <v>0</v>
      </c>
      <c r="K89" s="102" t="b">
        <v>0</v>
      </c>
      <c r="L89" s="102" t="b">
        <v>0</v>
      </c>
    </row>
    <row r="90" spans="1:12" ht="15">
      <c r="A90" s="104" t="s">
        <v>1255</v>
      </c>
      <c r="B90" s="102" t="s">
        <v>1299</v>
      </c>
      <c r="C90" s="102">
        <v>3</v>
      </c>
      <c r="D90" s="106">
        <v>0.002532234566630652</v>
      </c>
      <c r="E90" s="106">
        <v>2.3689838005080666</v>
      </c>
      <c r="F90" s="102" t="s">
        <v>1450</v>
      </c>
      <c r="G90" s="102" t="b">
        <v>0</v>
      </c>
      <c r="H90" s="102" t="b">
        <v>0</v>
      </c>
      <c r="I90" s="102" t="b">
        <v>0</v>
      </c>
      <c r="J90" s="102" t="b">
        <v>0</v>
      </c>
      <c r="K90" s="102" t="b">
        <v>0</v>
      </c>
      <c r="L90" s="102" t="b">
        <v>0</v>
      </c>
    </row>
    <row r="91" spans="1:12" ht="15">
      <c r="A91" s="104" t="s">
        <v>1213</v>
      </c>
      <c r="B91" s="102" t="s">
        <v>1208</v>
      </c>
      <c r="C91" s="102">
        <v>3</v>
      </c>
      <c r="D91" s="106">
        <v>0.002532234566630652</v>
      </c>
      <c r="E91" s="106">
        <v>0.7255311240218789</v>
      </c>
      <c r="F91" s="102" t="s">
        <v>1450</v>
      </c>
      <c r="G91" s="102" t="b">
        <v>0</v>
      </c>
      <c r="H91" s="102" t="b">
        <v>0</v>
      </c>
      <c r="I91" s="102" t="b">
        <v>0</v>
      </c>
      <c r="J91" s="102" t="b">
        <v>0</v>
      </c>
      <c r="K91" s="102" t="b">
        <v>0</v>
      </c>
      <c r="L91" s="102" t="b">
        <v>0</v>
      </c>
    </row>
    <row r="92" spans="1:12" ht="15">
      <c r="A92" s="104" t="s">
        <v>1234</v>
      </c>
      <c r="B92" s="102" t="s">
        <v>1205</v>
      </c>
      <c r="C92" s="102">
        <v>2</v>
      </c>
      <c r="D92" s="106">
        <v>0.001862245610631357</v>
      </c>
      <c r="E92" s="106">
        <v>0.665692422389405</v>
      </c>
      <c r="F92" s="102" t="s">
        <v>1450</v>
      </c>
      <c r="G92" s="102" t="b">
        <v>0</v>
      </c>
      <c r="H92" s="102" t="b">
        <v>0</v>
      </c>
      <c r="I92" s="102" t="b">
        <v>0</v>
      </c>
      <c r="J92" s="102" t="b">
        <v>0</v>
      </c>
      <c r="K92" s="102" t="b">
        <v>0</v>
      </c>
      <c r="L92" s="102" t="b">
        <v>0</v>
      </c>
    </row>
    <row r="93" spans="1:12" ht="15">
      <c r="A93" s="104" t="s">
        <v>1229</v>
      </c>
      <c r="B93" s="102" t="s">
        <v>1223</v>
      </c>
      <c r="C93" s="102">
        <v>2</v>
      </c>
      <c r="D93" s="106">
        <v>0.001862245610631357</v>
      </c>
      <c r="E93" s="106">
        <v>1.5774685885664412</v>
      </c>
      <c r="F93" s="102" t="s">
        <v>1450</v>
      </c>
      <c r="G93" s="102" t="b">
        <v>0</v>
      </c>
      <c r="H93" s="102" t="b">
        <v>0</v>
      </c>
      <c r="I93" s="102" t="b">
        <v>0</v>
      </c>
      <c r="J93" s="102" t="b">
        <v>0</v>
      </c>
      <c r="K93" s="102" t="b">
        <v>0</v>
      </c>
      <c r="L93" s="102" t="b">
        <v>0</v>
      </c>
    </row>
    <row r="94" spans="1:12" ht="15">
      <c r="A94" s="104" t="s">
        <v>1234</v>
      </c>
      <c r="B94" s="102" t="s">
        <v>1229</v>
      </c>
      <c r="C94" s="102">
        <v>2</v>
      </c>
      <c r="D94" s="106">
        <v>0.001862245610631357</v>
      </c>
      <c r="E94" s="106">
        <v>1.8249157561577907</v>
      </c>
      <c r="F94" s="102" t="s">
        <v>1450</v>
      </c>
      <c r="G94" s="102" t="b">
        <v>0</v>
      </c>
      <c r="H94" s="102" t="b">
        <v>0</v>
      </c>
      <c r="I94" s="102" t="b">
        <v>0</v>
      </c>
      <c r="J94" s="102" t="b">
        <v>0</v>
      </c>
      <c r="K94" s="102" t="b">
        <v>0</v>
      </c>
      <c r="L94" s="102" t="b">
        <v>0</v>
      </c>
    </row>
    <row r="95" spans="1:12" ht="15">
      <c r="A95" s="104" t="s">
        <v>1229</v>
      </c>
      <c r="B95" s="102" t="s">
        <v>1303</v>
      </c>
      <c r="C95" s="102">
        <v>2</v>
      </c>
      <c r="D95" s="106">
        <v>0.001862245610631357</v>
      </c>
      <c r="E95" s="106">
        <v>2.1417400190050038</v>
      </c>
      <c r="F95" s="102" t="s">
        <v>1450</v>
      </c>
      <c r="G95" s="102" t="b">
        <v>0</v>
      </c>
      <c r="H95" s="102" t="b">
        <v>0</v>
      </c>
      <c r="I95" s="102" t="b">
        <v>0</v>
      </c>
      <c r="J95" s="102" t="b">
        <v>0</v>
      </c>
      <c r="K95" s="102" t="b">
        <v>0</v>
      </c>
      <c r="L95" s="102" t="b">
        <v>0</v>
      </c>
    </row>
    <row r="96" spans="1:12" ht="15">
      <c r="A96" s="104" t="s">
        <v>1344</v>
      </c>
      <c r="B96" s="102" t="s">
        <v>1204</v>
      </c>
      <c r="C96" s="102">
        <v>2</v>
      </c>
      <c r="D96" s="106">
        <v>0.001862245610631357</v>
      </c>
      <c r="E96" s="106">
        <v>1.2189953440165902</v>
      </c>
      <c r="F96" s="102" t="s">
        <v>1450</v>
      </c>
      <c r="G96" s="102" t="b">
        <v>0</v>
      </c>
      <c r="H96" s="102" t="b">
        <v>0</v>
      </c>
      <c r="I96" s="102" t="b">
        <v>0</v>
      </c>
      <c r="J96" s="102" t="b">
        <v>0</v>
      </c>
      <c r="K96" s="102" t="b">
        <v>0</v>
      </c>
      <c r="L96" s="102" t="b">
        <v>0</v>
      </c>
    </row>
    <row r="97" spans="1:12" ht="15">
      <c r="A97" s="104" t="s">
        <v>1260</v>
      </c>
      <c r="B97" s="102" t="s">
        <v>1346</v>
      </c>
      <c r="C97" s="102">
        <v>2</v>
      </c>
      <c r="D97" s="106">
        <v>0.002159853119938308</v>
      </c>
      <c r="E97" s="106">
        <v>2.573103783163991</v>
      </c>
      <c r="F97" s="102" t="s">
        <v>1450</v>
      </c>
      <c r="G97" s="102" t="b">
        <v>0</v>
      </c>
      <c r="H97" s="102" t="b">
        <v>0</v>
      </c>
      <c r="I97" s="102" t="b">
        <v>0</v>
      </c>
      <c r="J97" s="102" t="b">
        <v>0</v>
      </c>
      <c r="K97" s="102" t="b">
        <v>0</v>
      </c>
      <c r="L97" s="102" t="b">
        <v>0</v>
      </c>
    </row>
    <row r="98" spans="1:12" ht="15">
      <c r="A98" s="104" t="s">
        <v>1347</v>
      </c>
      <c r="B98" s="102" t="s">
        <v>1348</v>
      </c>
      <c r="C98" s="102">
        <v>2</v>
      </c>
      <c r="D98" s="106">
        <v>0.002159853119938308</v>
      </c>
      <c r="E98" s="106">
        <v>2.9710437918360286</v>
      </c>
      <c r="F98" s="102" t="s">
        <v>1450</v>
      </c>
      <c r="G98" s="102" t="b">
        <v>0</v>
      </c>
      <c r="H98" s="102" t="b">
        <v>0</v>
      </c>
      <c r="I98" s="102" t="b">
        <v>0</v>
      </c>
      <c r="J98" s="102" t="b">
        <v>0</v>
      </c>
      <c r="K98" s="102" t="b">
        <v>0</v>
      </c>
      <c r="L98" s="102" t="b">
        <v>0</v>
      </c>
    </row>
    <row r="99" spans="1:12" ht="15">
      <c r="A99" s="104" t="s">
        <v>1306</v>
      </c>
      <c r="B99" s="102" t="s">
        <v>1349</v>
      </c>
      <c r="C99" s="102">
        <v>2</v>
      </c>
      <c r="D99" s="106">
        <v>0.002159853119938308</v>
      </c>
      <c r="E99" s="106">
        <v>2.7949525327803473</v>
      </c>
      <c r="F99" s="102" t="s">
        <v>1450</v>
      </c>
      <c r="G99" s="102" t="b">
        <v>0</v>
      </c>
      <c r="H99" s="102" t="b">
        <v>0</v>
      </c>
      <c r="I99" s="102" t="b">
        <v>0</v>
      </c>
      <c r="J99" s="102" t="b">
        <v>0</v>
      </c>
      <c r="K99" s="102" t="b">
        <v>0</v>
      </c>
      <c r="L99" s="102" t="b">
        <v>0</v>
      </c>
    </row>
    <row r="100" spans="1:12" ht="15">
      <c r="A100" s="104" t="s">
        <v>1349</v>
      </c>
      <c r="B100" s="102" t="s">
        <v>1306</v>
      </c>
      <c r="C100" s="102">
        <v>2</v>
      </c>
      <c r="D100" s="106">
        <v>0.002159853119938308</v>
      </c>
      <c r="E100" s="106">
        <v>2.7949525327803473</v>
      </c>
      <c r="F100" s="102" t="s">
        <v>1450</v>
      </c>
      <c r="G100" s="102" t="b">
        <v>0</v>
      </c>
      <c r="H100" s="102" t="b">
        <v>0</v>
      </c>
      <c r="I100" s="102" t="b">
        <v>0</v>
      </c>
      <c r="J100" s="102" t="b">
        <v>0</v>
      </c>
      <c r="K100" s="102" t="b">
        <v>0</v>
      </c>
      <c r="L100" s="102" t="b">
        <v>0</v>
      </c>
    </row>
    <row r="101" spans="1:12" ht="15">
      <c r="A101" s="104" t="s">
        <v>1354</v>
      </c>
      <c r="B101" s="102" t="s">
        <v>1355</v>
      </c>
      <c r="C101" s="102">
        <v>2</v>
      </c>
      <c r="D101" s="106">
        <v>0.002159853119938308</v>
      </c>
      <c r="E101" s="106">
        <v>2.9710437918360286</v>
      </c>
      <c r="F101" s="102" t="s">
        <v>1450</v>
      </c>
      <c r="G101" s="102" t="b">
        <v>0</v>
      </c>
      <c r="H101" s="102" t="b">
        <v>0</v>
      </c>
      <c r="I101" s="102" t="b">
        <v>0</v>
      </c>
      <c r="J101" s="102" t="b">
        <v>0</v>
      </c>
      <c r="K101" s="102" t="b">
        <v>0</v>
      </c>
      <c r="L101" s="102" t="b">
        <v>0</v>
      </c>
    </row>
    <row r="102" spans="1:12" ht="15">
      <c r="A102" s="104" t="s">
        <v>1209</v>
      </c>
      <c r="B102" s="102" t="s">
        <v>1230</v>
      </c>
      <c r="C102" s="102">
        <v>2</v>
      </c>
      <c r="D102" s="106">
        <v>0.001862245610631357</v>
      </c>
      <c r="E102" s="106">
        <v>1.0506595496576714</v>
      </c>
      <c r="F102" s="102" t="s">
        <v>1450</v>
      </c>
      <c r="G102" s="102" t="b">
        <v>0</v>
      </c>
      <c r="H102" s="102" t="b">
        <v>0</v>
      </c>
      <c r="I102" s="102" t="b">
        <v>0</v>
      </c>
      <c r="J102" s="102" t="b">
        <v>0</v>
      </c>
      <c r="K102" s="102" t="b">
        <v>0</v>
      </c>
      <c r="L102" s="102" t="b">
        <v>0</v>
      </c>
    </row>
    <row r="103" spans="1:12" ht="15">
      <c r="A103" s="104" t="s">
        <v>1230</v>
      </c>
      <c r="B103" s="102" t="s">
        <v>1206</v>
      </c>
      <c r="C103" s="102">
        <v>2</v>
      </c>
      <c r="D103" s="106">
        <v>0.001862245610631357</v>
      </c>
      <c r="E103" s="106">
        <v>0.847192150868943</v>
      </c>
      <c r="F103" s="102" t="s">
        <v>1450</v>
      </c>
      <c r="G103" s="102" t="b">
        <v>0</v>
      </c>
      <c r="H103" s="102" t="b">
        <v>0</v>
      </c>
      <c r="I103" s="102" t="b">
        <v>0</v>
      </c>
      <c r="J103" s="102" t="b">
        <v>0</v>
      </c>
      <c r="K103" s="102" t="b">
        <v>0</v>
      </c>
      <c r="L103" s="102" t="b">
        <v>0</v>
      </c>
    </row>
    <row r="104" spans="1:12" ht="15">
      <c r="A104" s="104" t="s">
        <v>1219</v>
      </c>
      <c r="B104" s="102" t="s">
        <v>1357</v>
      </c>
      <c r="C104" s="102">
        <v>2</v>
      </c>
      <c r="D104" s="106">
        <v>0.001862245610631357</v>
      </c>
      <c r="E104" s="106">
        <v>2.1259457518217717</v>
      </c>
      <c r="F104" s="102" t="s">
        <v>1450</v>
      </c>
      <c r="G104" s="102" t="b">
        <v>0</v>
      </c>
      <c r="H104" s="102" t="b">
        <v>0</v>
      </c>
      <c r="I104" s="102" t="b">
        <v>0</v>
      </c>
      <c r="J104" s="102" t="b">
        <v>0</v>
      </c>
      <c r="K104" s="102" t="b">
        <v>0</v>
      </c>
      <c r="L104" s="102" t="b">
        <v>0</v>
      </c>
    </row>
    <row r="105" spans="1:12" ht="15">
      <c r="A105" s="104" t="s">
        <v>1243</v>
      </c>
      <c r="B105" s="102" t="s">
        <v>1207</v>
      </c>
      <c r="C105" s="102">
        <v>2</v>
      </c>
      <c r="D105" s="106">
        <v>0.001862245610631357</v>
      </c>
      <c r="E105" s="106">
        <v>1.2306811023417847</v>
      </c>
      <c r="F105" s="102" t="s">
        <v>1450</v>
      </c>
      <c r="G105" s="102" t="b">
        <v>0</v>
      </c>
      <c r="H105" s="102" t="b">
        <v>0</v>
      </c>
      <c r="I105" s="102" t="b">
        <v>0</v>
      </c>
      <c r="J105" s="102" t="b">
        <v>0</v>
      </c>
      <c r="K105" s="102" t="b">
        <v>0</v>
      </c>
      <c r="L105" s="102" t="b">
        <v>0</v>
      </c>
    </row>
    <row r="106" spans="1:12" ht="15">
      <c r="A106" s="104" t="s">
        <v>1208</v>
      </c>
      <c r="B106" s="102" t="s">
        <v>1207</v>
      </c>
      <c r="C106" s="102">
        <v>2</v>
      </c>
      <c r="D106" s="106">
        <v>0.001862245610631357</v>
      </c>
      <c r="E106" s="106">
        <v>0.296182651098217</v>
      </c>
      <c r="F106" s="102" t="s">
        <v>1450</v>
      </c>
      <c r="G106" s="102" t="b">
        <v>0</v>
      </c>
      <c r="H106" s="102" t="b">
        <v>0</v>
      </c>
      <c r="I106" s="102" t="b">
        <v>0</v>
      </c>
      <c r="J106" s="102" t="b">
        <v>0</v>
      </c>
      <c r="K106" s="102" t="b">
        <v>0</v>
      </c>
      <c r="L106" s="102" t="b">
        <v>0</v>
      </c>
    </row>
    <row r="107" spans="1:12" ht="15">
      <c r="A107" s="104" t="s">
        <v>1259</v>
      </c>
      <c r="B107" s="102" t="s">
        <v>1310</v>
      </c>
      <c r="C107" s="102">
        <v>2</v>
      </c>
      <c r="D107" s="106">
        <v>0.001862245610631357</v>
      </c>
      <c r="E107" s="106">
        <v>2.39701252410831</v>
      </c>
      <c r="F107" s="102" t="s">
        <v>1450</v>
      </c>
      <c r="G107" s="102" t="b">
        <v>0</v>
      </c>
      <c r="H107" s="102" t="b">
        <v>0</v>
      </c>
      <c r="I107" s="102" t="b">
        <v>0</v>
      </c>
      <c r="J107" s="102" t="b">
        <v>0</v>
      </c>
      <c r="K107" s="102" t="b">
        <v>0</v>
      </c>
      <c r="L107" s="102" t="b">
        <v>0</v>
      </c>
    </row>
    <row r="108" spans="1:12" ht="15">
      <c r="A108" s="104" t="s">
        <v>1209</v>
      </c>
      <c r="B108" s="102" t="s">
        <v>1236</v>
      </c>
      <c r="C108" s="102">
        <v>2</v>
      </c>
      <c r="D108" s="106">
        <v>0.001862245610631357</v>
      </c>
      <c r="E108" s="106">
        <v>1.1018120721050526</v>
      </c>
      <c r="F108" s="102" t="s">
        <v>1450</v>
      </c>
      <c r="G108" s="102" t="b">
        <v>0</v>
      </c>
      <c r="H108" s="102" t="b">
        <v>0</v>
      </c>
      <c r="I108" s="102" t="b">
        <v>0</v>
      </c>
      <c r="J108" s="102" t="b">
        <v>0</v>
      </c>
      <c r="K108" s="102" t="b">
        <v>0</v>
      </c>
      <c r="L108" s="102" t="b">
        <v>0</v>
      </c>
    </row>
    <row r="109" spans="1:12" ht="15">
      <c r="A109" s="104" t="s">
        <v>1360</v>
      </c>
      <c r="B109" s="102" t="s">
        <v>1220</v>
      </c>
      <c r="C109" s="102">
        <v>2</v>
      </c>
      <c r="D109" s="106">
        <v>0.001862245610631357</v>
      </c>
      <c r="E109" s="106">
        <v>2.0679538048440853</v>
      </c>
      <c r="F109" s="102" t="s">
        <v>1450</v>
      </c>
      <c r="G109" s="102" t="b">
        <v>0</v>
      </c>
      <c r="H109" s="102" t="b">
        <v>0</v>
      </c>
      <c r="I109" s="102" t="b">
        <v>0</v>
      </c>
      <c r="J109" s="102" t="b">
        <v>0</v>
      </c>
      <c r="K109" s="102" t="b">
        <v>0</v>
      </c>
      <c r="L109" s="102" t="b">
        <v>0</v>
      </c>
    </row>
    <row r="110" spans="1:12" ht="15">
      <c r="A110" s="104" t="s">
        <v>1220</v>
      </c>
      <c r="B110" s="102" t="s">
        <v>1361</v>
      </c>
      <c r="C110" s="102">
        <v>2</v>
      </c>
      <c r="D110" s="106">
        <v>0.001862245610631357</v>
      </c>
      <c r="E110" s="106">
        <v>2.1259457518217717</v>
      </c>
      <c r="F110" s="102" t="s">
        <v>1450</v>
      </c>
      <c r="G110" s="102" t="b">
        <v>0</v>
      </c>
      <c r="H110" s="102" t="b">
        <v>0</v>
      </c>
      <c r="I110" s="102" t="b">
        <v>0</v>
      </c>
      <c r="J110" s="102" t="b">
        <v>0</v>
      </c>
      <c r="K110" s="102" t="b">
        <v>0</v>
      </c>
      <c r="L110" s="102" t="b">
        <v>0</v>
      </c>
    </row>
    <row r="111" spans="1:12" ht="15">
      <c r="A111" s="104" t="s">
        <v>1361</v>
      </c>
      <c r="B111" s="102" t="s">
        <v>1231</v>
      </c>
      <c r="C111" s="102">
        <v>2</v>
      </c>
      <c r="D111" s="106">
        <v>0.001862245610631357</v>
      </c>
      <c r="E111" s="106">
        <v>2.317831278060685</v>
      </c>
      <c r="F111" s="102" t="s">
        <v>1450</v>
      </c>
      <c r="G111" s="102" t="b">
        <v>0</v>
      </c>
      <c r="H111" s="102" t="b">
        <v>0</v>
      </c>
      <c r="I111" s="102" t="b">
        <v>0</v>
      </c>
      <c r="J111" s="102" t="b">
        <v>0</v>
      </c>
      <c r="K111" s="102" t="b">
        <v>0</v>
      </c>
      <c r="L111" s="102" t="b">
        <v>0</v>
      </c>
    </row>
    <row r="112" spans="1:12" ht="15">
      <c r="A112" s="104" t="s">
        <v>1231</v>
      </c>
      <c r="B112" s="102" t="s">
        <v>1205</v>
      </c>
      <c r="C112" s="102">
        <v>2</v>
      </c>
      <c r="D112" s="106">
        <v>0.001862245610631357</v>
      </c>
      <c r="E112" s="106">
        <v>0.6145398999420236</v>
      </c>
      <c r="F112" s="102" t="s">
        <v>1450</v>
      </c>
      <c r="G112" s="102" t="b">
        <v>0</v>
      </c>
      <c r="H112" s="102" t="b">
        <v>0</v>
      </c>
      <c r="I112" s="102" t="b">
        <v>0</v>
      </c>
      <c r="J112" s="102" t="b">
        <v>0</v>
      </c>
      <c r="K112" s="102" t="b">
        <v>0</v>
      </c>
      <c r="L112" s="102" t="b">
        <v>0</v>
      </c>
    </row>
    <row r="113" spans="1:12" ht="15">
      <c r="A113" s="104" t="s">
        <v>1205</v>
      </c>
      <c r="B113" s="102" t="s">
        <v>1213</v>
      </c>
      <c r="C113" s="102">
        <v>2</v>
      </c>
      <c r="D113" s="106">
        <v>0.001862245610631357</v>
      </c>
      <c r="E113" s="106">
        <v>0.5645036114020734</v>
      </c>
      <c r="F113" s="102" t="s">
        <v>1450</v>
      </c>
      <c r="G113" s="102" t="b">
        <v>0</v>
      </c>
      <c r="H113" s="102" t="b">
        <v>0</v>
      </c>
      <c r="I113" s="102" t="b">
        <v>0</v>
      </c>
      <c r="J113" s="102" t="b">
        <v>0</v>
      </c>
      <c r="K113" s="102" t="b">
        <v>0</v>
      </c>
      <c r="L113" s="102" t="b">
        <v>0</v>
      </c>
    </row>
    <row r="114" spans="1:12" ht="15">
      <c r="A114" s="104" t="s">
        <v>1362</v>
      </c>
      <c r="B114" s="102" t="s">
        <v>1363</v>
      </c>
      <c r="C114" s="102">
        <v>2</v>
      </c>
      <c r="D114" s="106">
        <v>0.001862245610631357</v>
      </c>
      <c r="E114" s="106">
        <v>2.9710437918360286</v>
      </c>
      <c r="F114" s="102" t="s">
        <v>1450</v>
      </c>
      <c r="G114" s="102" t="b">
        <v>0</v>
      </c>
      <c r="H114" s="102" t="b">
        <v>0</v>
      </c>
      <c r="I114" s="102" t="b">
        <v>0</v>
      </c>
      <c r="J114" s="102" t="b">
        <v>0</v>
      </c>
      <c r="K114" s="102" t="b">
        <v>0</v>
      </c>
      <c r="L114" s="102" t="b">
        <v>0</v>
      </c>
    </row>
    <row r="115" spans="1:12" ht="15">
      <c r="A115" s="104" t="s">
        <v>1204</v>
      </c>
      <c r="B115" s="102" t="s">
        <v>1224</v>
      </c>
      <c r="C115" s="102">
        <v>2</v>
      </c>
      <c r="D115" s="106">
        <v>0.001862245610631357</v>
      </c>
      <c r="E115" s="106">
        <v>0.6232260791271163</v>
      </c>
      <c r="F115" s="102" t="s">
        <v>1450</v>
      </c>
      <c r="G115" s="102" t="b">
        <v>0</v>
      </c>
      <c r="H115" s="102" t="b">
        <v>0</v>
      </c>
      <c r="I115" s="102" t="b">
        <v>0</v>
      </c>
      <c r="J115" s="102" t="b">
        <v>0</v>
      </c>
      <c r="K115" s="102" t="b">
        <v>0</v>
      </c>
      <c r="L115" s="102" t="b">
        <v>0</v>
      </c>
    </row>
    <row r="116" spans="1:12" ht="15">
      <c r="A116" s="104" t="s">
        <v>1281</v>
      </c>
      <c r="B116" s="102" t="s">
        <v>1207</v>
      </c>
      <c r="C116" s="102">
        <v>2</v>
      </c>
      <c r="D116" s="106">
        <v>0.001862245610631357</v>
      </c>
      <c r="E116" s="106">
        <v>1.3275911153498412</v>
      </c>
      <c r="F116" s="102" t="s">
        <v>1450</v>
      </c>
      <c r="G116" s="102" t="b">
        <v>0</v>
      </c>
      <c r="H116" s="102" t="b">
        <v>0</v>
      </c>
      <c r="I116" s="102" t="b">
        <v>0</v>
      </c>
      <c r="J116" s="102" t="b">
        <v>0</v>
      </c>
      <c r="K116" s="102" t="b">
        <v>0</v>
      </c>
      <c r="L116" s="102" t="b">
        <v>0</v>
      </c>
    </row>
    <row r="117" spans="1:12" ht="15">
      <c r="A117" s="104" t="s">
        <v>1366</v>
      </c>
      <c r="B117" s="102" t="s">
        <v>1220</v>
      </c>
      <c r="C117" s="102">
        <v>2</v>
      </c>
      <c r="D117" s="106">
        <v>0.002159853119938308</v>
      </c>
      <c r="E117" s="106">
        <v>2.0679538048440853</v>
      </c>
      <c r="F117" s="102" t="s">
        <v>1450</v>
      </c>
      <c r="G117" s="102" t="b">
        <v>0</v>
      </c>
      <c r="H117" s="102" t="b">
        <v>0</v>
      </c>
      <c r="I117" s="102" t="b">
        <v>0</v>
      </c>
      <c r="J117" s="102" t="b">
        <v>0</v>
      </c>
      <c r="K117" s="102" t="b">
        <v>0</v>
      </c>
      <c r="L117" s="102" t="b">
        <v>0</v>
      </c>
    </row>
    <row r="118" spans="1:12" ht="15">
      <c r="A118" s="104" t="s">
        <v>1367</v>
      </c>
      <c r="B118" s="102" t="s">
        <v>1220</v>
      </c>
      <c r="C118" s="102">
        <v>2</v>
      </c>
      <c r="D118" s="106">
        <v>0.002159853119938308</v>
      </c>
      <c r="E118" s="106">
        <v>2.0679538048440853</v>
      </c>
      <c r="F118" s="102" t="s">
        <v>1450</v>
      </c>
      <c r="G118" s="102" t="b">
        <v>0</v>
      </c>
      <c r="H118" s="102" t="b">
        <v>0</v>
      </c>
      <c r="I118" s="102" t="b">
        <v>0</v>
      </c>
      <c r="J118" s="102" t="b">
        <v>0</v>
      </c>
      <c r="K118" s="102" t="b">
        <v>0</v>
      </c>
      <c r="L118" s="102" t="b">
        <v>0</v>
      </c>
    </row>
    <row r="119" spans="1:12" ht="15">
      <c r="A119" s="104" t="s">
        <v>1237</v>
      </c>
      <c r="B119" s="102" t="s">
        <v>1220</v>
      </c>
      <c r="C119" s="102">
        <v>2</v>
      </c>
      <c r="D119" s="106">
        <v>0.002159853119938308</v>
      </c>
      <c r="E119" s="106">
        <v>1.4658938135161228</v>
      </c>
      <c r="F119" s="102" t="s">
        <v>1450</v>
      </c>
      <c r="G119" s="102" t="b">
        <v>0</v>
      </c>
      <c r="H119" s="102" t="b">
        <v>0</v>
      </c>
      <c r="I119" s="102" t="b">
        <v>0</v>
      </c>
      <c r="J119" s="102" t="b">
        <v>0</v>
      </c>
      <c r="K119" s="102" t="b">
        <v>0</v>
      </c>
      <c r="L119" s="102" t="b">
        <v>0</v>
      </c>
    </row>
    <row r="120" spans="1:12" ht="15">
      <c r="A120" s="104" t="s">
        <v>1237</v>
      </c>
      <c r="B120" s="102" t="s">
        <v>1280</v>
      </c>
      <c r="C120" s="102">
        <v>2</v>
      </c>
      <c r="D120" s="106">
        <v>0.001862245610631357</v>
      </c>
      <c r="E120" s="106">
        <v>2.0679538048440853</v>
      </c>
      <c r="F120" s="102" t="s">
        <v>1450</v>
      </c>
      <c r="G120" s="102" t="b">
        <v>0</v>
      </c>
      <c r="H120" s="102" t="b">
        <v>0</v>
      </c>
      <c r="I120" s="102" t="b">
        <v>0</v>
      </c>
      <c r="J120" s="102" t="b">
        <v>0</v>
      </c>
      <c r="K120" s="102" t="b">
        <v>0</v>
      </c>
      <c r="L120" s="102" t="b">
        <v>0</v>
      </c>
    </row>
    <row r="121" spans="1:12" ht="15">
      <c r="A121" s="104" t="s">
        <v>1219</v>
      </c>
      <c r="B121" s="102" t="s">
        <v>1206</v>
      </c>
      <c r="C121" s="102">
        <v>2</v>
      </c>
      <c r="D121" s="106">
        <v>0.001862245610631357</v>
      </c>
      <c r="E121" s="106">
        <v>0.5461621552049617</v>
      </c>
      <c r="F121" s="102" t="s">
        <v>1450</v>
      </c>
      <c r="G121" s="102" t="b">
        <v>0</v>
      </c>
      <c r="H121" s="102" t="b">
        <v>0</v>
      </c>
      <c r="I121" s="102" t="b">
        <v>0</v>
      </c>
      <c r="J121" s="102" t="b">
        <v>0</v>
      </c>
      <c r="K121" s="102" t="b">
        <v>0</v>
      </c>
      <c r="L121" s="102" t="b">
        <v>0</v>
      </c>
    </row>
    <row r="122" spans="1:12" ht="15">
      <c r="A122" s="104" t="s">
        <v>1239</v>
      </c>
      <c r="B122" s="102" t="s">
        <v>1247</v>
      </c>
      <c r="C122" s="102">
        <v>2</v>
      </c>
      <c r="D122" s="106">
        <v>0.001862245610631357</v>
      </c>
      <c r="E122" s="106">
        <v>2.016801282396704</v>
      </c>
      <c r="F122" s="102" t="s">
        <v>1450</v>
      </c>
      <c r="G122" s="102" t="b">
        <v>0</v>
      </c>
      <c r="H122" s="102" t="b">
        <v>0</v>
      </c>
      <c r="I122" s="102" t="b">
        <v>0</v>
      </c>
      <c r="J122" s="102" t="b">
        <v>0</v>
      </c>
      <c r="K122" s="102" t="b">
        <v>0</v>
      </c>
      <c r="L122" s="102" t="b">
        <v>0</v>
      </c>
    </row>
    <row r="123" spans="1:12" ht="15">
      <c r="A123" s="104" t="s">
        <v>1312</v>
      </c>
      <c r="B123" s="102" t="s">
        <v>1248</v>
      </c>
      <c r="C123" s="102">
        <v>2</v>
      </c>
      <c r="D123" s="106">
        <v>0.001862245610631357</v>
      </c>
      <c r="E123" s="106">
        <v>2.317831278060685</v>
      </c>
      <c r="F123" s="102" t="s">
        <v>1450</v>
      </c>
      <c r="G123" s="102" t="b">
        <v>0</v>
      </c>
      <c r="H123" s="102" t="b">
        <v>0</v>
      </c>
      <c r="I123" s="102" t="b">
        <v>0</v>
      </c>
      <c r="J123" s="102" t="b">
        <v>0</v>
      </c>
      <c r="K123" s="102" t="b">
        <v>0</v>
      </c>
      <c r="L123" s="102" t="b">
        <v>0</v>
      </c>
    </row>
    <row r="124" spans="1:12" ht="15">
      <c r="A124" s="104" t="s">
        <v>1216</v>
      </c>
      <c r="B124" s="102" t="s">
        <v>1206</v>
      </c>
      <c r="C124" s="102">
        <v>2</v>
      </c>
      <c r="D124" s="106">
        <v>0.001862245610631357</v>
      </c>
      <c r="E124" s="106">
        <v>0.37007089614928046</v>
      </c>
      <c r="F124" s="102" t="s">
        <v>1450</v>
      </c>
      <c r="G124" s="102" t="b">
        <v>0</v>
      </c>
      <c r="H124" s="102" t="b">
        <v>0</v>
      </c>
      <c r="I124" s="102" t="b">
        <v>0</v>
      </c>
      <c r="J124" s="102" t="b">
        <v>0</v>
      </c>
      <c r="K124" s="102" t="b">
        <v>0</v>
      </c>
      <c r="L124" s="102" t="b">
        <v>0</v>
      </c>
    </row>
    <row r="125" spans="1:12" ht="15">
      <c r="A125" s="104" t="s">
        <v>1378</v>
      </c>
      <c r="B125" s="102" t="s">
        <v>1206</v>
      </c>
      <c r="C125" s="102">
        <v>2</v>
      </c>
      <c r="D125" s="106">
        <v>0.002159853119938308</v>
      </c>
      <c r="E125" s="106">
        <v>1.3912601952192187</v>
      </c>
      <c r="F125" s="102" t="s">
        <v>1450</v>
      </c>
      <c r="G125" s="102" t="b">
        <v>0</v>
      </c>
      <c r="H125" s="102" t="b">
        <v>0</v>
      </c>
      <c r="I125" s="102" t="b">
        <v>0</v>
      </c>
      <c r="J125" s="102" t="b">
        <v>0</v>
      </c>
      <c r="K125" s="102" t="b">
        <v>0</v>
      </c>
      <c r="L125" s="102" t="b">
        <v>0</v>
      </c>
    </row>
    <row r="126" spans="1:12" ht="15">
      <c r="A126" s="104" t="s">
        <v>1204</v>
      </c>
      <c r="B126" s="102" t="s">
        <v>1221</v>
      </c>
      <c r="C126" s="102">
        <v>2</v>
      </c>
      <c r="D126" s="106">
        <v>0.001862245610631357</v>
      </c>
      <c r="E126" s="106">
        <v>0.4982873425188163</v>
      </c>
      <c r="F126" s="102" t="s">
        <v>1450</v>
      </c>
      <c r="G126" s="102" t="b">
        <v>0</v>
      </c>
      <c r="H126" s="102" t="b">
        <v>0</v>
      </c>
      <c r="I126" s="102" t="b">
        <v>0</v>
      </c>
      <c r="J126" s="102" t="b">
        <v>0</v>
      </c>
      <c r="K126" s="102" t="b">
        <v>0</v>
      </c>
      <c r="L126" s="102" t="b">
        <v>0</v>
      </c>
    </row>
    <row r="127" spans="1:12" ht="15">
      <c r="A127" s="104" t="s">
        <v>1379</v>
      </c>
      <c r="B127" s="102" t="s">
        <v>1316</v>
      </c>
      <c r="C127" s="102">
        <v>2</v>
      </c>
      <c r="D127" s="106">
        <v>0.001862245610631357</v>
      </c>
      <c r="E127" s="106">
        <v>2.7949525327803473</v>
      </c>
      <c r="F127" s="102" t="s">
        <v>1450</v>
      </c>
      <c r="G127" s="102" t="b">
        <v>0</v>
      </c>
      <c r="H127" s="102" t="b">
        <v>0</v>
      </c>
      <c r="I127" s="102" t="b">
        <v>0</v>
      </c>
      <c r="J127" s="102" t="b">
        <v>0</v>
      </c>
      <c r="K127" s="102" t="b">
        <v>0</v>
      </c>
      <c r="L127" s="102" t="b">
        <v>0</v>
      </c>
    </row>
    <row r="128" spans="1:12" ht="15">
      <c r="A128" s="104" t="s">
        <v>1216</v>
      </c>
      <c r="B128" s="102" t="s">
        <v>1247</v>
      </c>
      <c r="C128" s="102">
        <v>2</v>
      </c>
      <c r="D128" s="106">
        <v>0.001862245610631357</v>
      </c>
      <c r="E128" s="106">
        <v>1.4727332380464282</v>
      </c>
      <c r="F128" s="102" t="s">
        <v>1450</v>
      </c>
      <c r="G128" s="102" t="b">
        <v>0</v>
      </c>
      <c r="H128" s="102" t="b">
        <v>0</v>
      </c>
      <c r="I128" s="102" t="b">
        <v>0</v>
      </c>
      <c r="J128" s="102" t="b">
        <v>0</v>
      </c>
      <c r="K128" s="102" t="b">
        <v>0</v>
      </c>
      <c r="L128" s="102" t="b">
        <v>0</v>
      </c>
    </row>
    <row r="129" spans="1:12" ht="15">
      <c r="A129" s="104" t="s">
        <v>1210</v>
      </c>
      <c r="B129" s="102" t="s">
        <v>1263</v>
      </c>
      <c r="C129" s="102">
        <v>2</v>
      </c>
      <c r="D129" s="106">
        <v>0.001862245610631357</v>
      </c>
      <c r="E129" s="106">
        <v>1.3178312780606851</v>
      </c>
      <c r="F129" s="102" t="s">
        <v>1450</v>
      </c>
      <c r="G129" s="102" t="b">
        <v>0</v>
      </c>
      <c r="H129" s="102" t="b">
        <v>0</v>
      </c>
      <c r="I129" s="102" t="b">
        <v>0</v>
      </c>
      <c r="J129" s="102" t="b">
        <v>0</v>
      </c>
      <c r="K129" s="102" t="b">
        <v>0</v>
      </c>
      <c r="L129" s="102" t="b">
        <v>0</v>
      </c>
    </row>
    <row r="130" spans="1:12" ht="15">
      <c r="A130" s="104" t="s">
        <v>1386</v>
      </c>
      <c r="B130" s="102" t="s">
        <v>1242</v>
      </c>
      <c r="C130" s="102">
        <v>2</v>
      </c>
      <c r="D130" s="106">
        <v>0.002159853119938308</v>
      </c>
      <c r="E130" s="106">
        <v>2.368983800508066</v>
      </c>
      <c r="F130" s="102" t="s">
        <v>1450</v>
      </c>
      <c r="G130" s="102" t="b">
        <v>0</v>
      </c>
      <c r="H130" s="102" t="b">
        <v>0</v>
      </c>
      <c r="I130" s="102" t="b">
        <v>0</v>
      </c>
      <c r="J130" s="102" t="b">
        <v>0</v>
      </c>
      <c r="K130" s="102" t="b">
        <v>0</v>
      </c>
      <c r="L130" s="102" t="b">
        <v>0</v>
      </c>
    </row>
    <row r="131" spans="1:12" ht="15">
      <c r="A131" s="104" t="s">
        <v>1387</v>
      </c>
      <c r="B131" s="102" t="s">
        <v>1217</v>
      </c>
      <c r="C131" s="102">
        <v>2</v>
      </c>
      <c r="D131" s="106">
        <v>0.001862245610631357</v>
      </c>
      <c r="E131" s="106">
        <v>2.016801282396704</v>
      </c>
      <c r="F131" s="102" t="s">
        <v>1450</v>
      </c>
      <c r="G131" s="102" t="b">
        <v>0</v>
      </c>
      <c r="H131" s="102" t="b">
        <v>0</v>
      </c>
      <c r="I131" s="102" t="b">
        <v>0</v>
      </c>
      <c r="J131" s="102" t="b">
        <v>0</v>
      </c>
      <c r="K131" s="102" t="b">
        <v>0</v>
      </c>
      <c r="L131" s="102" t="b">
        <v>0</v>
      </c>
    </row>
    <row r="132" spans="1:12" ht="15">
      <c r="A132" s="104" t="s">
        <v>1251</v>
      </c>
      <c r="B132" s="102" t="s">
        <v>1390</v>
      </c>
      <c r="C132" s="102">
        <v>2</v>
      </c>
      <c r="D132" s="106">
        <v>0.001862245610631357</v>
      </c>
      <c r="E132" s="106">
        <v>2.573103783163991</v>
      </c>
      <c r="F132" s="102" t="s">
        <v>1450</v>
      </c>
      <c r="G132" s="102" t="b">
        <v>0</v>
      </c>
      <c r="H132" s="102" t="b">
        <v>0</v>
      </c>
      <c r="I132" s="102" t="b">
        <v>0</v>
      </c>
      <c r="J132" s="102" t="b">
        <v>0</v>
      </c>
      <c r="K132" s="102" t="b">
        <v>0</v>
      </c>
      <c r="L132" s="102" t="b">
        <v>0</v>
      </c>
    </row>
    <row r="133" spans="1:12" ht="15">
      <c r="A133" s="104" t="s">
        <v>1390</v>
      </c>
      <c r="B133" s="102" t="s">
        <v>1252</v>
      </c>
      <c r="C133" s="102">
        <v>2</v>
      </c>
      <c r="D133" s="106">
        <v>0.001862245610631357</v>
      </c>
      <c r="E133" s="106">
        <v>2.4939225371163665</v>
      </c>
      <c r="F133" s="102" t="s">
        <v>1450</v>
      </c>
      <c r="G133" s="102" t="b">
        <v>0</v>
      </c>
      <c r="H133" s="102" t="b">
        <v>0</v>
      </c>
      <c r="I133" s="102" t="b">
        <v>0</v>
      </c>
      <c r="J133" s="102" t="b">
        <v>0</v>
      </c>
      <c r="K133" s="102" t="b">
        <v>0</v>
      </c>
      <c r="L133" s="102" t="b">
        <v>0</v>
      </c>
    </row>
    <row r="134" spans="1:12" ht="15">
      <c r="A134" s="104" t="s">
        <v>1264</v>
      </c>
      <c r="B134" s="102" t="s">
        <v>1206</v>
      </c>
      <c r="C134" s="102">
        <v>2</v>
      </c>
      <c r="D134" s="106">
        <v>0.001862245610631357</v>
      </c>
      <c r="E134" s="106">
        <v>0.9933201865471809</v>
      </c>
      <c r="F134" s="102" t="s">
        <v>1450</v>
      </c>
      <c r="G134" s="102" t="b">
        <v>0</v>
      </c>
      <c r="H134" s="102" t="b">
        <v>0</v>
      </c>
      <c r="I134" s="102" t="b">
        <v>0</v>
      </c>
      <c r="J134" s="102" t="b">
        <v>0</v>
      </c>
      <c r="K134" s="102" t="b">
        <v>0</v>
      </c>
      <c r="L134" s="102" t="b">
        <v>0</v>
      </c>
    </row>
    <row r="135" spans="1:12" ht="15">
      <c r="A135" s="104" t="s">
        <v>1392</v>
      </c>
      <c r="B135" s="102" t="s">
        <v>1393</v>
      </c>
      <c r="C135" s="102">
        <v>2</v>
      </c>
      <c r="D135" s="106">
        <v>0.002159853119938308</v>
      </c>
      <c r="E135" s="106">
        <v>2.9710437918360286</v>
      </c>
      <c r="F135" s="102" t="s">
        <v>1450</v>
      </c>
      <c r="G135" s="102" t="b">
        <v>0</v>
      </c>
      <c r="H135" s="102" t="b">
        <v>0</v>
      </c>
      <c r="I135" s="102" t="b">
        <v>0</v>
      </c>
      <c r="J135" s="102" t="b">
        <v>0</v>
      </c>
      <c r="K135" s="102" t="b">
        <v>0</v>
      </c>
      <c r="L135" s="102" t="b">
        <v>0</v>
      </c>
    </row>
    <row r="136" spans="1:12" ht="15">
      <c r="A136" s="104" t="s">
        <v>1395</v>
      </c>
      <c r="B136" s="102" t="s">
        <v>1204</v>
      </c>
      <c r="C136" s="102">
        <v>2</v>
      </c>
      <c r="D136" s="106">
        <v>0.001862245610631357</v>
      </c>
      <c r="E136" s="106">
        <v>1.2189953440165902</v>
      </c>
      <c r="F136" s="102" t="s">
        <v>1450</v>
      </c>
      <c r="G136" s="102" t="b">
        <v>0</v>
      </c>
      <c r="H136" s="102" t="b">
        <v>0</v>
      </c>
      <c r="I136" s="102" t="b">
        <v>0</v>
      </c>
      <c r="J136" s="102" t="b">
        <v>0</v>
      </c>
      <c r="K136" s="102" t="b">
        <v>0</v>
      </c>
      <c r="L136" s="102" t="b">
        <v>0</v>
      </c>
    </row>
    <row r="137" spans="1:12" ht="15">
      <c r="A137" s="104" t="s">
        <v>1204</v>
      </c>
      <c r="B137" s="102" t="s">
        <v>1397</v>
      </c>
      <c r="C137" s="102">
        <v>2</v>
      </c>
      <c r="D137" s="106">
        <v>0.002159853119938308</v>
      </c>
      <c r="E137" s="106">
        <v>1.27643859290246</v>
      </c>
      <c r="F137" s="102" t="s">
        <v>1450</v>
      </c>
      <c r="G137" s="102" t="b">
        <v>0</v>
      </c>
      <c r="H137" s="102" t="b">
        <v>0</v>
      </c>
      <c r="I137" s="102" t="b">
        <v>0</v>
      </c>
      <c r="J137" s="102" t="b">
        <v>0</v>
      </c>
      <c r="K137" s="102" t="b">
        <v>0</v>
      </c>
      <c r="L137" s="102" t="b">
        <v>0</v>
      </c>
    </row>
    <row r="138" spans="1:12" ht="15">
      <c r="A138" s="104" t="s">
        <v>1399</v>
      </c>
      <c r="B138" s="102" t="s">
        <v>1211</v>
      </c>
      <c r="C138" s="102">
        <v>2</v>
      </c>
      <c r="D138" s="106">
        <v>0.001862245610631357</v>
      </c>
      <c r="E138" s="106">
        <v>1.7535598476221224</v>
      </c>
      <c r="F138" s="102" t="s">
        <v>1450</v>
      </c>
      <c r="G138" s="102" t="b">
        <v>0</v>
      </c>
      <c r="H138" s="102" t="b">
        <v>0</v>
      </c>
      <c r="I138" s="102" t="b">
        <v>0</v>
      </c>
      <c r="J138" s="102" t="b">
        <v>0</v>
      </c>
      <c r="K138" s="102" t="b">
        <v>0</v>
      </c>
      <c r="L138" s="102" t="b">
        <v>0</v>
      </c>
    </row>
    <row r="139" spans="1:12" ht="15">
      <c r="A139" s="104" t="s">
        <v>1400</v>
      </c>
      <c r="B139" s="102" t="s">
        <v>1211</v>
      </c>
      <c r="C139" s="102">
        <v>2</v>
      </c>
      <c r="D139" s="106">
        <v>0.002159853119938308</v>
      </c>
      <c r="E139" s="106">
        <v>1.7535598476221224</v>
      </c>
      <c r="F139" s="102" t="s">
        <v>1450</v>
      </c>
      <c r="G139" s="102" t="b">
        <v>0</v>
      </c>
      <c r="H139" s="102" t="b">
        <v>0</v>
      </c>
      <c r="I139" s="102" t="b">
        <v>0</v>
      </c>
      <c r="J139" s="102" t="b">
        <v>0</v>
      </c>
      <c r="K139" s="102" t="b">
        <v>0</v>
      </c>
      <c r="L139" s="102" t="b">
        <v>0</v>
      </c>
    </row>
    <row r="140" spans="1:12" ht="15">
      <c r="A140" s="104" t="s">
        <v>1205</v>
      </c>
      <c r="B140" s="102" t="s">
        <v>1207</v>
      </c>
      <c r="C140" s="102">
        <v>2</v>
      </c>
      <c r="D140" s="106">
        <v>0.001862245610631357</v>
      </c>
      <c r="E140" s="106">
        <v>-0.078949065084114</v>
      </c>
      <c r="F140" s="102" t="s">
        <v>1450</v>
      </c>
      <c r="G140" s="102" t="b">
        <v>0</v>
      </c>
      <c r="H140" s="102" t="b">
        <v>0</v>
      </c>
      <c r="I140" s="102" t="b">
        <v>0</v>
      </c>
      <c r="J140" s="102" t="b">
        <v>0</v>
      </c>
      <c r="K140" s="102" t="b">
        <v>0</v>
      </c>
      <c r="L140" s="102" t="b">
        <v>0</v>
      </c>
    </row>
    <row r="141" spans="1:12" ht="15">
      <c r="A141" s="104" t="s">
        <v>1323</v>
      </c>
      <c r="B141" s="102" t="s">
        <v>1218</v>
      </c>
      <c r="C141" s="102">
        <v>2</v>
      </c>
      <c r="D141" s="106">
        <v>0.001862245610631357</v>
      </c>
      <c r="E141" s="106">
        <v>1.9820391761374918</v>
      </c>
      <c r="F141" s="102" t="s">
        <v>1450</v>
      </c>
      <c r="G141" s="102" t="b">
        <v>0</v>
      </c>
      <c r="H141" s="102" t="b">
        <v>0</v>
      </c>
      <c r="I141" s="102" t="b">
        <v>0</v>
      </c>
      <c r="J141" s="102" t="b">
        <v>0</v>
      </c>
      <c r="K141" s="102" t="b">
        <v>0</v>
      </c>
      <c r="L141" s="102" t="b">
        <v>0</v>
      </c>
    </row>
    <row r="142" spans="1:12" ht="15">
      <c r="A142" s="104" t="s">
        <v>1210</v>
      </c>
      <c r="B142" s="102" t="s">
        <v>1205</v>
      </c>
      <c r="C142" s="102">
        <v>2</v>
      </c>
      <c r="D142" s="106">
        <v>0.001862245610631357</v>
      </c>
      <c r="E142" s="106">
        <v>0.012479908614061244</v>
      </c>
      <c r="F142" s="102" t="s">
        <v>1450</v>
      </c>
      <c r="G142" s="102" t="b">
        <v>0</v>
      </c>
      <c r="H142" s="102" t="b">
        <v>0</v>
      </c>
      <c r="I142" s="102" t="b">
        <v>0</v>
      </c>
      <c r="J142" s="102" t="b">
        <v>0</v>
      </c>
      <c r="K142" s="102" t="b">
        <v>0</v>
      </c>
      <c r="L142" s="102" t="b">
        <v>0</v>
      </c>
    </row>
    <row r="143" spans="1:12" ht="15">
      <c r="A143" s="104" t="s">
        <v>1208</v>
      </c>
      <c r="B143" s="102" t="s">
        <v>1405</v>
      </c>
      <c r="C143" s="102">
        <v>2</v>
      </c>
      <c r="D143" s="106">
        <v>0.001862245610631357</v>
      </c>
      <c r="E143" s="106">
        <v>1.6386053319204235</v>
      </c>
      <c r="F143" s="102" t="s">
        <v>1450</v>
      </c>
      <c r="G143" s="102" t="b">
        <v>0</v>
      </c>
      <c r="H143" s="102" t="b">
        <v>0</v>
      </c>
      <c r="I143" s="102" t="b">
        <v>0</v>
      </c>
      <c r="J143" s="102" t="b">
        <v>0</v>
      </c>
      <c r="K143" s="102" t="b">
        <v>0</v>
      </c>
      <c r="L143" s="102" t="b">
        <v>0</v>
      </c>
    </row>
    <row r="144" spans="1:12" ht="15">
      <c r="A144" s="104" t="s">
        <v>1405</v>
      </c>
      <c r="B144" s="102" t="s">
        <v>1215</v>
      </c>
      <c r="C144" s="102">
        <v>2</v>
      </c>
      <c r="D144" s="106">
        <v>0.001862245610631357</v>
      </c>
      <c r="E144" s="106">
        <v>1.9498544927660906</v>
      </c>
      <c r="F144" s="102" t="s">
        <v>1450</v>
      </c>
      <c r="G144" s="102" t="b">
        <v>0</v>
      </c>
      <c r="H144" s="102" t="b">
        <v>0</v>
      </c>
      <c r="I144" s="102" t="b">
        <v>0</v>
      </c>
      <c r="J144" s="102" t="b">
        <v>0</v>
      </c>
      <c r="K144" s="102" t="b">
        <v>0</v>
      </c>
      <c r="L144" s="102" t="b">
        <v>0</v>
      </c>
    </row>
    <row r="145" spans="1:12" ht="15">
      <c r="A145" s="104" t="s">
        <v>1204</v>
      </c>
      <c r="B145" s="102" t="s">
        <v>1220</v>
      </c>
      <c r="C145" s="102">
        <v>2</v>
      </c>
      <c r="D145" s="106">
        <v>0.001862245610631357</v>
      </c>
      <c r="E145" s="106">
        <v>0.37334860591051644</v>
      </c>
      <c r="F145" s="102" t="s">
        <v>1450</v>
      </c>
      <c r="G145" s="102" t="b">
        <v>0</v>
      </c>
      <c r="H145" s="102" t="b">
        <v>0</v>
      </c>
      <c r="I145" s="102" t="b">
        <v>0</v>
      </c>
      <c r="J145" s="102" t="b">
        <v>0</v>
      </c>
      <c r="K145" s="102" t="b">
        <v>0</v>
      </c>
      <c r="L145" s="102" t="b">
        <v>0</v>
      </c>
    </row>
    <row r="146" spans="1:12" ht="15">
      <c r="A146" s="104" t="s">
        <v>1220</v>
      </c>
      <c r="B146" s="102" t="s">
        <v>1238</v>
      </c>
      <c r="C146" s="102">
        <v>2</v>
      </c>
      <c r="D146" s="106">
        <v>0.001862245610631357</v>
      </c>
      <c r="E146" s="106">
        <v>1.5238857604938094</v>
      </c>
      <c r="F146" s="102" t="s">
        <v>1450</v>
      </c>
      <c r="G146" s="102" t="b">
        <v>0</v>
      </c>
      <c r="H146" s="102" t="b">
        <v>0</v>
      </c>
      <c r="I146" s="102" t="b">
        <v>0</v>
      </c>
      <c r="J146" s="102" t="b">
        <v>0</v>
      </c>
      <c r="K146" s="102" t="b">
        <v>0</v>
      </c>
      <c r="L146" s="102" t="b">
        <v>0</v>
      </c>
    </row>
    <row r="147" spans="1:12" ht="15">
      <c r="A147" s="104" t="s">
        <v>1282</v>
      </c>
      <c r="B147" s="102" t="s">
        <v>1406</v>
      </c>
      <c r="C147" s="102">
        <v>2</v>
      </c>
      <c r="D147" s="106">
        <v>0.001862245610631357</v>
      </c>
      <c r="E147" s="106">
        <v>2.7949525327803473</v>
      </c>
      <c r="F147" s="102" t="s">
        <v>1450</v>
      </c>
      <c r="G147" s="102" t="b">
        <v>0</v>
      </c>
      <c r="H147" s="102" t="b">
        <v>0</v>
      </c>
      <c r="I147" s="102" t="b">
        <v>0</v>
      </c>
      <c r="J147" s="102" t="b">
        <v>0</v>
      </c>
      <c r="K147" s="102" t="b">
        <v>0</v>
      </c>
      <c r="L147" s="102" t="b">
        <v>0</v>
      </c>
    </row>
    <row r="148" spans="1:12" ht="15">
      <c r="A148" s="104" t="s">
        <v>1214</v>
      </c>
      <c r="B148" s="102" t="s">
        <v>1232</v>
      </c>
      <c r="C148" s="102">
        <v>2</v>
      </c>
      <c r="D148" s="106">
        <v>0.002159853119938308</v>
      </c>
      <c r="E148" s="106">
        <v>1.2571334377070733</v>
      </c>
      <c r="F148" s="102" t="s">
        <v>1450</v>
      </c>
      <c r="G148" s="102" t="b">
        <v>0</v>
      </c>
      <c r="H148" s="102" t="b">
        <v>0</v>
      </c>
      <c r="I148" s="102" t="b">
        <v>0</v>
      </c>
      <c r="J148" s="102" t="b">
        <v>0</v>
      </c>
      <c r="K148" s="102" t="b">
        <v>0</v>
      </c>
      <c r="L148" s="102" t="b">
        <v>0</v>
      </c>
    </row>
    <row r="149" spans="1:12" ht="15">
      <c r="A149" s="104" t="s">
        <v>1214</v>
      </c>
      <c r="B149" s="102" t="s">
        <v>1268</v>
      </c>
      <c r="C149" s="102">
        <v>2</v>
      </c>
      <c r="D149" s="106">
        <v>0.002159853119938308</v>
      </c>
      <c r="E149" s="106">
        <v>1.5124059428103793</v>
      </c>
      <c r="F149" s="102" t="s">
        <v>1450</v>
      </c>
      <c r="G149" s="102" t="b">
        <v>0</v>
      </c>
      <c r="H149" s="102" t="b">
        <v>0</v>
      </c>
      <c r="I149" s="102" t="b">
        <v>0</v>
      </c>
      <c r="J149" s="102" t="b">
        <v>0</v>
      </c>
      <c r="K149" s="102" t="b">
        <v>0</v>
      </c>
      <c r="L149" s="102" t="b">
        <v>0</v>
      </c>
    </row>
    <row r="150" spans="1:12" ht="15">
      <c r="A150" s="104" t="s">
        <v>1208</v>
      </c>
      <c r="B150" s="102" t="s">
        <v>1268</v>
      </c>
      <c r="C150" s="102">
        <v>2</v>
      </c>
      <c r="D150" s="106">
        <v>0.002159853119938308</v>
      </c>
      <c r="E150" s="106">
        <v>1.2406653232483857</v>
      </c>
      <c r="F150" s="102" t="s">
        <v>1450</v>
      </c>
      <c r="G150" s="102" t="b">
        <v>0</v>
      </c>
      <c r="H150" s="102" t="b">
        <v>0</v>
      </c>
      <c r="I150" s="102" t="b">
        <v>0</v>
      </c>
      <c r="J150" s="102" t="b">
        <v>0</v>
      </c>
      <c r="K150" s="102" t="b">
        <v>0</v>
      </c>
      <c r="L150" s="102" t="b">
        <v>0</v>
      </c>
    </row>
    <row r="151" spans="1:12" ht="15">
      <c r="A151" s="104" t="s">
        <v>1208</v>
      </c>
      <c r="B151" s="102" t="s">
        <v>1407</v>
      </c>
      <c r="C151" s="102">
        <v>2</v>
      </c>
      <c r="D151" s="106">
        <v>0.002159853119938308</v>
      </c>
      <c r="E151" s="106">
        <v>1.6386053319204235</v>
      </c>
      <c r="F151" s="102" t="s">
        <v>1450</v>
      </c>
      <c r="G151" s="102" t="b">
        <v>0</v>
      </c>
      <c r="H151" s="102" t="b">
        <v>0</v>
      </c>
      <c r="I151" s="102" t="b">
        <v>0</v>
      </c>
      <c r="J151" s="102" t="b">
        <v>0</v>
      </c>
      <c r="K151" s="102" t="b">
        <v>0</v>
      </c>
      <c r="L151" s="102" t="b">
        <v>0</v>
      </c>
    </row>
    <row r="152" spans="1:12" ht="15">
      <c r="A152" s="104" t="s">
        <v>1407</v>
      </c>
      <c r="B152" s="102" t="s">
        <v>1208</v>
      </c>
      <c r="C152" s="102">
        <v>2</v>
      </c>
      <c r="D152" s="106">
        <v>0.002159853119938308</v>
      </c>
      <c r="E152" s="106">
        <v>1.6286211110138225</v>
      </c>
      <c r="F152" s="102" t="s">
        <v>1450</v>
      </c>
      <c r="G152" s="102" t="b">
        <v>0</v>
      </c>
      <c r="H152" s="102" t="b">
        <v>0</v>
      </c>
      <c r="I152" s="102" t="b">
        <v>0</v>
      </c>
      <c r="J152" s="102" t="b">
        <v>0</v>
      </c>
      <c r="K152" s="102" t="b">
        <v>0</v>
      </c>
      <c r="L152" s="102" t="b">
        <v>0</v>
      </c>
    </row>
    <row r="153" spans="1:12" ht="15">
      <c r="A153" s="104" t="s">
        <v>1212</v>
      </c>
      <c r="B153" s="102" t="s">
        <v>1207</v>
      </c>
      <c r="C153" s="102">
        <v>2</v>
      </c>
      <c r="D153" s="106">
        <v>0.001862245610631357</v>
      </c>
      <c r="E153" s="106">
        <v>0.5872284258555974</v>
      </c>
      <c r="F153" s="102" t="s">
        <v>1450</v>
      </c>
      <c r="G153" s="102" t="b">
        <v>0</v>
      </c>
      <c r="H153" s="102" t="b">
        <v>0</v>
      </c>
      <c r="I153" s="102" t="b">
        <v>0</v>
      </c>
      <c r="J153" s="102" t="b">
        <v>0</v>
      </c>
      <c r="K153" s="102" t="b">
        <v>0</v>
      </c>
      <c r="L153" s="102" t="b">
        <v>0</v>
      </c>
    </row>
    <row r="154" spans="1:12" ht="15">
      <c r="A154" s="104" t="s">
        <v>1325</v>
      </c>
      <c r="B154" s="102" t="s">
        <v>1207</v>
      </c>
      <c r="C154" s="102">
        <v>2</v>
      </c>
      <c r="D154" s="106">
        <v>0.002159853119938308</v>
      </c>
      <c r="E154" s="106">
        <v>1.452529851958141</v>
      </c>
      <c r="F154" s="102" t="s">
        <v>1450</v>
      </c>
      <c r="G154" s="102" t="b">
        <v>0</v>
      </c>
      <c r="H154" s="102" t="b">
        <v>0</v>
      </c>
      <c r="I154" s="102" t="b">
        <v>0</v>
      </c>
      <c r="J154" s="102" t="b">
        <v>0</v>
      </c>
      <c r="K154" s="102" t="b">
        <v>0</v>
      </c>
      <c r="L154" s="102" t="b">
        <v>0</v>
      </c>
    </row>
    <row r="155" spans="1:12" ht="15">
      <c r="A155" s="104" t="s">
        <v>1327</v>
      </c>
      <c r="B155" s="102" t="s">
        <v>1214</v>
      </c>
      <c r="C155" s="102">
        <v>2</v>
      </c>
      <c r="D155" s="106">
        <v>0.002159853119938308</v>
      </c>
      <c r="E155" s="106">
        <v>1.8407100233410225</v>
      </c>
      <c r="F155" s="102" t="s">
        <v>1450</v>
      </c>
      <c r="G155" s="102" t="b">
        <v>0</v>
      </c>
      <c r="H155" s="102" t="b">
        <v>0</v>
      </c>
      <c r="I155" s="102" t="b">
        <v>0</v>
      </c>
      <c r="J155" s="102" t="b">
        <v>0</v>
      </c>
      <c r="K155" s="102" t="b">
        <v>0</v>
      </c>
      <c r="L155" s="102" t="b">
        <v>0</v>
      </c>
    </row>
    <row r="156" spans="1:12" ht="15">
      <c r="A156" s="104" t="s">
        <v>1277</v>
      </c>
      <c r="B156" s="102" t="s">
        <v>1214</v>
      </c>
      <c r="C156" s="102">
        <v>2</v>
      </c>
      <c r="D156" s="106">
        <v>0.002159853119938308</v>
      </c>
      <c r="E156" s="106">
        <v>1.8407100233410225</v>
      </c>
      <c r="F156" s="102" t="s">
        <v>1450</v>
      </c>
      <c r="G156" s="102" t="b">
        <v>0</v>
      </c>
      <c r="H156" s="102" t="b">
        <v>0</v>
      </c>
      <c r="I156" s="102" t="b">
        <v>0</v>
      </c>
      <c r="J156" s="102" t="b">
        <v>0</v>
      </c>
      <c r="K156" s="102" t="b">
        <v>0</v>
      </c>
      <c r="L156" s="102" t="b">
        <v>0</v>
      </c>
    </row>
    <row r="157" spans="1:12" ht="15">
      <c r="A157" s="104" t="s">
        <v>1313</v>
      </c>
      <c r="B157" s="102" t="s">
        <v>1208</v>
      </c>
      <c r="C157" s="102">
        <v>2</v>
      </c>
      <c r="D157" s="106">
        <v>0.002159853119938308</v>
      </c>
      <c r="E157" s="106">
        <v>1.452529851958141</v>
      </c>
      <c r="F157" s="102" t="s">
        <v>1450</v>
      </c>
      <c r="G157" s="102" t="b">
        <v>0</v>
      </c>
      <c r="H157" s="102" t="b">
        <v>1</v>
      </c>
      <c r="I157" s="102" t="b">
        <v>0</v>
      </c>
      <c r="J157" s="102" t="b">
        <v>0</v>
      </c>
      <c r="K157" s="102" t="b">
        <v>0</v>
      </c>
      <c r="L157" s="102" t="b">
        <v>0</v>
      </c>
    </row>
    <row r="158" spans="1:12" ht="15">
      <c r="A158" s="104" t="s">
        <v>1209</v>
      </c>
      <c r="B158" s="102" t="s">
        <v>1212</v>
      </c>
      <c r="C158" s="102">
        <v>2</v>
      </c>
      <c r="D158" s="106">
        <v>0.001862245610631357</v>
      </c>
      <c r="E158" s="106">
        <v>0.5577440277547769</v>
      </c>
      <c r="F158" s="102" t="s">
        <v>1450</v>
      </c>
      <c r="G158" s="102" t="b">
        <v>0</v>
      </c>
      <c r="H158" s="102" t="b">
        <v>0</v>
      </c>
      <c r="I158" s="102" t="b">
        <v>0</v>
      </c>
      <c r="J158" s="102" t="b">
        <v>0</v>
      </c>
      <c r="K158" s="102" t="b">
        <v>0</v>
      </c>
      <c r="L158" s="102" t="b">
        <v>0</v>
      </c>
    </row>
    <row r="159" spans="1:12" ht="15">
      <c r="A159" s="104" t="s">
        <v>1412</v>
      </c>
      <c r="B159" s="102" t="s">
        <v>1413</v>
      </c>
      <c r="C159" s="102">
        <v>2</v>
      </c>
      <c r="D159" s="106">
        <v>0.002159853119938308</v>
      </c>
      <c r="E159" s="106">
        <v>2.9710437918360286</v>
      </c>
      <c r="F159" s="102" t="s">
        <v>1450</v>
      </c>
      <c r="G159" s="102" t="b">
        <v>0</v>
      </c>
      <c r="H159" s="102" t="b">
        <v>0</v>
      </c>
      <c r="I159" s="102" t="b">
        <v>0</v>
      </c>
      <c r="J159" s="102" t="b">
        <v>0</v>
      </c>
      <c r="K159" s="102" t="b">
        <v>0</v>
      </c>
      <c r="L159" s="102" t="b">
        <v>0</v>
      </c>
    </row>
    <row r="160" spans="1:12" ht="15">
      <c r="A160" s="104" t="s">
        <v>1295</v>
      </c>
      <c r="B160" s="102" t="s">
        <v>1227</v>
      </c>
      <c r="C160" s="102">
        <v>2</v>
      </c>
      <c r="D160" s="106">
        <v>0.002159853119938308</v>
      </c>
      <c r="E160" s="106">
        <v>2.016801282396704</v>
      </c>
      <c r="F160" s="102" t="s">
        <v>1450</v>
      </c>
      <c r="G160" s="102" t="b">
        <v>0</v>
      </c>
      <c r="H160" s="102" t="b">
        <v>0</v>
      </c>
      <c r="I160" s="102" t="b">
        <v>0</v>
      </c>
      <c r="J160" s="102" t="b">
        <v>0</v>
      </c>
      <c r="K160" s="102" t="b">
        <v>0</v>
      </c>
      <c r="L160" s="102" t="b">
        <v>0</v>
      </c>
    </row>
    <row r="161" spans="1:12" ht="15">
      <c r="A161" s="104" t="s">
        <v>1227</v>
      </c>
      <c r="B161" s="102" t="s">
        <v>1270</v>
      </c>
      <c r="C161" s="102">
        <v>2</v>
      </c>
      <c r="D161" s="106">
        <v>0.002159853119938308</v>
      </c>
      <c r="E161" s="106">
        <v>1.9198912693886474</v>
      </c>
      <c r="F161" s="102" t="s">
        <v>1450</v>
      </c>
      <c r="G161" s="102" t="b">
        <v>0</v>
      </c>
      <c r="H161" s="102" t="b">
        <v>0</v>
      </c>
      <c r="I161" s="102" t="b">
        <v>0</v>
      </c>
      <c r="J161" s="102" t="b">
        <v>0</v>
      </c>
      <c r="K161" s="102" t="b">
        <v>0</v>
      </c>
      <c r="L161" s="102" t="b">
        <v>0</v>
      </c>
    </row>
    <row r="162" spans="1:12" ht="15">
      <c r="A162" s="104" t="s">
        <v>1254</v>
      </c>
      <c r="B162" s="102" t="s">
        <v>1295</v>
      </c>
      <c r="C162" s="102">
        <v>2</v>
      </c>
      <c r="D162" s="106">
        <v>0.002159853119938308</v>
      </c>
      <c r="E162" s="106">
        <v>2.192892541452385</v>
      </c>
      <c r="F162" s="102" t="s">
        <v>1450</v>
      </c>
      <c r="G162" s="102" t="b">
        <v>0</v>
      </c>
      <c r="H162" s="102" t="b">
        <v>0</v>
      </c>
      <c r="I162" s="102" t="b">
        <v>0</v>
      </c>
      <c r="J162" s="102" t="b">
        <v>0</v>
      </c>
      <c r="K162" s="102" t="b">
        <v>0</v>
      </c>
      <c r="L162" s="102" t="b">
        <v>0</v>
      </c>
    </row>
    <row r="163" spans="1:12" ht="15">
      <c r="A163" s="104" t="s">
        <v>1295</v>
      </c>
      <c r="B163" s="102" t="s">
        <v>1415</v>
      </c>
      <c r="C163" s="102">
        <v>2</v>
      </c>
      <c r="D163" s="106">
        <v>0.002159853119938308</v>
      </c>
      <c r="E163" s="106">
        <v>2.6700137961720474</v>
      </c>
      <c r="F163" s="102" t="s">
        <v>1450</v>
      </c>
      <c r="G163" s="102" t="b">
        <v>0</v>
      </c>
      <c r="H163" s="102" t="b">
        <v>0</v>
      </c>
      <c r="I163" s="102" t="b">
        <v>0</v>
      </c>
      <c r="J163" s="102" t="b">
        <v>0</v>
      </c>
      <c r="K163" s="102" t="b">
        <v>0</v>
      </c>
      <c r="L163" s="102" t="b">
        <v>0</v>
      </c>
    </row>
    <row r="164" spans="1:12" ht="15">
      <c r="A164" s="104" t="s">
        <v>1416</v>
      </c>
      <c r="B164" s="102" t="s">
        <v>1271</v>
      </c>
      <c r="C164" s="102">
        <v>2</v>
      </c>
      <c r="D164" s="106">
        <v>0.002159853119938308</v>
      </c>
      <c r="E164" s="106">
        <v>2.573103783163991</v>
      </c>
      <c r="F164" s="102" t="s">
        <v>1450</v>
      </c>
      <c r="G164" s="102" t="b">
        <v>0</v>
      </c>
      <c r="H164" s="102" t="b">
        <v>0</v>
      </c>
      <c r="I164" s="102" t="b">
        <v>0</v>
      </c>
      <c r="J164" s="102" t="b">
        <v>0</v>
      </c>
      <c r="K164" s="102" t="b">
        <v>0</v>
      </c>
      <c r="L164" s="102" t="b">
        <v>0</v>
      </c>
    </row>
    <row r="165" spans="1:12" ht="15">
      <c r="A165" s="104" t="s">
        <v>1417</v>
      </c>
      <c r="B165" s="102" t="s">
        <v>1271</v>
      </c>
      <c r="C165" s="102">
        <v>2</v>
      </c>
      <c r="D165" s="106">
        <v>0.002159853119938308</v>
      </c>
      <c r="E165" s="106">
        <v>2.573103783163991</v>
      </c>
      <c r="F165" s="102" t="s">
        <v>1450</v>
      </c>
      <c r="G165" s="102" t="b">
        <v>0</v>
      </c>
      <c r="H165" s="102" t="b">
        <v>0</v>
      </c>
      <c r="I165" s="102" t="b">
        <v>0</v>
      </c>
      <c r="J165" s="102" t="b">
        <v>0</v>
      </c>
      <c r="K165" s="102" t="b">
        <v>0</v>
      </c>
      <c r="L165" s="102" t="b">
        <v>0</v>
      </c>
    </row>
    <row r="166" spans="1:12" ht="15">
      <c r="A166" s="104" t="s">
        <v>1328</v>
      </c>
      <c r="B166" s="102" t="s">
        <v>1330</v>
      </c>
      <c r="C166" s="102">
        <v>2</v>
      </c>
      <c r="D166" s="106">
        <v>0.002159853119938308</v>
      </c>
      <c r="E166" s="106">
        <v>2.6188612737246664</v>
      </c>
      <c r="F166" s="102" t="s">
        <v>1450</v>
      </c>
      <c r="G166" s="102" t="b">
        <v>0</v>
      </c>
      <c r="H166" s="102" t="b">
        <v>0</v>
      </c>
      <c r="I166" s="102" t="b">
        <v>0</v>
      </c>
      <c r="J166" s="102" t="b">
        <v>0</v>
      </c>
      <c r="K166" s="102" t="b">
        <v>0</v>
      </c>
      <c r="L166" s="102" t="b">
        <v>0</v>
      </c>
    </row>
    <row r="167" spans="1:12" ht="15">
      <c r="A167" s="104" t="s">
        <v>1418</v>
      </c>
      <c r="B167" s="102" t="s">
        <v>1419</v>
      </c>
      <c r="C167" s="102">
        <v>2</v>
      </c>
      <c r="D167" s="106">
        <v>0.002159853119938308</v>
      </c>
      <c r="E167" s="106">
        <v>2.9710437918360286</v>
      </c>
      <c r="F167" s="102" t="s">
        <v>1450</v>
      </c>
      <c r="G167" s="102" t="b">
        <v>0</v>
      </c>
      <c r="H167" s="102" t="b">
        <v>0</v>
      </c>
      <c r="I167" s="102" t="b">
        <v>0</v>
      </c>
      <c r="J167" s="102" t="b">
        <v>0</v>
      </c>
      <c r="K167" s="102" t="b">
        <v>0</v>
      </c>
      <c r="L167" s="102" t="b">
        <v>0</v>
      </c>
    </row>
    <row r="168" spans="1:12" ht="15">
      <c r="A168" s="104" t="s">
        <v>1207</v>
      </c>
      <c r="B168" s="102" t="s">
        <v>1322</v>
      </c>
      <c r="C168" s="102">
        <v>2</v>
      </c>
      <c r="D168" s="106">
        <v>0.001862245610631357</v>
      </c>
      <c r="E168" s="106">
        <v>1.4332246967627544</v>
      </c>
      <c r="F168" s="102" t="s">
        <v>1450</v>
      </c>
      <c r="G168" s="102" t="b">
        <v>0</v>
      </c>
      <c r="H168" s="102" t="b">
        <v>0</v>
      </c>
      <c r="I168" s="102" t="b">
        <v>0</v>
      </c>
      <c r="J168" s="102" t="b">
        <v>0</v>
      </c>
      <c r="K168" s="102" t="b">
        <v>0</v>
      </c>
      <c r="L168" s="102" t="b">
        <v>0</v>
      </c>
    </row>
    <row r="169" spans="1:12" ht="15">
      <c r="A169" s="104" t="s">
        <v>1228</v>
      </c>
      <c r="B169" s="102" t="s">
        <v>1228</v>
      </c>
      <c r="C169" s="102">
        <v>2</v>
      </c>
      <c r="D169" s="106">
        <v>0.002159853119938308</v>
      </c>
      <c r="E169" s="106">
        <v>1.5731037831639911</v>
      </c>
      <c r="F169" s="102" t="s">
        <v>1450</v>
      </c>
      <c r="G169" s="102" t="b">
        <v>0</v>
      </c>
      <c r="H169" s="102" t="b">
        <v>0</v>
      </c>
      <c r="I169" s="102" t="b">
        <v>0</v>
      </c>
      <c r="J169" s="102" t="b">
        <v>0</v>
      </c>
      <c r="K169" s="102" t="b">
        <v>0</v>
      </c>
      <c r="L169" s="102" t="b">
        <v>0</v>
      </c>
    </row>
    <row r="170" spans="1:12" ht="15">
      <c r="A170" s="104" t="s">
        <v>1423</v>
      </c>
      <c r="B170" s="102" t="s">
        <v>1228</v>
      </c>
      <c r="C170" s="102">
        <v>2</v>
      </c>
      <c r="D170" s="106">
        <v>0.002159853119938308</v>
      </c>
      <c r="E170" s="106">
        <v>2.27207378750001</v>
      </c>
      <c r="F170" s="102" t="s">
        <v>1450</v>
      </c>
      <c r="G170" s="102" t="b">
        <v>0</v>
      </c>
      <c r="H170" s="102" t="b">
        <v>0</v>
      </c>
      <c r="I170" s="102" t="b">
        <v>0</v>
      </c>
      <c r="J170" s="102" t="b">
        <v>0</v>
      </c>
      <c r="K170" s="102" t="b">
        <v>0</v>
      </c>
      <c r="L170" s="102" t="b">
        <v>0</v>
      </c>
    </row>
    <row r="171" spans="1:12" ht="15">
      <c r="A171" s="104" t="s">
        <v>1228</v>
      </c>
      <c r="B171" s="102" t="s">
        <v>1297</v>
      </c>
      <c r="C171" s="102">
        <v>2</v>
      </c>
      <c r="D171" s="106">
        <v>0.002159853119938308</v>
      </c>
      <c r="E171" s="106">
        <v>1.9710437918360286</v>
      </c>
      <c r="F171" s="102" t="s">
        <v>1450</v>
      </c>
      <c r="G171" s="102" t="b">
        <v>0</v>
      </c>
      <c r="H171" s="102" t="b">
        <v>0</v>
      </c>
      <c r="I171" s="102" t="b">
        <v>0</v>
      </c>
      <c r="J171" s="102" t="b">
        <v>0</v>
      </c>
      <c r="K171" s="102" t="b">
        <v>0</v>
      </c>
      <c r="L171" s="102" t="b">
        <v>0</v>
      </c>
    </row>
    <row r="172" spans="1:12" ht="15">
      <c r="A172" s="104" t="s">
        <v>1298</v>
      </c>
      <c r="B172" s="102" t="s">
        <v>1228</v>
      </c>
      <c r="C172" s="102">
        <v>2</v>
      </c>
      <c r="D172" s="106">
        <v>0.002159853119938308</v>
      </c>
      <c r="E172" s="106">
        <v>1.9710437918360286</v>
      </c>
      <c r="F172" s="102" t="s">
        <v>1450</v>
      </c>
      <c r="G172" s="102" t="b">
        <v>0</v>
      </c>
      <c r="H172" s="102" t="b">
        <v>0</v>
      </c>
      <c r="I172" s="102" t="b">
        <v>0</v>
      </c>
      <c r="J172" s="102" t="b">
        <v>0</v>
      </c>
      <c r="K172" s="102" t="b">
        <v>0</v>
      </c>
      <c r="L172" s="102" t="b">
        <v>0</v>
      </c>
    </row>
    <row r="173" spans="1:12" ht="15">
      <c r="A173" s="104" t="s">
        <v>1425</v>
      </c>
      <c r="B173" s="102" t="s">
        <v>1426</v>
      </c>
      <c r="C173" s="102">
        <v>2</v>
      </c>
      <c r="D173" s="106">
        <v>0.002159853119938308</v>
      </c>
      <c r="E173" s="106">
        <v>2.9710437918360286</v>
      </c>
      <c r="F173" s="102" t="s">
        <v>1450</v>
      </c>
      <c r="G173" s="102" t="b">
        <v>0</v>
      </c>
      <c r="H173" s="102" t="b">
        <v>0</v>
      </c>
      <c r="I173" s="102" t="b">
        <v>0</v>
      </c>
      <c r="J173" s="102" t="b">
        <v>0</v>
      </c>
      <c r="K173" s="102" t="b">
        <v>0</v>
      </c>
      <c r="L173" s="102" t="b">
        <v>0</v>
      </c>
    </row>
    <row r="174" spans="1:12" ht="15">
      <c r="A174" s="104" t="s">
        <v>1211</v>
      </c>
      <c r="B174" s="102" t="s">
        <v>1205</v>
      </c>
      <c r="C174" s="102">
        <v>2</v>
      </c>
      <c r="D174" s="106">
        <v>0.001862245610631357</v>
      </c>
      <c r="E174" s="106">
        <v>0.12162437803912925</v>
      </c>
      <c r="F174" s="102" t="s">
        <v>1450</v>
      </c>
      <c r="G174" s="102" t="b">
        <v>0</v>
      </c>
      <c r="H174" s="102" t="b">
        <v>0</v>
      </c>
      <c r="I174" s="102" t="b">
        <v>0</v>
      </c>
      <c r="J174" s="102" t="b">
        <v>0</v>
      </c>
      <c r="K174" s="102" t="b">
        <v>0</v>
      </c>
      <c r="L174" s="102" t="b">
        <v>0</v>
      </c>
    </row>
    <row r="175" spans="1:12" ht="15">
      <c r="A175" s="104" t="s">
        <v>1208</v>
      </c>
      <c r="B175" s="102" t="s">
        <v>1209</v>
      </c>
      <c r="C175" s="102">
        <v>2</v>
      </c>
      <c r="D175" s="106">
        <v>0.002159853119938308</v>
      </c>
      <c r="E175" s="106">
        <v>0.6386053319204232</v>
      </c>
      <c r="F175" s="102" t="s">
        <v>1450</v>
      </c>
      <c r="G175" s="102" t="b">
        <v>0</v>
      </c>
      <c r="H175" s="102" t="b">
        <v>0</v>
      </c>
      <c r="I175" s="102" t="b">
        <v>0</v>
      </c>
      <c r="J175" s="102" t="b">
        <v>0</v>
      </c>
      <c r="K175" s="102" t="b">
        <v>0</v>
      </c>
      <c r="L175" s="102" t="b">
        <v>0</v>
      </c>
    </row>
    <row r="176" spans="1:12" ht="15">
      <c r="A176" s="104" t="s">
        <v>1209</v>
      </c>
      <c r="B176" s="102" t="s">
        <v>1209</v>
      </c>
      <c r="C176" s="102">
        <v>2</v>
      </c>
      <c r="D176" s="106">
        <v>0.001862245610631357</v>
      </c>
      <c r="E176" s="106">
        <v>0.7038720634330149</v>
      </c>
      <c r="F176" s="102" t="s">
        <v>1450</v>
      </c>
      <c r="G176" s="102" t="b">
        <v>0</v>
      </c>
      <c r="H176" s="102" t="b">
        <v>0</v>
      </c>
      <c r="I176" s="102" t="b">
        <v>0</v>
      </c>
      <c r="J176" s="102" t="b">
        <v>0</v>
      </c>
      <c r="K176" s="102" t="b">
        <v>0</v>
      </c>
      <c r="L176" s="102" t="b">
        <v>0</v>
      </c>
    </row>
    <row r="177" spans="1:12" ht="15">
      <c r="A177" s="104" t="s">
        <v>1236</v>
      </c>
      <c r="B177" s="102" t="s">
        <v>1213</v>
      </c>
      <c r="C177" s="102">
        <v>2</v>
      </c>
      <c r="D177" s="106">
        <v>0.001862245610631357</v>
      </c>
      <c r="E177" s="106">
        <v>1.6700137961720476</v>
      </c>
      <c r="F177" s="102" t="s">
        <v>1450</v>
      </c>
      <c r="G177" s="102" t="b">
        <v>0</v>
      </c>
      <c r="H177" s="102" t="b">
        <v>0</v>
      </c>
      <c r="I177" s="102" t="b">
        <v>0</v>
      </c>
      <c r="J177" s="102" t="b">
        <v>0</v>
      </c>
      <c r="K177" s="102" t="b">
        <v>0</v>
      </c>
      <c r="L177" s="102" t="b">
        <v>0</v>
      </c>
    </row>
    <row r="178" spans="1:12" ht="15">
      <c r="A178" s="104" t="s">
        <v>1213</v>
      </c>
      <c r="B178" s="102" t="s">
        <v>1236</v>
      </c>
      <c r="C178" s="102">
        <v>2</v>
      </c>
      <c r="D178" s="106">
        <v>0.001862245610631357</v>
      </c>
      <c r="E178" s="106">
        <v>1.2898025544604415</v>
      </c>
      <c r="F178" s="102" t="s">
        <v>1450</v>
      </c>
      <c r="G178" s="102" t="b">
        <v>0</v>
      </c>
      <c r="H178" s="102" t="b">
        <v>0</v>
      </c>
      <c r="I178" s="102" t="b">
        <v>0</v>
      </c>
      <c r="J178" s="102" t="b">
        <v>0</v>
      </c>
      <c r="K178" s="102" t="b">
        <v>0</v>
      </c>
      <c r="L178" s="102" t="b">
        <v>0</v>
      </c>
    </row>
    <row r="179" spans="1:12" ht="15">
      <c r="A179" s="104" t="s">
        <v>1209</v>
      </c>
      <c r="B179" s="102" t="s">
        <v>1207</v>
      </c>
      <c r="C179" s="102">
        <v>2</v>
      </c>
      <c r="D179" s="106">
        <v>0.001862245610631357</v>
      </c>
      <c r="E179" s="106">
        <v>0.36144938261080867</v>
      </c>
      <c r="F179" s="102" t="s">
        <v>1450</v>
      </c>
      <c r="G179" s="102" t="b">
        <v>0</v>
      </c>
      <c r="H179" s="102" t="b">
        <v>0</v>
      </c>
      <c r="I179" s="102" t="b">
        <v>0</v>
      </c>
      <c r="J179" s="102" t="b">
        <v>0</v>
      </c>
      <c r="K179" s="102" t="b">
        <v>0</v>
      </c>
      <c r="L179" s="102" t="b">
        <v>0</v>
      </c>
    </row>
    <row r="180" spans="1:12" ht="15">
      <c r="A180" s="104" t="s">
        <v>1256</v>
      </c>
      <c r="B180" s="102" t="s">
        <v>1205</v>
      </c>
      <c r="C180" s="102">
        <v>2</v>
      </c>
      <c r="D180" s="106">
        <v>0.001862245610631357</v>
      </c>
      <c r="E180" s="106">
        <v>0.7906311589977049</v>
      </c>
      <c r="F180" s="102" t="s">
        <v>1450</v>
      </c>
      <c r="G180" s="102" t="b">
        <v>0</v>
      </c>
      <c r="H180" s="102" t="b">
        <v>0</v>
      </c>
      <c r="I180" s="102" t="b">
        <v>0</v>
      </c>
      <c r="J180" s="102" t="b">
        <v>0</v>
      </c>
      <c r="K180" s="102" t="b">
        <v>0</v>
      </c>
      <c r="L180" s="102" t="b">
        <v>0</v>
      </c>
    </row>
    <row r="181" spans="1:12" ht="15">
      <c r="A181" s="104" t="s">
        <v>1432</v>
      </c>
      <c r="B181" s="102" t="s">
        <v>1207</v>
      </c>
      <c r="C181" s="102">
        <v>2</v>
      </c>
      <c r="D181" s="106">
        <v>0.001862245610631357</v>
      </c>
      <c r="E181" s="106">
        <v>1.6286211110138225</v>
      </c>
      <c r="F181" s="102" t="s">
        <v>1450</v>
      </c>
      <c r="G181" s="102" t="b">
        <v>0</v>
      </c>
      <c r="H181" s="102" t="b">
        <v>0</v>
      </c>
      <c r="I181" s="102" t="b">
        <v>0</v>
      </c>
      <c r="J181" s="102" t="b">
        <v>0</v>
      </c>
      <c r="K181" s="102" t="b">
        <v>0</v>
      </c>
      <c r="L181" s="102" t="b">
        <v>0</v>
      </c>
    </row>
    <row r="182" spans="1:12" ht="15">
      <c r="A182" s="104" t="s">
        <v>1433</v>
      </c>
      <c r="B182" s="102" t="s">
        <v>1434</v>
      </c>
      <c r="C182" s="102">
        <v>2</v>
      </c>
      <c r="D182" s="106">
        <v>0.001862245610631357</v>
      </c>
      <c r="E182" s="106">
        <v>2.9710437918360286</v>
      </c>
      <c r="F182" s="102" t="s">
        <v>1450</v>
      </c>
      <c r="G182" s="102" t="b">
        <v>0</v>
      </c>
      <c r="H182" s="102" t="b">
        <v>0</v>
      </c>
      <c r="I182" s="102" t="b">
        <v>0</v>
      </c>
      <c r="J182" s="102" t="b">
        <v>0</v>
      </c>
      <c r="K182" s="102" t="b">
        <v>0</v>
      </c>
      <c r="L182" s="102" t="b">
        <v>0</v>
      </c>
    </row>
    <row r="183" spans="1:12" ht="15">
      <c r="A183" s="104" t="s">
        <v>1240</v>
      </c>
      <c r="B183" s="102" t="s">
        <v>1206</v>
      </c>
      <c r="C183" s="102">
        <v>2</v>
      </c>
      <c r="D183" s="106">
        <v>0.001862245610631357</v>
      </c>
      <c r="E183" s="106">
        <v>0.9933201865471809</v>
      </c>
      <c r="F183" s="102" t="s">
        <v>1450</v>
      </c>
      <c r="G183" s="102" t="b">
        <v>0</v>
      </c>
      <c r="H183" s="102" t="b">
        <v>0</v>
      </c>
      <c r="I183" s="102" t="b">
        <v>0</v>
      </c>
      <c r="J183" s="102" t="b">
        <v>0</v>
      </c>
      <c r="K183" s="102" t="b">
        <v>0</v>
      </c>
      <c r="L183" s="102" t="b">
        <v>0</v>
      </c>
    </row>
    <row r="184" spans="1:12" ht="15">
      <c r="A184" s="104" t="s">
        <v>1212</v>
      </c>
      <c r="B184" s="102" t="s">
        <v>1205</v>
      </c>
      <c r="C184" s="102">
        <v>2</v>
      </c>
      <c r="D184" s="106">
        <v>0.001862245610631357</v>
      </c>
      <c r="E184" s="106">
        <v>0.22635972855914221</v>
      </c>
      <c r="F184" s="102" t="s">
        <v>1450</v>
      </c>
      <c r="G184" s="102" t="b">
        <v>0</v>
      </c>
      <c r="H184" s="102" t="b">
        <v>0</v>
      </c>
      <c r="I184" s="102" t="b">
        <v>0</v>
      </c>
      <c r="J184" s="102" t="b">
        <v>0</v>
      </c>
      <c r="K184" s="102" t="b">
        <v>0</v>
      </c>
      <c r="L184" s="102" t="b">
        <v>0</v>
      </c>
    </row>
    <row r="185" spans="1:12" ht="15">
      <c r="A185" s="104" t="s">
        <v>1212</v>
      </c>
      <c r="B185" s="102" t="s">
        <v>1209</v>
      </c>
      <c r="C185" s="102">
        <v>2</v>
      </c>
      <c r="D185" s="106">
        <v>0.001862245610631357</v>
      </c>
      <c r="E185" s="106">
        <v>0.9296511066778037</v>
      </c>
      <c r="F185" s="102" t="s">
        <v>1450</v>
      </c>
      <c r="G185" s="102" t="b">
        <v>0</v>
      </c>
      <c r="H185" s="102" t="b">
        <v>0</v>
      </c>
      <c r="I185" s="102" t="b">
        <v>0</v>
      </c>
      <c r="J185" s="102" t="b">
        <v>0</v>
      </c>
      <c r="K185" s="102" t="b">
        <v>0</v>
      </c>
      <c r="L185" s="102" t="b">
        <v>0</v>
      </c>
    </row>
    <row r="186" spans="1:12" ht="15">
      <c r="A186" s="104" t="s">
        <v>1440</v>
      </c>
      <c r="B186" s="102" t="s">
        <v>1257</v>
      </c>
      <c r="C186" s="102">
        <v>2</v>
      </c>
      <c r="D186" s="106">
        <v>0.002159853119938308</v>
      </c>
      <c r="E186" s="106">
        <v>2.4939225371163665</v>
      </c>
      <c r="F186" s="102" t="s">
        <v>1450</v>
      </c>
      <c r="G186" s="102" t="b">
        <v>0</v>
      </c>
      <c r="H186" s="102" t="b">
        <v>0</v>
      </c>
      <c r="I186" s="102" t="b">
        <v>0</v>
      </c>
      <c r="J186" s="102" t="b">
        <v>0</v>
      </c>
      <c r="K186" s="102" t="b">
        <v>0</v>
      </c>
      <c r="L186" s="102" t="b">
        <v>0</v>
      </c>
    </row>
    <row r="187" spans="1:12" ht="15">
      <c r="A187" s="104" t="s">
        <v>1337</v>
      </c>
      <c r="B187" s="102" t="s">
        <v>1441</v>
      </c>
      <c r="C187" s="102">
        <v>2</v>
      </c>
      <c r="D187" s="106">
        <v>0.002159853119938308</v>
      </c>
      <c r="E187" s="106">
        <v>2.7949525327803473</v>
      </c>
      <c r="F187" s="102" t="s">
        <v>1450</v>
      </c>
      <c r="G187" s="102" t="b">
        <v>0</v>
      </c>
      <c r="H187" s="102" t="b">
        <v>0</v>
      </c>
      <c r="I187" s="102" t="b">
        <v>0</v>
      </c>
      <c r="J187" s="102" t="b">
        <v>0</v>
      </c>
      <c r="K187" s="102" t="b">
        <v>0</v>
      </c>
      <c r="L187" s="102" t="b">
        <v>0</v>
      </c>
    </row>
    <row r="188" spans="1:12" ht="15">
      <c r="A188" s="104" t="s">
        <v>1233</v>
      </c>
      <c r="B188" s="102" t="s">
        <v>1337</v>
      </c>
      <c r="C188" s="102">
        <v>2</v>
      </c>
      <c r="D188" s="106">
        <v>0.002159853119938308</v>
      </c>
      <c r="E188" s="106">
        <v>2.1417400190050038</v>
      </c>
      <c r="F188" s="102" t="s">
        <v>1450</v>
      </c>
      <c r="G188" s="102" t="b">
        <v>0</v>
      </c>
      <c r="H188" s="102" t="b">
        <v>0</v>
      </c>
      <c r="I188" s="102" t="b">
        <v>0</v>
      </c>
      <c r="J188" s="102" t="b">
        <v>0</v>
      </c>
      <c r="K188" s="102" t="b">
        <v>0</v>
      </c>
      <c r="L188" s="102" t="b">
        <v>0</v>
      </c>
    </row>
    <row r="189" spans="1:12" ht="15">
      <c r="A189" s="104" t="s">
        <v>1443</v>
      </c>
      <c r="B189" s="102" t="s">
        <v>1209</v>
      </c>
      <c r="C189" s="102">
        <v>2</v>
      </c>
      <c r="D189" s="106">
        <v>0.001862245610631357</v>
      </c>
      <c r="E189" s="106">
        <v>1.9710437918360286</v>
      </c>
      <c r="F189" s="102" t="s">
        <v>1450</v>
      </c>
      <c r="G189" s="102" t="b">
        <v>0</v>
      </c>
      <c r="H189" s="102" t="b">
        <v>0</v>
      </c>
      <c r="I189" s="102" t="b">
        <v>0</v>
      </c>
      <c r="J189" s="102" t="b">
        <v>0</v>
      </c>
      <c r="K189" s="102" t="b">
        <v>0</v>
      </c>
      <c r="L189" s="102" t="b">
        <v>0</v>
      </c>
    </row>
    <row r="190" spans="1:12" ht="15">
      <c r="A190" s="104" t="s">
        <v>1266</v>
      </c>
      <c r="B190" s="102" t="s">
        <v>1266</v>
      </c>
      <c r="C190" s="102">
        <v>2</v>
      </c>
      <c r="D190" s="106">
        <v>0.002159853119938308</v>
      </c>
      <c r="E190" s="106">
        <v>2.27207378750001</v>
      </c>
      <c r="F190" s="102" t="s">
        <v>1450</v>
      </c>
      <c r="G190" s="102" t="b">
        <v>0</v>
      </c>
      <c r="H190" s="102" t="b">
        <v>0</v>
      </c>
      <c r="I190" s="102" t="b">
        <v>0</v>
      </c>
      <c r="J190" s="102" t="b">
        <v>0</v>
      </c>
      <c r="K190" s="102" t="b">
        <v>0</v>
      </c>
      <c r="L190" s="102" t="b">
        <v>0</v>
      </c>
    </row>
    <row r="191" spans="1:12" ht="15">
      <c r="A191" s="104" t="s">
        <v>1212</v>
      </c>
      <c r="B191" s="102" t="s">
        <v>1224</v>
      </c>
      <c r="C191" s="102">
        <v>2</v>
      </c>
      <c r="D191" s="106">
        <v>0.001862245610631357</v>
      </c>
      <c r="E191" s="106">
        <v>1.27643859290246</v>
      </c>
      <c r="F191" s="102" t="s">
        <v>1450</v>
      </c>
      <c r="G191" s="102" t="b">
        <v>0</v>
      </c>
      <c r="H191" s="102" t="b">
        <v>0</v>
      </c>
      <c r="I191" s="102" t="b">
        <v>0</v>
      </c>
      <c r="J191" s="102" t="b">
        <v>0</v>
      </c>
      <c r="K191" s="102" t="b">
        <v>0</v>
      </c>
      <c r="L191" s="102" t="b">
        <v>0</v>
      </c>
    </row>
    <row r="192" spans="1:12" ht="15">
      <c r="A192" s="104" t="s">
        <v>1206</v>
      </c>
      <c r="B192" s="102" t="s">
        <v>1211</v>
      </c>
      <c r="C192" s="102">
        <v>11</v>
      </c>
      <c r="D192" s="106">
        <v>0.01479124860393034</v>
      </c>
      <c r="E192" s="106">
        <v>1.0788931568285014</v>
      </c>
      <c r="F192" s="102" t="s">
        <v>1176</v>
      </c>
      <c r="G192" s="102" t="b">
        <v>0</v>
      </c>
      <c r="H192" s="102" t="b">
        <v>0</v>
      </c>
      <c r="I192" s="102" t="b">
        <v>0</v>
      </c>
      <c r="J192" s="102" t="b">
        <v>0</v>
      </c>
      <c r="K192" s="102" t="b">
        <v>0</v>
      </c>
      <c r="L192" s="102" t="b">
        <v>0</v>
      </c>
    </row>
    <row r="193" spans="1:12" ht="15">
      <c r="A193" s="104" t="s">
        <v>1205</v>
      </c>
      <c r="B193" s="102" t="s">
        <v>1204</v>
      </c>
      <c r="C193" s="102">
        <v>8</v>
      </c>
      <c r="D193" s="106">
        <v>0.013188967503883958</v>
      </c>
      <c r="E193" s="106">
        <v>1.2268971975054948</v>
      </c>
      <c r="F193" s="102" t="s">
        <v>1176</v>
      </c>
      <c r="G193" s="102" t="b">
        <v>0</v>
      </c>
      <c r="H193" s="102" t="b">
        <v>0</v>
      </c>
      <c r="I193" s="102" t="b">
        <v>0</v>
      </c>
      <c r="J193" s="102" t="b">
        <v>0</v>
      </c>
      <c r="K193" s="102" t="b">
        <v>0</v>
      </c>
      <c r="L193" s="102" t="b">
        <v>0</v>
      </c>
    </row>
    <row r="194" spans="1:12" ht="15">
      <c r="A194" s="104" t="s">
        <v>1206</v>
      </c>
      <c r="B194" s="102" t="s">
        <v>1219</v>
      </c>
      <c r="C194" s="102">
        <v>7</v>
      </c>
      <c r="D194" s="106">
        <v>0.012432530365555184</v>
      </c>
      <c r="E194" s="106">
        <v>1.0934518769994264</v>
      </c>
      <c r="F194" s="102" t="s">
        <v>1176</v>
      </c>
      <c r="G194" s="102" t="b">
        <v>0</v>
      </c>
      <c r="H194" s="102" t="b">
        <v>0</v>
      </c>
      <c r="I194" s="102" t="b">
        <v>0</v>
      </c>
      <c r="J194" s="102" t="b">
        <v>0</v>
      </c>
      <c r="K194" s="102" t="b">
        <v>0</v>
      </c>
      <c r="L194" s="102" t="b">
        <v>0</v>
      </c>
    </row>
    <row r="195" spans="1:12" ht="15">
      <c r="A195" s="104" t="s">
        <v>1220</v>
      </c>
      <c r="B195" s="102" t="s">
        <v>1231</v>
      </c>
      <c r="C195" s="102">
        <v>7</v>
      </c>
      <c r="D195" s="106">
        <v>0.02080280797094404</v>
      </c>
      <c r="E195" s="106">
        <v>1.463304667292776</v>
      </c>
      <c r="F195" s="102" t="s">
        <v>1176</v>
      </c>
      <c r="G195" s="102" t="b">
        <v>0</v>
      </c>
      <c r="H195" s="102" t="b">
        <v>0</v>
      </c>
      <c r="I195" s="102" t="b">
        <v>0</v>
      </c>
      <c r="J195" s="102" t="b">
        <v>0</v>
      </c>
      <c r="K195" s="102" t="b">
        <v>0</v>
      </c>
      <c r="L195" s="102" t="b">
        <v>0</v>
      </c>
    </row>
    <row r="196" spans="1:12" ht="15">
      <c r="A196" s="104" t="s">
        <v>1206</v>
      </c>
      <c r="B196" s="102" t="s">
        <v>1205</v>
      </c>
      <c r="C196" s="102">
        <v>6</v>
      </c>
      <c r="D196" s="106">
        <v>0.012583417706892195</v>
      </c>
      <c r="E196" s="106">
        <v>0.7254750917048319</v>
      </c>
      <c r="F196" s="102" t="s">
        <v>1176</v>
      </c>
      <c r="G196" s="102" t="b">
        <v>0</v>
      </c>
      <c r="H196" s="102" t="b">
        <v>0</v>
      </c>
      <c r="I196" s="102" t="b">
        <v>0</v>
      </c>
      <c r="J196" s="102" t="b">
        <v>0</v>
      </c>
      <c r="K196" s="102" t="b">
        <v>0</v>
      </c>
      <c r="L196" s="102" t="b">
        <v>0</v>
      </c>
    </row>
    <row r="197" spans="1:12" ht="15">
      <c r="A197" s="104" t="s">
        <v>1258</v>
      </c>
      <c r="B197" s="102" t="s">
        <v>1233</v>
      </c>
      <c r="C197" s="102">
        <v>6</v>
      </c>
      <c r="D197" s="106">
        <v>0.02180060457725728</v>
      </c>
      <c r="E197" s="106">
        <v>1.6595993124367443</v>
      </c>
      <c r="F197" s="102" t="s">
        <v>1176</v>
      </c>
      <c r="G197" s="102" t="b">
        <v>0</v>
      </c>
      <c r="H197" s="102" t="b">
        <v>0</v>
      </c>
      <c r="I197" s="102" t="b">
        <v>0</v>
      </c>
      <c r="J197" s="102" t="b">
        <v>0</v>
      </c>
      <c r="K197" s="102" t="b">
        <v>0</v>
      </c>
      <c r="L197" s="102" t="b">
        <v>0</v>
      </c>
    </row>
    <row r="198" spans="1:12" ht="15">
      <c r="A198" s="104" t="s">
        <v>1216</v>
      </c>
      <c r="B198" s="102" t="s">
        <v>1226</v>
      </c>
      <c r="C198" s="102">
        <v>5</v>
      </c>
      <c r="D198" s="106">
        <v>0.010486181422410165</v>
      </c>
      <c r="E198" s="106">
        <v>1.6315705888365009</v>
      </c>
      <c r="F198" s="102" t="s">
        <v>1176</v>
      </c>
      <c r="G198" s="102" t="b">
        <v>0</v>
      </c>
      <c r="H198" s="102" t="b">
        <v>0</v>
      </c>
      <c r="I198" s="102" t="b">
        <v>0</v>
      </c>
      <c r="J198" s="102" t="b">
        <v>0</v>
      </c>
      <c r="K198" s="102" t="b">
        <v>0</v>
      </c>
      <c r="L198" s="102" t="b">
        <v>0</v>
      </c>
    </row>
    <row r="199" spans="1:12" ht="15">
      <c r="A199" s="104" t="s">
        <v>1226</v>
      </c>
      <c r="B199" s="102" t="s">
        <v>1239</v>
      </c>
      <c r="C199" s="102">
        <v>5</v>
      </c>
      <c r="D199" s="106">
        <v>0.010486181422410165</v>
      </c>
      <c r="E199" s="106">
        <v>1.7107518348841255</v>
      </c>
      <c r="F199" s="102" t="s">
        <v>1176</v>
      </c>
      <c r="G199" s="102" t="b">
        <v>0</v>
      </c>
      <c r="H199" s="102" t="b">
        <v>0</v>
      </c>
      <c r="I199" s="102" t="b">
        <v>0</v>
      </c>
      <c r="J199" s="102" t="b">
        <v>0</v>
      </c>
      <c r="K199" s="102" t="b">
        <v>0</v>
      </c>
      <c r="L199" s="102" t="b">
        <v>0</v>
      </c>
    </row>
    <row r="200" spans="1:12" ht="15">
      <c r="A200" s="104" t="s">
        <v>1257</v>
      </c>
      <c r="B200" s="102" t="s">
        <v>1258</v>
      </c>
      <c r="C200" s="102">
        <v>4</v>
      </c>
      <c r="D200" s="106">
        <v>0.014533736384838186</v>
      </c>
      <c r="E200" s="106">
        <v>1.6595993124367443</v>
      </c>
      <c r="F200" s="102" t="s">
        <v>1176</v>
      </c>
      <c r="G200" s="102" t="b">
        <v>0</v>
      </c>
      <c r="H200" s="102" t="b">
        <v>0</v>
      </c>
      <c r="I200" s="102" t="b">
        <v>0</v>
      </c>
      <c r="J200" s="102" t="b">
        <v>0</v>
      </c>
      <c r="K200" s="102" t="b">
        <v>0</v>
      </c>
      <c r="L200" s="102" t="b">
        <v>0</v>
      </c>
    </row>
    <row r="201" spans="1:12" ht="15">
      <c r="A201" s="104" t="s">
        <v>1236</v>
      </c>
      <c r="B201" s="102" t="s">
        <v>1206</v>
      </c>
      <c r="C201" s="102">
        <v>3</v>
      </c>
      <c r="D201" s="106">
        <v>0.007754447861905591</v>
      </c>
      <c r="E201" s="106">
        <v>0.8814480620531007</v>
      </c>
      <c r="F201" s="102" t="s">
        <v>1176</v>
      </c>
      <c r="G201" s="102" t="b">
        <v>0</v>
      </c>
      <c r="H201" s="102" t="b">
        <v>0</v>
      </c>
      <c r="I201" s="102" t="b">
        <v>0</v>
      </c>
      <c r="J201" s="102" t="b">
        <v>0</v>
      </c>
      <c r="K201" s="102" t="b">
        <v>0</v>
      </c>
      <c r="L201" s="102" t="b">
        <v>0</v>
      </c>
    </row>
    <row r="202" spans="1:12" ht="15">
      <c r="A202" s="104" t="s">
        <v>1255</v>
      </c>
      <c r="B202" s="102" t="s">
        <v>1299</v>
      </c>
      <c r="C202" s="102">
        <v>3</v>
      </c>
      <c r="D202" s="106">
        <v>0.007754447861905591</v>
      </c>
      <c r="E202" s="106">
        <v>1.9148718175400503</v>
      </c>
      <c r="F202" s="102" t="s">
        <v>1176</v>
      </c>
      <c r="G202" s="102" t="b">
        <v>0</v>
      </c>
      <c r="H202" s="102" t="b">
        <v>0</v>
      </c>
      <c r="I202" s="102" t="b">
        <v>0</v>
      </c>
      <c r="J202" s="102" t="b">
        <v>0</v>
      </c>
      <c r="K202" s="102" t="b">
        <v>0</v>
      </c>
      <c r="L202" s="102" t="b">
        <v>0</v>
      </c>
    </row>
    <row r="203" spans="1:12" ht="15">
      <c r="A203" s="104" t="s">
        <v>1205</v>
      </c>
      <c r="B203" s="102" t="s">
        <v>1212</v>
      </c>
      <c r="C203" s="102">
        <v>3</v>
      </c>
      <c r="D203" s="106">
        <v>0.007754447861905591</v>
      </c>
      <c r="E203" s="106">
        <v>0.9148718175400504</v>
      </c>
      <c r="F203" s="102" t="s">
        <v>1176</v>
      </c>
      <c r="G203" s="102" t="b">
        <v>0</v>
      </c>
      <c r="H203" s="102" t="b">
        <v>0</v>
      </c>
      <c r="I203" s="102" t="b">
        <v>0</v>
      </c>
      <c r="J203" s="102" t="b">
        <v>0</v>
      </c>
      <c r="K203" s="102" t="b">
        <v>0</v>
      </c>
      <c r="L203" s="102" t="b">
        <v>0</v>
      </c>
    </row>
    <row r="204" spans="1:12" ht="15">
      <c r="A204" s="104" t="s">
        <v>1221</v>
      </c>
      <c r="B204" s="102" t="s">
        <v>1206</v>
      </c>
      <c r="C204" s="102">
        <v>3</v>
      </c>
      <c r="D204" s="106">
        <v>0.007754447861905591</v>
      </c>
      <c r="E204" s="106">
        <v>0.8814480620531007</v>
      </c>
      <c r="F204" s="102" t="s">
        <v>1176</v>
      </c>
      <c r="G204" s="102" t="b">
        <v>0</v>
      </c>
      <c r="H204" s="102" t="b">
        <v>0</v>
      </c>
      <c r="I204" s="102" t="b">
        <v>0</v>
      </c>
      <c r="J204" s="102" t="b">
        <v>0</v>
      </c>
      <c r="K204" s="102" t="b">
        <v>0</v>
      </c>
      <c r="L204" s="102" t="b">
        <v>0</v>
      </c>
    </row>
    <row r="205" spans="1:12" ht="15">
      <c r="A205" s="104" t="s">
        <v>1213</v>
      </c>
      <c r="B205" s="102" t="s">
        <v>1208</v>
      </c>
      <c r="C205" s="102">
        <v>3</v>
      </c>
      <c r="D205" s="106">
        <v>0.007754447861905591</v>
      </c>
      <c r="E205" s="106">
        <v>1.0909630765957317</v>
      </c>
      <c r="F205" s="102" t="s">
        <v>1176</v>
      </c>
      <c r="G205" s="102" t="b">
        <v>0</v>
      </c>
      <c r="H205" s="102" t="b">
        <v>0</v>
      </c>
      <c r="I205" s="102" t="b">
        <v>0</v>
      </c>
      <c r="J205" s="102" t="b">
        <v>0</v>
      </c>
      <c r="K205" s="102" t="b">
        <v>0</v>
      </c>
      <c r="L205" s="102" t="b">
        <v>0</v>
      </c>
    </row>
    <row r="206" spans="1:12" ht="15">
      <c r="A206" s="104" t="s">
        <v>1208</v>
      </c>
      <c r="B206" s="102" t="s">
        <v>1205</v>
      </c>
      <c r="C206" s="102">
        <v>3</v>
      </c>
      <c r="D206" s="106">
        <v>0.007754447861905591</v>
      </c>
      <c r="E206" s="106">
        <v>1.187873089603788</v>
      </c>
      <c r="F206" s="102" t="s">
        <v>1176</v>
      </c>
      <c r="G206" s="102" t="b">
        <v>0</v>
      </c>
      <c r="H206" s="102" t="b">
        <v>0</v>
      </c>
      <c r="I206" s="102" t="b">
        <v>0</v>
      </c>
      <c r="J206" s="102" t="b">
        <v>0</v>
      </c>
      <c r="K206" s="102" t="b">
        <v>0</v>
      </c>
      <c r="L206" s="102" t="b">
        <v>0</v>
      </c>
    </row>
    <row r="207" spans="1:12" ht="15">
      <c r="A207" s="104" t="s">
        <v>1204</v>
      </c>
      <c r="B207" s="102" t="s">
        <v>1212</v>
      </c>
      <c r="C207" s="102">
        <v>3</v>
      </c>
      <c r="D207" s="106">
        <v>0.007754447861905591</v>
      </c>
      <c r="E207" s="106">
        <v>1.0117818305481068</v>
      </c>
      <c r="F207" s="102" t="s">
        <v>1176</v>
      </c>
      <c r="G207" s="102" t="b">
        <v>0</v>
      </c>
      <c r="H207" s="102" t="b">
        <v>0</v>
      </c>
      <c r="I207" s="102" t="b">
        <v>0</v>
      </c>
      <c r="J207" s="102" t="b">
        <v>0</v>
      </c>
      <c r="K207" s="102" t="b">
        <v>0</v>
      </c>
      <c r="L207" s="102" t="b">
        <v>0</v>
      </c>
    </row>
    <row r="208" spans="1:12" ht="15">
      <c r="A208" s="104" t="s">
        <v>1211</v>
      </c>
      <c r="B208" s="102" t="s">
        <v>1255</v>
      </c>
      <c r="C208" s="102">
        <v>3</v>
      </c>
      <c r="D208" s="106">
        <v>0.007754447861905591</v>
      </c>
      <c r="E208" s="106">
        <v>1.278049719952876</v>
      </c>
      <c r="F208" s="102" t="s">
        <v>1176</v>
      </c>
      <c r="G208" s="102" t="b">
        <v>0</v>
      </c>
      <c r="H208" s="102" t="b">
        <v>0</v>
      </c>
      <c r="I208" s="102" t="b">
        <v>0</v>
      </c>
      <c r="J208" s="102" t="b">
        <v>0</v>
      </c>
      <c r="K208" s="102" t="b">
        <v>0</v>
      </c>
      <c r="L208" s="102" t="b">
        <v>0</v>
      </c>
    </row>
    <row r="209" spans="1:12" ht="15">
      <c r="A209" s="104" t="s">
        <v>1204</v>
      </c>
      <c r="B209" s="102" t="s">
        <v>1206</v>
      </c>
      <c r="C209" s="102">
        <v>2</v>
      </c>
      <c r="D209" s="106">
        <v>0.005943659420269725</v>
      </c>
      <c r="E209" s="106">
        <v>0.4043268073334383</v>
      </c>
      <c r="F209" s="102" t="s">
        <v>1176</v>
      </c>
      <c r="G209" s="102" t="b">
        <v>0</v>
      </c>
      <c r="H209" s="102" t="b">
        <v>0</v>
      </c>
      <c r="I209" s="102" t="b">
        <v>0</v>
      </c>
      <c r="J209" s="102" t="b">
        <v>0</v>
      </c>
      <c r="K209" s="102" t="b">
        <v>0</v>
      </c>
      <c r="L209" s="102" t="b">
        <v>0</v>
      </c>
    </row>
    <row r="210" spans="1:12" ht="15">
      <c r="A210" s="104" t="s">
        <v>1236</v>
      </c>
      <c r="B210" s="102" t="s">
        <v>1213</v>
      </c>
      <c r="C210" s="102">
        <v>2</v>
      </c>
      <c r="D210" s="106">
        <v>0.005943659420269725</v>
      </c>
      <c r="E210" s="106">
        <v>1.29162252714215</v>
      </c>
      <c r="F210" s="102" t="s">
        <v>1176</v>
      </c>
      <c r="G210" s="102" t="b">
        <v>0</v>
      </c>
      <c r="H210" s="102" t="b">
        <v>0</v>
      </c>
      <c r="I210" s="102" t="b">
        <v>0</v>
      </c>
      <c r="J210" s="102" t="b">
        <v>0</v>
      </c>
      <c r="K210" s="102" t="b">
        <v>0</v>
      </c>
      <c r="L210" s="102" t="b">
        <v>0</v>
      </c>
    </row>
    <row r="211" spans="1:12" ht="15">
      <c r="A211" s="104" t="s">
        <v>1283</v>
      </c>
      <c r="B211" s="102" t="s">
        <v>1314</v>
      </c>
      <c r="C211" s="102">
        <v>2</v>
      </c>
      <c r="D211" s="106">
        <v>0.005943659420269725</v>
      </c>
      <c r="E211" s="106">
        <v>2.1367205671564067</v>
      </c>
      <c r="F211" s="102" t="s">
        <v>1176</v>
      </c>
      <c r="G211" s="102" t="b">
        <v>0</v>
      </c>
      <c r="H211" s="102" t="b">
        <v>0</v>
      </c>
      <c r="I211" s="102" t="b">
        <v>0</v>
      </c>
      <c r="J211" s="102" t="b">
        <v>0</v>
      </c>
      <c r="K211" s="102" t="b">
        <v>0</v>
      </c>
      <c r="L211" s="102" t="b">
        <v>0</v>
      </c>
    </row>
    <row r="212" spans="1:12" ht="15">
      <c r="A212" s="104" t="s">
        <v>1213</v>
      </c>
      <c r="B212" s="102" t="s">
        <v>1218</v>
      </c>
      <c r="C212" s="102">
        <v>2</v>
      </c>
      <c r="D212" s="106">
        <v>0.005943659420269725</v>
      </c>
      <c r="E212" s="106">
        <v>1.312811826212088</v>
      </c>
      <c r="F212" s="102" t="s">
        <v>1176</v>
      </c>
      <c r="G212" s="102" t="b">
        <v>0</v>
      </c>
      <c r="H212" s="102" t="b">
        <v>0</v>
      </c>
      <c r="I212" s="102" t="b">
        <v>0</v>
      </c>
      <c r="J212" s="102" t="b">
        <v>0</v>
      </c>
      <c r="K212" s="102" t="b">
        <v>0</v>
      </c>
      <c r="L212" s="102" t="b">
        <v>0</v>
      </c>
    </row>
    <row r="213" spans="1:12" ht="15">
      <c r="A213" s="104" t="s">
        <v>1218</v>
      </c>
      <c r="B213" s="102" t="s">
        <v>1206</v>
      </c>
      <c r="C213" s="102">
        <v>2</v>
      </c>
      <c r="D213" s="106">
        <v>0.005943659420269725</v>
      </c>
      <c r="E213" s="106">
        <v>1.182478057717082</v>
      </c>
      <c r="F213" s="102" t="s">
        <v>1176</v>
      </c>
      <c r="G213" s="102" t="b">
        <v>0</v>
      </c>
      <c r="H213" s="102" t="b">
        <v>0</v>
      </c>
      <c r="I213" s="102" t="b">
        <v>0</v>
      </c>
      <c r="J213" s="102" t="b">
        <v>0</v>
      </c>
      <c r="K213" s="102" t="b">
        <v>0</v>
      </c>
      <c r="L213" s="102" t="b">
        <v>0</v>
      </c>
    </row>
    <row r="214" spans="1:12" ht="15">
      <c r="A214" s="104" t="s">
        <v>1212</v>
      </c>
      <c r="B214" s="102" t="s">
        <v>1224</v>
      </c>
      <c r="C214" s="102">
        <v>2</v>
      </c>
      <c r="D214" s="106">
        <v>0.005943659420269725</v>
      </c>
      <c r="E214" s="106">
        <v>1.2246757375115367</v>
      </c>
      <c r="F214" s="102" t="s">
        <v>1176</v>
      </c>
      <c r="G214" s="102" t="b">
        <v>0</v>
      </c>
      <c r="H214" s="102" t="b">
        <v>0</v>
      </c>
      <c r="I214" s="102" t="b">
        <v>0</v>
      </c>
      <c r="J214" s="102" t="b">
        <v>0</v>
      </c>
      <c r="K214" s="102" t="b">
        <v>0</v>
      </c>
      <c r="L214" s="102" t="b">
        <v>0</v>
      </c>
    </row>
    <row r="215" spans="1:12" ht="15">
      <c r="A215" s="104" t="s">
        <v>1213</v>
      </c>
      <c r="B215" s="102" t="s">
        <v>1236</v>
      </c>
      <c r="C215" s="102">
        <v>2</v>
      </c>
      <c r="D215" s="106">
        <v>0.005943659420269725</v>
      </c>
      <c r="E215" s="106">
        <v>0.8356905714924255</v>
      </c>
      <c r="F215" s="102" t="s">
        <v>1176</v>
      </c>
      <c r="G215" s="102" t="b">
        <v>0</v>
      </c>
      <c r="H215" s="102" t="b">
        <v>0</v>
      </c>
      <c r="I215" s="102" t="b">
        <v>0</v>
      </c>
      <c r="J215" s="102" t="b">
        <v>0</v>
      </c>
      <c r="K215" s="102" t="b">
        <v>0</v>
      </c>
      <c r="L215" s="102" t="b">
        <v>0</v>
      </c>
    </row>
    <row r="216" spans="1:12" ht="15">
      <c r="A216" s="104" t="s">
        <v>1207</v>
      </c>
      <c r="B216" s="102" t="s">
        <v>1274</v>
      </c>
      <c r="C216" s="102">
        <v>2</v>
      </c>
      <c r="D216" s="106">
        <v>0.005943659420269725</v>
      </c>
      <c r="E216" s="106">
        <v>1.8356905714924256</v>
      </c>
      <c r="F216" s="102" t="s">
        <v>1176</v>
      </c>
      <c r="G216" s="102" t="b">
        <v>0</v>
      </c>
      <c r="H216" s="102" t="b">
        <v>0</v>
      </c>
      <c r="I216" s="102" t="b">
        <v>0</v>
      </c>
      <c r="J216" s="102" t="b">
        <v>0</v>
      </c>
      <c r="K216" s="102" t="b">
        <v>0</v>
      </c>
      <c r="L216" s="102" t="b">
        <v>0</v>
      </c>
    </row>
    <row r="217" spans="1:12" ht="15">
      <c r="A217" s="104" t="s">
        <v>1211</v>
      </c>
      <c r="B217" s="102" t="s">
        <v>1205</v>
      </c>
      <c r="C217" s="102">
        <v>2</v>
      </c>
      <c r="D217" s="106">
        <v>0.005943659420269725</v>
      </c>
      <c r="E217" s="106">
        <v>0.5968084825772889</v>
      </c>
      <c r="F217" s="102" t="s">
        <v>1176</v>
      </c>
      <c r="G217" s="102" t="b">
        <v>0</v>
      </c>
      <c r="H217" s="102" t="b">
        <v>0</v>
      </c>
      <c r="I217" s="102" t="b">
        <v>0</v>
      </c>
      <c r="J217" s="102" t="b">
        <v>0</v>
      </c>
      <c r="K217" s="102" t="b">
        <v>0</v>
      </c>
      <c r="L217" s="102" t="b">
        <v>0</v>
      </c>
    </row>
    <row r="218" spans="1:12" ht="15">
      <c r="A218" s="104" t="s">
        <v>1360</v>
      </c>
      <c r="B218" s="102" t="s">
        <v>1220</v>
      </c>
      <c r="C218" s="102">
        <v>2</v>
      </c>
      <c r="D218" s="106">
        <v>0.005943659420269725</v>
      </c>
      <c r="E218" s="106">
        <v>1.4998984695692326</v>
      </c>
      <c r="F218" s="102" t="s">
        <v>1176</v>
      </c>
      <c r="G218" s="102" t="b">
        <v>0</v>
      </c>
      <c r="H218" s="102" t="b">
        <v>0</v>
      </c>
      <c r="I218" s="102" t="b">
        <v>0</v>
      </c>
      <c r="J218" s="102" t="b">
        <v>0</v>
      </c>
      <c r="K218" s="102" t="b">
        <v>0</v>
      </c>
      <c r="L218" s="102" t="b">
        <v>0</v>
      </c>
    </row>
    <row r="219" spans="1:12" ht="15">
      <c r="A219" s="104" t="s">
        <v>1220</v>
      </c>
      <c r="B219" s="102" t="s">
        <v>1361</v>
      </c>
      <c r="C219" s="102">
        <v>2</v>
      </c>
      <c r="D219" s="106">
        <v>0.005943659420269725</v>
      </c>
      <c r="E219" s="106">
        <v>1.5724491367178441</v>
      </c>
      <c r="F219" s="102" t="s">
        <v>1176</v>
      </c>
      <c r="G219" s="102" t="b">
        <v>0</v>
      </c>
      <c r="H219" s="102" t="b">
        <v>0</v>
      </c>
      <c r="I219" s="102" t="b">
        <v>0</v>
      </c>
      <c r="J219" s="102" t="b">
        <v>0</v>
      </c>
      <c r="K219" s="102" t="b">
        <v>0</v>
      </c>
      <c r="L219" s="102" t="b">
        <v>0</v>
      </c>
    </row>
    <row r="220" spans="1:12" ht="15">
      <c r="A220" s="104" t="s">
        <v>1361</v>
      </c>
      <c r="B220" s="102" t="s">
        <v>1231</v>
      </c>
      <c r="C220" s="102">
        <v>2</v>
      </c>
      <c r="D220" s="106">
        <v>0.005943659420269725</v>
      </c>
      <c r="E220" s="106">
        <v>1.6595993124367443</v>
      </c>
      <c r="F220" s="102" t="s">
        <v>1176</v>
      </c>
      <c r="G220" s="102" t="b">
        <v>0</v>
      </c>
      <c r="H220" s="102" t="b">
        <v>0</v>
      </c>
      <c r="I220" s="102" t="b">
        <v>0</v>
      </c>
      <c r="J220" s="102" t="b">
        <v>0</v>
      </c>
      <c r="K220" s="102" t="b">
        <v>0</v>
      </c>
      <c r="L220" s="102" t="b">
        <v>0</v>
      </c>
    </row>
    <row r="221" spans="1:12" ht="15">
      <c r="A221" s="104" t="s">
        <v>1231</v>
      </c>
      <c r="B221" s="102" t="s">
        <v>1205</v>
      </c>
      <c r="C221" s="102">
        <v>2</v>
      </c>
      <c r="D221" s="106">
        <v>0.005943659420269725</v>
      </c>
      <c r="E221" s="106">
        <v>0.7565093254448008</v>
      </c>
      <c r="F221" s="102" t="s">
        <v>1176</v>
      </c>
      <c r="G221" s="102" t="b">
        <v>0</v>
      </c>
      <c r="H221" s="102" t="b">
        <v>0</v>
      </c>
      <c r="I221" s="102" t="b">
        <v>0</v>
      </c>
      <c r="J221" s="102" t="b">
        <v>0</v>
      </c>
      <c r="K221" s="102" t="b">
        <v>0</v>
      </c>
      <c r="L221" s="102" t="b">
        <v>0</v>
      </c>
    </row>
    <row r="222" spans="1:12" ht="15">
      <c r="A222" s="104" t="s">
        <v>1205</v>
      </c>
      <c r="B222" s="102" t="s">
        <v>1213</v>
      </c>
      <c r="C222" s="102">
        <v>2</v>
      </c>
      <c r="D222" s="106">
        <v>0.005943659420269725</v>
      </c>
      <c r="E222" s="106">
        <v>0.8936825184701124</v>
      </c>
      <c r="F222" s="102" t="s">
        <v>1176</v>
      </c>
      <c r="G222" s="102" t="b">
        <v>0</v>
      </c>
      <c r="H222" s="102" t="b">
        <v>0</v>
      </c>
      <c r="I222" s="102" t="b">
        <v>0</v>
      </c>
      <c r="J222" s="102" t="b">
        <v>0</v>
      </c>
      <c r="K222" s="102" t="b">
        <v>0</v>
      </c>
      <c r="L222" s="102" t="b">
        <v>0</v>
      </c>
    </row>
    <row r="223" spans="1:12" ht="15">
      <c r="A223" s="104" t="s">
        <v>1206</v>
      </c>
      <c r="B223" s="102" t="s">
        <v>1217</v>
      </c>
      <c r="C223" s="102">
        <v>2</v>
      </c>
      <c r="D223" s="106">
        <v>0.005943659420269725</v>
      </c>
      <c r="E223" s="106">
        <v>0.9753525649214319</v>
      </c>
      <c r="F223" s="102" t="s">
        <v>1176</v>
      </c>
      <c r="G223" s="102" t="b">
        <v>0</v>
      </c>
      <c r="H223" s="102" t="b">
        <v>0</v>
      </c>
      <c r="I223" s="102" t="b">
        <v>0</v>
      </c>
      <c r="J223" s="102" t="b">
        <v>0</v>
      </c>
      <c r="K223" s="102" t="b">
        <v>0</v>
      </c>
      <c r="L223" s="102" t="b">
        <v>0</v>
      </c>
    </row>
    <row r="224" spans="1:12" ht="15">
      <c r="A224" s="104" t="s">
        <v>1255</v>
      </c>
      <c r="B224" s="102" t="s">
        <v>1334</v>
      </c>
      <c r="C224" s="102">
        <v>2</v>
      </c>
      <c r="D224" s="106">
        <v>0.005943659420269725</v>
      </c>
      <c r="E224" s="106">
        <v>1.9148718175400503</v>
      </c>
      <c r="F224" s="102" t="s">
        <v>1176</v>
      </c>
      <c r="G224" s="102" t="b">
        <v>0</v>
      </c>
      <c r="H224" s="102" t="b">
        <v>0</v>
      </c>
      <c r="I224" s="102" t="b">
        <v>0</v>
      </c>
      <c r="J224" s="102" t="b">
        <v>0</v>
      </c>
      <c r="K224" s="102" t="b">
        <v>0</v>
      </c>
      <c r="L224" s="102" t="b">
        <v>0</v>
      </c>
    </row>
    <row r="225" spans="1:12" ht="15">
      <c r="A225" s="104" t="s">
        <v>1440</v>
      </c>
      <c r="B225" s="102" t="s">
        <v>1257</v>
      </c>
      <c r="C225" s="102">
        <v>2</v>
      </c>
      <c r="D225" s="106">
        <v>0.007266868192419093</v>
      </c>
      <c r="E225" s="106">
        <v>1.8356905714924256</v>
      </c>
      <c r="F225" s="102" t="s">
        <v>1176</v>
      </c>
      <c r="G225" s="102" t="b">
        <v>0</v>
      </c>
      <c r="H225" s="102" t="b">
        <v>0</v>
      </c>
      <c r="I225" s="102" t="b">
        <v>0</v>
      </c>
      <c r="J225" s="102" t="b">
        <v>0</v>
      </c>
      <c r="K225" s="102" t="b">
        <v>0</v>
      </c>
      <c r="L225" s="102" t="b">
        <v>0</v>
      </c>
    </row>
    <row r="226" spans="1:12" ht="15">
      <c r="A226" s="104" t="s">
        <v>1337</v>
      </c>
      <c r="B226" s="102" t="s">
        <v>1441</v>
      </c>
      <c r="C226" s="102">
        <v>2</v>
      </c>
      <c r="D226" s="106">
        <v>0.007266868192419093</v>
      </c>
      <c r="E226" s="106">
        <v>2.1367205671564067</v>
      </c>
      <c r="F226" s="102" t="s">
        <v>1176</v>
      </c>
      <c r="G226" s="102" t="b">
        <v>0</v>
      </c>
      <c r="H226" s="102" t="b">
        <v>0</v>
      </c>
      <c r="I226" s="102" t="b">
        <v>0</v>
      </c>
      <c r="J226" s="102" t="b">
        <v>0</v>
      </c>
      <c r="K226" s="102" t="b">
        <v>0</v>
      </c>
      <c r="L226" s="102" t="b">
        <v>0</v>
      </c>
    </row>
    <row r="227" spans="1:12" ht="15">
      <c r="A227" s="104" t="s">
        <v>1233</v>
      </c>
      <c r="B227" s="102" t="s">
        <v>1337</v>
      </c>
      <c r="C227" s="102">
        <v>2</v>
      </c>
      <c r="D227" s="106">
        <v>0.007266868192419093</v>
      </c>
      <c r="E227" s="106">
        <v>1.4835080533810632</v>
      </c>
      <c r="F227" s="102" t="s">
        <v>1176</v>
      </c>
      <c r="G227" s="102" t="b">
        <v>0</v>
      </c>
      <c r="H227" s="102" t="b">
        <v>0</v>
      </c>
      <c r="I227" s="102" t="b">
        <v>0</v>
      </c>
      <c r="J227" s="102" t="b">
        <v>0</v>
      </c>
      <c r="K227" s="102" t="b">
        <v>0</v>
      </c>
      <c r="L227" s="102" t="b">
        <v>0</v>
      </c>
    </row>
    <row r="228" spans="1:12" ht="15">
      <c r="A228" s="104" t="s">
        <v>1237</v>
      </c>
      <c r="B228" s="102" t="s">
        <v>1220</v>
      </c>
      <c r="C228" s="102">
        <v>2</v>
      </c>
      <c r="D228" s="106">
        <v>0.007266868192419093</v>
      </c>
      <c r="E228" s="106">
        <v>1.02277721484957</v>
      </c>
      <c r="F228" s="102" t="s">
        <v>1176</v>
      </c>
      <c r="G228" s="102" t="b">
        <v>0</v>
      </c>
      <c r="H228" s="102" t="b">
        <v>0</v>
      </c>
      <c r="I228" s="102" t="b">
        <v>0</v>
      </c>
      <c r="J228" s="102" t="b">
        <v>0</v>
      </c>
      <c r="K228" s="102" t="b">
        <v>0</v>
      </c>
      <c r="L228" s="102" t="b">
        <v>0</v>
      </c>
    </row>
    <row r="229" spans="1:12" ht="15">
      <c r="A229" s="104" t="s">
        <v>1366</v>
      </c>
      <c r="B229" s="102" t="s">
        <v>1220</v>
      </c>
      <c r="C229" s="102">
        <v>2</v>
      </c>
      <c r="D229" s="106">
        <v>0.007266868192419093</v>
      </c>
      <c r="E229" s="106">
        <v>1.4998984695692326</v>
      </c>
      <c r="F229" s="102" t="s">
        <v>1176</v>
      </c>
      <c r="G229" s="102" t="b">
        <v>0</v>
      </c>
      <c r="H229" s="102" t="b">
        <v>0</v>
      </c>
      <c r="I229" s="102" t="b">
        <v>0</v>
      </c>
      <c r="J229" s="102" t="b">
        <v>0</v>
      </c>
      <c r="K229" s="102" t="b">
        <v>0</v>
      </c>
      <c r="L229" s="102" t="b">
        <v>0</v>
      </c>
    </row>
    <row r="230" spans="1:12" ht="15">
      <c r="A230" s="104" t="s">
        <v>1367</v>
      </c>
      <c r="B230" s="102" t="s">
        <v>1220</v>
      </c>
      <c r="C230" s="102">
        <v>2</v>
      </c>
      <c r="D230" s="106">
        <v>0.007266868192419093</v>
      </c>
      <c r="E230" s="106">
        <v>1.4998984695692326</v>
      </c>
      <c r="F230" s="102" t="s">
        <v>1176</v>
      </c>
      <c r="G230" s="102" t="b">
        <v>0</v>
      </c>
      <c r="H230" s="102" t="b">
        <v>0</v>
      </c>
      <c r="I230" s="102" t="b">
        <v>0</v>
      </c>
      <c r="J230" s="102" t="b">
        <v>0</v>
      </c>
      <c r="K230" s="102" t="b">
        <v>0</v>
      </c>
      <c r="L230" s="102" t="b">
        <v>0</v>
      </c>
    </row>
    <row r="231" spans="1:12" ht="15">
      <c r="A231" s="104" t="s">
        <v>1362</v>
      </c>
      <c r="B231" s="102" t="s">
        <v>1363</v>
      </c>
      <c r="C231" s="102">
        <v>2</v>
      </c>
      <c r="D231" s="106">
        <v>0.005943659420269725</v>
      </c>
      <c r="E231" s="106">
        <v>2.312811826212088</v>
      </c>
      <c r="F231" s="102" t="s">
        <v>1176</v>
      </c>
      <c r="G231" s="102" t="b">
        <v>0</v>
      </c>
      <c r="H231" s="102" t="b">
        <v>0</v>
      </c>
      <c r="I231" s="102" t="b">
        <v>0</v>
      </c>
      <c r="J231" s="102" t="b">
        <v>0</v>
      </c>
      <c r="K231" s="102" t="b">
        <v>0</v>
      </c>
      <c r="L231" s="102" t="b">
        <v>0</v>
      </c>
    </row>
    <row r="232" spans="1:12" ht="15">
      <c r="A232" s="104" t="s">
        <v>1205</v>
      </c>
      <c r="B232" s="102" t="s">
        <v>1204</v>
      </c>
      <c r="C232" s="102">
        <v>31</v>
      </c>
      <c r="D232" s="106">
        <v>0.014128764811751363</v>
      </c>
      <c r="E232" s="106">
        <v>0.8686171036464593</v>
      </c>
      <c r="F232" s="102" t="s">
        <v>1177</v>
      </c>
      <c r="G232" s="102" t="b">
        <v>0</v>
      </c>
      <c r="H232" s="102" t="b">
        <v>0</v>
      </c>
      <c r="I232" s="102" t="b">
        <v>0</v>
      </c>
      <c r="J232" s="102" t="b">
        <v>0</v>
      </c>
      <c r="K232" s="102" t="b">
        <v>0</v>
      </c>
      <c r="L232" s="102" t="b">
        <v>0</v>
      </c>
    </row>
    <row r="233" spans="1:12" ht="15">
      <c r="A233" s="104" t="s">
        <v>1215</v>
      </c>
      <c r="B233" s="102" t="s">
        <v>1210</v>
      </c>
      <c r="C233" s="102">
        <v>21</v>
      </c>
      <c r="D233" s="106">
        <v>0.02817928918539201</v>
      </c>
      <c r="E233" s="106">
        <v>1.2537619140780676</v>
      </c>
      <c r="F233" s="102" t="s">
        <v>1177</v>
      </c>
      <c r="G233" s="102" t="b">
        <v>0</v>
      </c>
      <c r="H233" s="102" t="b">
        <v>0</v>
      </c>
      <c r="I233" s="102" t="b">
        <v>0</v>
      </c>
      <c r="J233" s="102" t="b">
        <v>0</v>
      </c>
      <c r="K233" s="102" t="b">
        <v>0</v>
      </c>
      <c r="L233" s="102" t="b">
        <v>0</v>
      </c>
    </row>
    <row r="234" spans="1:12" ht="15">
      <c r="A234" s="104" t="s">
        <v>1206</v>
      </c>
      <c r="B234" s="102" t="s">
        <v>1205</v>
      </c>
      <c r="C234" s="102">
        <v>15</v>
      </c>
      <c r="D234" s="106">
        <v>0.011138402825319</v>
      </c>
      <c r="E234" s="106">
        <v>1.0434656937810904</v>
      </c>
      <c r="F234" s="102" t="s">
        <v>1177</v>
      </c>
      <c r="G234" s="102" t="b">
        <v>0</v>
      </c>
      <c r="H234" s="102" t="b">
        <v>0</v>
      </c>
      <c r="I234" s="102" t="b">
        <v>0</v>
      </c>
      <c r="J234" s="102" t="b">
        <v>0</v>
      </c>
      <c r="K234" s="102" t="b">
        <v>0</v>
      </c>
      <c r="L234" s="102" t="b">
        <v>0</v>
      </c>
    </row>
    <row r="235" spans="1:12" ht="15">
      <c r="A235" s="104" t="s">
        <v>1204</v>
      </c>
      <c r="B235" s="102" t="s">
        <v>1208</v>
      </c>
      <c r="C235" s="102">
        <v>11</v>
      </c>
      <c r="D235" s="106">
        <v>0.014760580049491054</v>
      </c>
      <c r="E235" s="106">
        <v>0.5215509766033696</v>
      </c>
      <c r="F235" s="102" t="s">
        <v>1177</v>
      </c>
      <c r="G235" s="102" t="b">
        <v>0</v>
      </c>
      <c r="H235" s="102" t="b">
        <v>0</v>
      </c>
      <c r="I235" s="102" t="b">
        <v>0</v>
      </c>
      <c r="J235" s="102" t="b">
        <v>0</v>
      </c>
      <c r="K235" s="102" t="b">
        <v>0</v>
      </c>
      <c r="L235" s="102" t="b">
        <v>0</v>
      </c>
    </row>
    <row r="236" spans="1:12" ht="15">
      <c r="A236" s="104" t="s">
        <v>1214</v>
      </c>
      <c r="B236" s="102" t="s">
        <v>1215</v>
      </c>
      <c r="C236" s="102">
        <v>10</v>
      </c>
      <c r="D236" s="106">
        <v>0.014708305977067484</v>
      </c>
      <c r="E236" s="106">
        <v>1.0749647616464615</v>
      </c>
      <c r="F236" s="102" t="s">
        <v>1177</v>
      </c>
      <c r="G236" s="102" t="b">
        <v>0</v>
      </c>
      <c r="H236" s="102" t="b">
        <v>0</v>
      </c>
      <c r="I236" s="102" t="b">
        <v>0</v>
      </c>
      <c r="J236" s="102" t="b">
        <v>0</v>
      </c>
      <c r="K236" s="102" t="b">
        <v>0</v>
      </c>
      <c r="L236" s="102" t="b">
        <v>0</v>
      </c>
    </row>
    <row r="237" spans="1:12" ht="15">
      <c r="A237" s="104" t="s">
        <v>1210</v>
      </c>
      <c r="B237" s="102" t="s">
        <v>1208</v>
      </c>
      <c r="C237" s="102">
        <v>10</v>
      </c>
      <c r="D237" s="106">
        <v>0.014708305977067484</v>
      </c>
      <c r="E237" s="106">
        <v>0.6739783174612574</v>
      </c>
      <c r="F237" s="102" t="s">
        <v>1177</v>
      </c>
      <c r="G237" s="102" t="b">
        <v>0</v>
      </c>
      <c r="H237" s="102" t="b">
        <v>0</v>
      </c>
      <c r="I237" s="102" t="b">
        <v>0</v>
      </c>
      <c r="J237" s="102" t="b">
        <v>0</v>
      </c>
      <c r="K237" s="102" t="b">
        <v>0</v>
      </c>
      <c r="L237" s="102" t="b">
        <v>0</v>
      </c>
    </row>
    <row r="238" spans="1:12" ht="15">
      <c r="A238" s="104" t="s">
        <v>1207</v>
      </c>
      <c r="B238" s="102" t="s">
        <v>1217</v>
      </c>
      <c r="C238" s="102">
        <v>8</v>
      </c>
      <c r="D238" s="106">
        <v>0.010734967308720766</v>
      </c>
      <c r="E238" s="106">
        <v>1.1434879395120296</v>
      </c>
      <c r="F238" s="102" t="s">
        <v>1177</v>
      </c>
      <c r="G238" s="102" t="b">
        <v>0</v>
      </c>
      <c r="H238" s="102" t="b">
        <v>0</v>
      </c>
      <c r="I238" s="102" t="b">
        <v>0</v>
      </c>
      <c r="J238" s="102" t="b">
        <v>0</v>
      </c>
      <c r="K238" s="102" t="b">
        <v>0</v>
      </c>
      <c r="L238" s="102" t="b">
        <v>0</v>
      </c>
    </row>
    <row r="239" spans="1:12" ht="15">
      <c r="A239" s="104" t="s">
        <v>1204</v>
      </c>
      <c r="B239" s="102" t="s">
        <v>1214</v>
      </c>
      <c r="C239" s="102">
        <v>7</v>
      </c>
      <c r="D239" s="106">
        <v>0.011400651465798045</v>
      </c>
      <c r="E239" s="106">
        <v>0.6497674229729055</v>
      </c>
      <c r="F239" s="102" t="s">
        <v>1177</v>
      </c>
      <c r="G239" s="102" t="b">
        <v>0</v>
      </c>
      <c r="H239" s="102" t="b">
        <v>0</v>
      </c>
      <c r="I239" s="102" t="b">
        <v>0</v>
      </c>
      <c r="J239" s="102" t="b">
        <v>0</v>
      </c>
      <c r="K239" s="102" t="b">
        <v>0</v>
      </c>
      <c r="L239" s="102" t="b">
        <v>0</v>
      </c>
    </row>
    <row r="240" spans="1:12" ht="15">
      <c r="A240" s="104" t="s">
        <v>1207</v>
      </c>
      <c r="B240" s="102" t="s">
        <v>1204</v>
      </c>
      <c r="C240" s="102">
        <v>7</v>
      </c>
      <c r="D240" s="106">
        <v>0.008629859379797947</v>
      </c>
      <c r="E240" s="106">
        <v>0.3787006506863675</v>
      </c>
      <c r="F240" s="102" t="s">
        <v>1177</v>
      </c>
      <c r="G240" s="102" t="b">
        <v>0</v>
      </c>
      <c r="H240" s="102" t="b">
        <v>0</v>
      </c>
      <c r="I240" s="102" t="b">
        <v>0</v>
      </c>
      <c r="J240" s="102" t="b">
        <v>0</v>
      </c>
      <c r="K240" s="102" t="b">
        <v>0</v>
      </c>
      <c r="L240" s="102" t="b">
        <v>0</v>
      </c>
    </row>
    <row r="241" spans="1:12" ht="15">
      <c r="A241" s="104" t="s">
        <v>1209</v>
      </c>
      <c r="B241" s="102" t="s">
        <v>1206</v>
      </c>
      <c r="C241" s="102">
        <v>7</v>
      </c>
      <c r="D241" s="106">
        <v>0.008629859379797947</v>
      </c>
      <c r="E241" s="106">
        <v>0.9111630131350004</v>
      </c>
      <c r="F241" s="102" t="s">
        <v>1177</v>
      </c>
      <c r="G241" s="102" t="b">
        <v>0</v>
      </c>
      <c r="H241" s="102" t="b">
        <v>0</v>
      </c>
      <c r="I241" s="102" t="b">
        <v>0</v>
      </c>
      <c r="J241" s="102" t="b">
        <v>0</v>
      </c>
      <c r="K241" s="102" t="b">
        <v>0</v>
      </c>
      <c r="L241" s="102" t="b">
        <v>0</v>
      </c>
    </row>
    <row r="242" spans="1:12" ht="15">
      <c r="A242" s="104" t="s">
        <v>1232</v>
      </c>
      <c r="B242" s="102" t="s">
        <v>1204</v>
      </c>
      <c r="C242" s="102">
        <v>6</v>
      </c>
      <c r="D242" s="106">
        <v>0.01099288667695407</v>
      </c>
      <c r="E242" s="106">
        <v>0.8857851287834732</v>
      </c>
      <c r="F242" s="102" t="s">
        <v>1177</v>
      </c>
      <c r="G242" s="102" t="b">
        <v>0</v>
      </c>
      <c r="H242" s="102" t="b">
        <v>0</v>
      </c>
      <c r="I242" s="102" t="b">
        <v>0</v>
      </c>
      <c r="J242" s="102" t="b">
        <v>0</v>
      </c>
      <c r="K242" s="102" t="b">
        <v>0</v>
      </c>
      <c r="L242" s="102" t="b">
        <v>0</v>
      </c>
    </row>
    <row r="243" spans="1:12" ht="15">
      <c r="A243" s="104" t="s">
        <v>1210</v>
      </c>
      <c r="B243" s="102" t="s">
        <v>1207</v>
      </c>
      <c r="C243" s="102">
        <v>6</v>
      </c>
      <c r="D243" s="106">
        <v>0.008051225481540573</v>
      </c>
      <c r="E243" s="106">
        <v>0.584755133119492</v>
      </c>
      <c r="F243" s="102" t="s">
        <v>1177</v>
      </c>
      <c r="G243" s="102" t="b">
        <v>0</v>
      </c>
      <c r="H243" s="102" t="b">
        <v>0</v>
      </c>
      <c r="I243" s="102" t="b">
        <v>0</v>
      </c>
      <c r="J243" s="102" t="b">
        <v>0</v>
      </c>
      <c r="K243" s="102" t="b">
        <v>0</v>
      </c>
      <c r="L243" s="102" t="b">
        <v>0</v>
      </c>
    </row>
    <row r="244" spans="1:12" ht="15">
      <c r="A244" s="104" t="s">
        <v>1210</v>
      </c>
      <c r="B244" s="102" t="s">
        <v>1214</v>
      </c>
      <c r="C244" s="102">
        <v>5</v>
      </c>
      <c r="D244" s="106">
        <v>0.007354152988533742</v>
      </c>
      <c r="E244" s="106">
        <v>0.6974594133107802</v>
      </c>
      <c r="F244" s="102" t="s">
        <v>1177</v>
      </c>
      <c r="G244" s="102" t="b">
        <v>0</v>
      </c>
      <c r="H244" s="102" t="b">
        <v>0</v>
      </c>
      <c r="I244" s="102" t="b">
        <v>0</v>
      </c>
      <c r="J244" s="102" t="b">
        <v>0</v>
      </c>
      <c r="K244" s="102" t="b">
        <v>0</v>
      </c>
      <c r="L244" s="102" t="b">
        <v>0</v>
      </c>
    </row>
    <row r="245" spans="1:12" ht="15">
      <c r="A245" s="104" t="s">
        <v>1208</v>
      </c>
      <c r="B245" s="102" t="s">
        <v>1215</v>
      </c>
      <c r="C245" s="102">
        <v>5</v>
      </c>
      <c r="D245" s="106">
        <v>0.007354152988533742</v>
      </c>
      <c r="E245" s="106">
        <v>0.5674608779330781</v>
      </c>
      <c r="F245" s="102" t="s">
        <v>1177</v>
      </c>
      <c r="G245" s="102" t="b">
        <v>0</v>
      </c>
      <c r="H245" s="102" t="b">
        <v>0</v>
      </c>
      <c r="I245" s="102" t="b">
        <v>0</v>
      </c>
      <c r="J245" s="102" t="b">
        <v>0</v>
      </c>
      <c r="K245" s="102" t="b">
        <v>0</v>
      </c>
      <c r="L245" s="102" t="b">
        <v>0</v>
      </c>
    </row>
    <row r="246" spans="1:12" ht="15">
      <c r="A246" s="104" t="s">
        <v>1267</v>
      </c>
      <c r="B246" s="102" t="s">
        <v>1210</v>
      </c>
      <c r="C246" s="102">
        <v>5</v>
      </c>
      <c r="D246" s="106">
        <v>0.007354152988533742</v>
      </c>
      <c r="E246" s="106">
        <v>1.2537619140780676</v>
      </c>
      <c r="F246" s="102" t="s">
        <v>1177</v>
      </c>
      <c r="G246" s="102" t="b">
        <v>0</v>
      </c>
      <c r="H246" s="102" t="b">
        <v>0</v>
      </c>
      <c r="I246" s="102" t="b">
        <v>0</v>
      </c>
      <c r="J246" s="102" t="b">
        <v>0</v>
      </c>
      <c r="K246" s="102" t="b">
        <v>0</v>
      </c>
      <c r="L246" s="102" t="b">
        <v>0</v>
      </c>
    </row>
    <row r="247" spans="1:12" ht="15">
      <c r="A247" s="104" t="s">
        <v>1204</v>
      </c>
      <c r="B247" s="102" t="s">
        <v>1244</v>
      </c>
      <c r="C247" s="102">
        <v>5</v>
      </c>
      <c r="D247" s="106">
        <v>0.007354152988533742</v>
      </c>
      <c r="E247" s="106">
        <v>0.9807606420143298</v>
      </c>
      <c r="F247" s="102" t="s">
        <v>1177</v>
      </c>
      <c r="G247" s="102" t="b">
        <v>0</v>
      </c>
      <c r="H247" s="102" t="b">
        <v>0</v>
      </c>
      <c r="I247" s="102" t="b">
        <v>0</v>
      </c>
      <c r="J247" s="102" t="b">
        <v>1</v>
      </c>
      <c r="K247" s="102" t="b">
        <v>0</v>
      </c>
      <c r="L247" s="102" t="b">
        <v>0</v>
      </c>
    </row>
    <row r="248" spans="1:12" ht="15">
      <c r="A248" s="104" t="s">
        <v>1268</v>
      </c>
      <c r="B248" s="102" t="s">
        <v>1269</v>
      </c>
      <c r="C248" s="102">
        <v>5</v>
      </c>
      <c r="D248" s="106">
        <v>0.013046091134592527</v>
      </c>
      <c r="E248" s="106">
        <v>2.059941888061955</v>
      </c>
      <c r="F248" s="102" t="s">
        <v>1177</v>
      </c>
      <c r="G248" s="102" t="b">
        <v>0</v>
      </c>
      <c r="H248" s="102" t="b">
        <v>0</v>
      </c>
      <c r="I248" s="102" t="b">
        <v>0</v>
      </c>
      <c r="J248" s="102" t="b">
        <v>0</v>
      </c>
      <c r="K248" s="102" t="b">
        <v>0</v>
      </c>
      <c r="L248" s="102" t="b">
        <v>0</v>
      </c>
    </row>
    <row r="249" spans="1:12" ht="15">
      <c r="A249" s="104" t="s">
        <v>1269</v>
      </c>
      <c r="B249" s="102" t="s">
        <v>1204</v>
      </c>
      <c r="C249" s="102">
        <v>5</v>
      </c>
      <c r="D249" s="106">
        <v>0.013046091134592527</v>
      </c>
      <c r="E249" s="106">
        <v>1.0107238653917732</v>
      </c>
      <c r="F249" s="102" t="s">
        <v>1177</v>
      </c>
      <c r="G249" s="102" t="b">
        <v>0</v>
      </c>
      <c r="H249" s="102" t="b">
        <v>0</v>
      </c>
      <c r="I249" s="102" t="b">
        <v>0</v>
      </c>
      <c r="J249" s="102" t="b">
        <v>0</v>
      </c>
      <c r="K249" s="102" t="b">
        <v>0</v>
      </c>
      <c r="L249" s="102" t="b">
        <v>0</v>
      </c>
    </row>
    <row r="250" spans="1:12" ht="15">
      <c r="A250" s="104" t="s">
        <v>1207</v>
      </c>
      <c r="B250" s="102" t="s">
        <v>1212</v>
      </c>
      <c r="C250" s="102">
        <v>4</v>
      </c>
      <c r="D250" s="106">
        <v>0.006514657980456026</v>
      </c>
      <c r="E250" s="106">
        <v>0.7377225933280355</v>
      </c>
      <c r="F250" s="102" t="s">
        <v>1177</v>
      </c>
      <c r="G250" s="102" t="b">
        <v>0</v>
      </c>
      <c r="H250" s="102" t="b">
        <v>0</v>
      </c>
      <c r="I250" s="102" t="b">
        <v>0</v>
      </c>
      <c r="J250" s="102" t="b">
        <v>0</v>
      </c>
      <c r="K250" s="102" t="b">
        <v>0</v>
      </c>
      <c r="L250" s="102" t="b">
        <v>0</v>
      </c>
    </row>
    <row r="251" spans="1:12" ht="15">
      <c r="A251" s="104" t="s">
        <v>1214</v>
      </c>
      <c r="B251" s="102" t="s">
        <v>1205</v>
      </c>
      <c r="C251" s="102">
        <v>4</v>
      </c>
      <c r="D251" s="106">
        <v>0.008475765444065024</v>
      </c>
      <c r="E251" s="106">
        <v>0.38646019098860757</v>
      </c>
      <c r="F251" s="102" t="s">
        <v>1177</v>
      </c>
      <c r="G251" s="102" t="b">
        <v>0</v>
      </c>
      <c r="H251" s="102" t="b">
        <v>0</v>
      </c>
      <c r="I251" s="102" t="b">
        <v>0</v>
      </c>
      <c r="J251" s="102" t="b">
        <v>0</v>
      </c>
      <c r="K251" s="102" t="b">
        <v>0</v>
      </c>
      <c r="L251" s="102" t="b">
        <v>0</v>
      </c>
    </row>
    <row r="252" spans="1:12" ht="15">
      <c r="A252" s="104" t="s">
        <v>1208</v>
      </c>
      <c r="B252" s="102" t="s">
        <v>1232</v>
      </c>
      <c r="C252" s="102">
        <v>4</v>
      </c>
      <c r="D252" s="106">
        <v>0.0073285911179693805</v>
      </c>
      <c r="E252" s="106">
        <v>0.8385276502196161</v>
      </c>
      <c r="F252" s="102" t="s">
        <v>1177</v>
      </c>
      <c r="G252" s="102" t="b">
        <v>0</v>
      </c>
      <c r="H252" s="102" t="b">
        <v>0</v>
      </c>
      <c r="I252" s="102" t="b">
        <v>0</v>
      </c>
      <c r="J252" s="102" t="b">
        <v>0</v>
      </c>
      <c r="K252" s="102" t="b">
        <v>0</v>
      </c>
      <c r="L252" s="102" t="b">
        <v>0</v>
      </c>
    </row>
    <row r="253" spans="1:12" ht="15">
      <c r="A253" s="104" t="s">
        <v>1208</v>
      </c>
      <c r="B253" s="102" t="s">
        <v>1293</v>
      </c>
      <c r="C253" s="102">
        <v>4</v>
      </c>
      <c r="D253" s="106">
        <v>0.006514657980456026</v>
      </c>
      <c r="E253" s="106">
        <v>1.1907101683309786</v>
      </c>
      <c r="F253" s="102" t="s">
        <v>1177</v>
      </c>
      <c r="G253" s="102" t="b">
        <v>0</v>
      </c>
      <c r="H253" s="102" t="b">
        <v>0</v>
      </c>
      <c r="I253" s="102" t="b">
        <v>0</v>
      </c>
      <c r="J253" s="102" t="b">
        <v>0</v>
      </c>
      <c r="K253" s="102" t="b">
        <v>0</v>
      </c>
      <c r="L253" s="102" t="b">
        <v>0</v>
      </c>
    </row>
    <row r="254" spans="1:12" ht="15">
      <c r="A254" s="104" t="s">
        <v>1293</v>
      </c>
      <c r="B254" s="102" t="s">
        <v>1210</v>
      </c>
      <c r="C254" s="102">
        <v>4</v>
      </c>
      <c r="D254" s="106">
        <v>0.006514657980456026</v>
      </c>
      <c r="E254" s="106">
        <v>1.2537619140780676</v>
      </c>
      <c r="F254" s="102" t="s">
        <v>1177</v>
      </c>
      <c r="G254" s="102" t="b">
        <v>0</v>
      </c>
      <c r="H254" s="102" t="b">
        <v>0</v>
      </c>
      <c r="I254" s="102" t="b">
        <v>0</v>
      </c>
      <c r="J254" s="102" t="b">
        <v>0</v>
      </c>
      <c r="K254" s="102" t="b">
        <v>0</v>
      </c>
      <c r="L254" s="102" t="b">
        <v>0</v>
      </c>
    </row>
    <row r="255" spans="1:12" ht="15">
      <c r="A255" s="104" t="s">
        <v>1210</v>
      </c>
      <c r="B255" s="102" t="s">
        <v>1267</v>
      </c>
      <c r="C255" s="102">
        <v>4</v>
      </c>
      <c r="D255" s="106">
        <v>0.006514657980456026</v>
      </c>
      <c r="E255" s="106">
        <v>1.1568519010700111</v>
      </c>
      <c r="F255" s="102" t="s">
        <v>1177</v>
      </c>
      <c r="G255" s="102" t="b">
        <v>0</v>
      </c>
      <c r="H255" s="102" t="b">
        <v>0</v>
      </c>
      <c r="I255" s="102" t="b">
        <v>0</v>
      </c>
      <c r="J255" s="102" t="b">
        <v>0</v>
      </c>
      <c r="K255" s="102" t="b">
        <v>0</v>
      </c>
      <c r="L255" s="102" t="b">
        <v>0</v>
      </c>
    </row>
    <row r="256" spans="1:12" ht="15">
      <c r="A256" s="104" t="s">
        <v>1214</v>
      </c>
      <c r="B256" s="102" t="s">
        <v>1207</v>
      </c>
      <c r="C256" s="102">
        <v>4</v>
      </c>
      <c r="D256" s="106">
        <v>0.010436872907674023</v>
      </c>
      <c r="E256" s="106">
        <v>0.5520860163661239</v>
      </c>
      <c r="F256" s="102" t="s">
        <v>1177</v>
      </c>
      <c r="G256" s="102" t="b">
        <v>0</v>
      </c>
      <c r="H256" s="102" t="b">
        <v>0</v>
      </c>
      <c r="I256" s="102" t="b">
        <v>0</v>
      </c>
      <c r="J256" s="102" t="b">
        <v>0</v>
      </c>
      <c r="K256" s="102" t="b">
        <v>0</v>
      </c>
      <c r="L256" s="102" t="b">
        <v>0</v>
      </c>
    </row>
    <row r="257" spans="1:12" ht="15">
      <c r="A257" s="104" t="s">
        <v>1212</v>
      </c>
      <c r="B257" s="102" t="s">
        <v>1243</v>
      </c>
      <c r="C257" s="102">
        <v>3</v>
      </c>
      <c r="D257" s="106">
        <v>0.005496443338477035</v>
      </c>
      <c r="E257" s="106">
        <v>1.4578818967339924</v>
      </c>
      <c r="F257" s="102" t="s">
        <v>1177</v>
      </c>
      <c r="G257" s="102" t="b">
        <v>0</v>
      </c>
      <c r="H257" s="102" t="b">
        <v>0</v>
      </c>
      <c r="I257" s="102" t="b">
        <v>0</v>
      </c>
      <c r="J257" s="102" t="b">
        <v>0</v>
      </c>
      <c r="K257" s="102" t="b">
        <v>0</v>
      </c>
      <c r="L257" s="102" t="b">
        <v>0</v>
      </c>
    </row>
    <row r="258" spans="1:12" ht="15">
      <c r="A258" s="104" t="s">
        <v>1244</v>
      </c>
      <c r="B258" s="102" t="s">
        <v>1204</v>
      </c>
      <c r="C258" s="102">
        <v>3</v>
      </c>
      <c r="D258" s="106">
        <v>0.005496443338477035</v>
      </c>
      <c r="E258" s="106">
        <v>0.7096938697277919</v>
      </c>
      <c r="F258" s="102" t="s">
        <v>1177</v>
      </c>
      <c r="G258" s="102" t="b">
        <v>1</v>
      </c>
      <c r="H258" s="102" t="b">
        <v>0</v>
      </c>
      <c r="I258" s="102" t="b">
        <v>0</v>
      </c>
      <c r="J258" s="102" t="b">
        <v>0</v>
      </c>
      <c r="K258" s="102" t="b">
        <v>0</v>
      </c>
      <c r="L258" s="102" t="b">
        <v>0</v>
      </c>
    </row>
    <row r="259" spans="1:12" ht="15">
      <c r="A259" s="104" t="s">
        <v>1246</v>
      </c>
      <c r="B259" s="102" t="s">
        <v>1261</v>
      </c>
      <c r="C259" s="102">
        <v>3</v>
      </c>
      <c r="D259" s="106">
        <v>0.007827654680755516</v>
      </c>
      <c r="E259" s="106">
        <v>2.156851901070011</v>
      </c>
      <c r="F259" s="102" t="s">
        <v>1177</v>
      </c>
      <c r="G259" s="102" t="b">
        <v>0</v>
      </c>
      <c r="H259" s="102" t="b">
        <v>0</v>
      </c>
      <c r="I259" s="102" t="b">
        <v>0</v>
      </c>
      <c r="J259" s="102" t="b">
        <v>0</v>
      </c>
      <c r="K259" s="102" t="b">
        <v>0</v>
      </c>
      <c r="L259" s="102" t="b">
        <v>0</v>
      </c>
    </row>
    <row r="260" spans="1:12" ht="15">
      <c r="A260" s="104" t="s">
        <v>1209</v>
      </c>
      <c r="B260" s="102" t="s">
        <v>1208</v>
      </c>
      <c r="C260" s="102">
        <v>3</v>
      </c>
      <c r="D260" s="106">
        <v>0.005496443338477035</v>
      </c>
      <c r="E260" s="106">
        <v>0.1938515526018698</v>
      </c>
      <c r="F260" s="102" t="s">
        <v>1177</v>
      </c>
      <c r="G260" s="102" t="b">
        <v>0</v>
      </c>
      <c r="H260" s="102" t="b">
        <v>0</v>
      </c>
      <c r="I260" s="102" t="b">
        <v>0</v>
      </c>
      <c r="J260" s="102" t="b">
        <v>0</v>
      </c>
      <c r="K260" s="102" t="b">
        <v>0</v>
      </c>
      <c r="L260" s="102" t="b">
        <v>0</v>
      </c>
    </row>
    <row r="261" spans="1:12" ht="15">
      <c r="A261" s="104" t="s">
        <v>1204</v>
      </c>
      <c r="B261" s="102" t="s">
        <v>1256</v>
      </c>
      <c r="C261" s="102">
        <v>3</v>
      </c>
      <c r="D261" s="106">
        <v>0.006356824083048768</v>
      </c>
      <c r="E261" s="106">
        <v>0.7589118923979735</v>
      </c>
      <c r="F261" s="102" t="s">
        <v>1177</v>
      </c>
      <c r="G261" s="102" t="b">
        <v>0</v>
      </c>
      <c r="H261" s="102" t="b">
        <v>0</v>
      </c>
      <c r="I261" s="102" t="b">
        <v>0</v>
      </c>
      <c r="J261" s="102" t="b">
        <v>0</v>
      </c>
      <c r="K261" s="102" t="b">
        <v>0</v>
      </c>
      <c r="L261" s="102" t="b">
        <v>0</v>
      </c>
    </row>
    <row r="262" spans="1:12" ht="15">
      <c r="A262" s="104" t="s">
        <v>1204</v>
      </c>
      <c r="B262" s="102" t="s">
        <v>1218</v>
      </c>
      <c r="C262" s="102">
        <v>3</v>
      </c>
      <c r="D262" s="106">
        <v>0.005496443338477035</v>
      </c>
      <c r="E262" s="106">
        <v>0.9350031514536549</v>
      </c>
      <c r="F262" s="102" t="s">
        <v>1177</v>
      </c>
      <c r="G262" s="102" t="b">
        <v>0</v>
      </c>
      <c r="H262" s="102" t="b">
        <v>0</v>
      </c>
      <c r="I262" s="102" t="b">
        <v>0</v>
      </c>
      <c r="J262" s="102" t="b">
        <v>0</v>
      </c>
      <c r="K262" s="102" t="b">
        <v>0</v>
      </c>
      <c r="L262" s="102" t="b">
        <v>0</v>
      </c>
    </row>
    <row r="263" spans="1:12" ht="15">
      <c r="A263" s="104" t="s">
        <v>1205</v>
      </c>
      <c r="B263" s="102" t="s">
        <v>1212</v>
      </c>
      <c r="C263" s="102">
        <v>3</v>
      </c>
      <c r="D263" s="106">
        <v>0.005496443338477035</v>
      </c>
      <c r="E263" s="106">
        <v>0.4564366558598114</v>
      </c>
      <c r="F263" s="102" t="s">
        <v>1177</v>
      </c>
      <c r="G263" s="102" t="b">
        <v>0</v>
      </c>
      <c r="H263" s="102" t="b">
        <v>0</v>
      </c>
      <c r="I263" s="102" t="b">
        <v>0</v>
      </c>
      <c r="J263" s="102" t="b">
        <v>0</v>
      </c>
      <c r="K263" s="102" t="b">
        <v>0</v>
      </c>
      <c r="L263" s="102" t="b">
        <v>0</v>
      </c>
    </row>
    <row r="264" spans="1:12" ht="15">
      <c r="A264" s="104" t="s">
        <v>1207</v>
      </c>
      <c r="B264" s="102" t="s">
        <v>1327</v>
      </c>
      <c r="C264" s="102">
        <v>3</v>
      </c>
      <c r="D264" s="106">
        <v>0.007827654680755516</v>
      </c>
      <c r="E264" s="106">
        <v>1.2817906376783113</v>
      </c>
      <c r="F264" s="102" t="s">
        <v>1177</v>
      </c>
      <c r="G264" s="102" t="b">
        <v>0</v>
      </c>
      <c r="H264" s="102" t="b">
        <v>0</v>
      </c>
      <c r="I264" s="102" t="b">
        <v>0</v>
      </c>
      <c r="J264" s="102" t="b">
        <v>0</v>
      </c>
      <c r="K264" s="102" t="b">
        <v>0</v>
      </c>
      <c r="L264" s="102" t="b">
        <v>0</v>
      </c>
    </row>
    <row r="265" spans="1:12" ht="15">
      <c r="A265" s="104" t="s">
        <v>1207</v>
      </c>
      <c r="B265" s="102" t="s">
        <v>1294</v>
      </c>
      <c r="C265" s="102">
        <v>3</v>
      </c>
      <c r="D265" s="106">
        <v>0.007827654680755516</v>
      </c>
      <c r="E265" s="106">
        <v>1.1568519010700111</v>
      </c>
      <c r="F265" s="102" t="s">
        <v>1177</v>
      </c>
      <c r="G265" s="102" t="b">
        <v>0</v>
      </c>
      <c r="H265" s="102" t="b">
        <v>0</v>
      </c>
      <c r="I265" s="102" t="b">
        <v>0</v>
      </c>
      <c r="J265" s="102" t="b">
        <v>0</v>
      </c>
      <c r="K265" s="102" t="b">
        <v>0</v>
      </c>
      <c r="L265" s="102" t="b">
        <v>0</v>
      </c>
    </row>
    <row r="266" spans="1:12" ht="15">
      <c r="A266" s="104" t="s">
        <v>1294</v>
      </c>
      <c r="B266" s="102" t="s">
        <v>1277</v>
      </c>
      <c r="C266" s="102">
        <v>3</v>
      </c>
      <c r="D266" s="106">
        <v>0.007827654680755516</v>
      </c>
      <c r="E266" s="106">
        <v>2.156851901070011</v>
      </c>
      <c r="F266" s="102" t="s">
        <v>1177</v>
      </c>
      <c r="G266" s="102" t="b">
        <v>0</v>
      </c>
      <c r="H266" s="102" t="b">
        <v>0</v>
      </c>
      <c r="I266" s="102" t="b">
        <v>0</v>
      </c>
      <c r="J266" s="102" t="b">
        <v>0</v>
      </c>
      <c r="K266" s="102" t="b">
        <v>0</v>
      </c>
      <c r="L266" s="102" t="b">
        <v>0</v>
      </c>
    </row>
    <row r="267" spans="1:12" ht="15">
      <c r="A267" s="104" t="s">
        <v>1210</v>
      </c>
      <c r="B267" s="102" t="s">
        <v>1215</v>
      </c>
      <c r="C267" s="102">
        <v>3</v>
      </c>
      <c r="D267" s="106">
        <v>0.005496443338477035</v>
      </c>
      <c r="E267" s="106">
        <v>0.4086638740638108</v>
      </c>
      <c r="F267" s="102" t="s">
        <v>1177</v>
      </c>
      <c r="G267" s="102" t="b">
        <v>0</v>
      </c>
      <c r="H267" s="102" t="b">
        <v>0</v>
      </c>
      <c r="I267" s="102" t="b">
        <v>0</v>
      </c>
      <c r="J267" s="102" t="b">
        <v>0</v>
      </c>
      <c r="K267" s="102" t="b">
        <v>0</v>
      </c>
      <c r="L267" s="102" t="b">
        <v>0</v>
      </c>
    </row>
    <row r="268" spans="1:12" ht="15">
      <c r="A268" s="104" t="s">
        <v>1217</v>
      </c>
      <c r="B268" s="102" t="s">
        <v>1208</v>
      </c>
      <c r="C268" s="102">
        <v>3</v>
      </c>
      <c r="D268" s="106">
        <v>0.005496443338477035</v>
      </c>
      <c r="E268" s="106">
        <v>0.6562495505008259</v>
      </c>
      <c r="F268" s="102" t="s">
        <v>1177</v>
      </c>
      <c r="G268" s="102" t="b">
        <v>0</v>
      </c>
      <c r="H268" s="102" t="b">
        <v>0</v>
      </c>
      <c r="I268" s="102" t="b">
        <v>0</v>
      </c>
      <c r="J268" s="102" t="b">
        <v>0</v>
      </c>
      <c r="K268" s="102" t="b">
        <v>0</v>
      </c>
      <c r="L268" s="102" t="b">
        <v>0</v>
      </c>
    </row>
    <row r="269" spans="1:12" ht="15">
      <c r="A269" s="104" t="s">
        <v>1209</v>
      </c>
      <c r="B269" s="102" t="s">
        <v>1236</v>
      </c>
      <c r="C269" s="102">
        <v>2</v>
      </c>
      <c r="D269" s="106">
        <v>0.004237882722032512</v>
      </c>
      <c r="E269" s="106">
        <v>1.2965138944990173</v>
      </c>
      <c r="F269" s="102" t="s">
        <v>1177</v>
      </c>
      <c r="G269" s="102" t="b">
        <v>0</v>
      </c>
      <c r="H269" s="102" t="b">
        <v>0</v>
      </c>
      <c r="I269" s="102" t="b">
        <v>0</v>
      </c>
      <c r="J269" s="102" t="b">
        <v>0</v>
      </c>
      <c r="K269" s="102" t="b">
        <v>0</v>
      </c>
      <c r="L269" s="102" t="b">
        <v>0</v>
      </c>
    </row>
    <row r="270" spans="1:12" ht="15">
      <c r="A270" s="104" t="s">
        <v>1212</v>
      </c>
      <c r="B270" s="102" t="s">
        <v>1205</v>
      </c>
      <c r="C270" s="102">
        <v>2</v>
      </c>
      <c r="D270" s="106">
        <v>0.004237882722032512</v>
      </c>
      <c r="E270" s="106">
        <v>0.3679767852945943</v>
      </c>
      <c r="F270" s="102" t="s">
        <v>1177</v>
      </c>
      <c r="G270" s="102" t="b">
        <v>0</v>
      </c>
      <c r="H270" s="102" t="b">
        <v>0</v>
      </c>
      <c r="I270" s="102" t="b">
        <v>0</v>
      </c>
      <c r="J270" s="102" t="b">
        <v>0</v>
      </c>
      <c r="K270" s="102" t="b">
        <v>0</v>
      </c>
      <c r="L270" s="102" t="b">
        <v>0</v>
      </c>
    </row>
    <row r="271" spans="1:12" ht="15">
      <c r="A271" s="104" t="s">
        <v>1209</v>
      </c>
      <c r="B271" s="102" t="s">
        <v>1212</v>
      </c>
      <c r="C271" s="102">
        <v>2</v>
      </c>
      <c r="D271" s="106">
        <v>0.004237882722032512</v>
      </c>
      <c r="E271" s="106">
        <v>0.45141585448476057</v>
      </c>
      <c r="F271" s="102" t="s">
        <v>1177</v>
      </c>
      <c r="G271" s="102" t="b">
        <v>0</v>
      </c>
      <c r="H271" s="102" t="b">
        <v>0</v>
      </c>
      <c r="I271" s="102" t="b">
        <v>0</v>
      </c>
      <c r="J271" s="102" t="b">
        <v>0</v>
      </c>
      <c r="K271" s="102" t="b">
        <v>0</v>
      </c>
      <c r="L271" s="102" t="b">
        <v>0</v>
      </c>
    </row>
    <row r="272" spans="1:12" ht="15">
      <c r="A272" s="104" t="s">
        <v>1212</v>
      </c>
      <c r="B272" s="102" t="s">
        <v>1207</v>
      </c>
      <c r="C272" s="102">
        <v>2</v>
      </c>
      <c r="D272" s="106">
        <v>0.004237882722032512</v>
      </c>
      <c r="E272" s="106">
        <v>0.5336026106721106</v>
      </c>
      <c r="F272" s="102" t="s">
        <v>1177</v>
      </c>
      <c r="G272" s="102" t="b">
        <v>0</v>
      </c>
      <c r="H272" s="102" t="b">
        <v>0</v>
      </c>
      <c r="I272" s="102" t="b">
        <v>0</v>
      </c>
      <c r="J272" s="102" t="b">
        <v>0</v>
      </c>
      <c r="K272" s="102" t="b">
        <v>0</v>
      </c>
      <c r="L272" s="102" t="b">
        <v>0</v>
      </c>
    </row>
    <row r="273" spans="1:12" ht="15">
      <c r="A273" s="104" t="s">
        <v>1210</v>
      </c>
      <c r="B273" s="102" t="s">
        <v>1205</v>
      </c>
      <c r="C273" s="102">
        <v>2</v>
      </c>
      <c r="D273" s="106">
        <v>0.004237882722032512</v>
      </c>
      <c r="E273" s="106">
        <v>-0.057991946977686754</v>
      </c>
      <c r="F273" s="102" t="s">
        <v>1177</v>
      </c>
      <c r="G273" s="102" t="b">
        <v>0</v>
      </c>
      <c r="H273" s="102" t="b">
        <v>0</v>
      </c>
      <c r="I273" s="102" t="b">
        <v>0</v>
      </c>
      <c r="J273" s="102" t="b">
        <v>0</v>
      </c>
      <c r="K273" s="102" t="b">
        <v>0</v>
      </c>
      <c r="L273" s="102" t="b">
        <v>0</v>
      </c>
    </row>
    <row r="274" spans="1:12" ht="15">
      <c r="A274" s="104" t="s">
        <v>1208</v>
      </c>
      <c r="B274" s="102" t="s">
        <v>1205</v>
      </c>
      <c r="C274" s="102">
        <v>2</v>
      </c>
      <c r="D274" s="106">
        <v>0.004237882722032512</v>
      </c>
      <c r="E274" s="106">
        <v>-0.12104369272477575</v>
      </c>
      <c r="F274" s="102" t="s">
        <v>1177</v>
      </c>
      <c r="G274" s="102" t="b">
        <v>0</v>
      </c>
      <c r="H274" s="102" t="b">
        <v>0</v>
      </c>
      <c r="I274" s="102" t="b">
        <v>0</v>
      </c>
      <c r="J274" s="102" t="b">
        <v>0</v>
      </c>
      <c r="K274" s="102" t="b">
        <v>0</v>
      </c>
      <c r="L274" s="102" t="b">
        <v>0</v>
      </c>
    </row>
    <row r="275" spans="1:12" ht="15">
      <c r="A275" s="104" t="s">
        <v>1208</v>
      </c>
      <c r="B275" s="102" t="s">
        <v>1405</v>
      </c>
      <c r="C275" s="102">
        <v>2</v>
      </c>
      <c r="D275" s="106">
        <v>0.004237882722032512</v>
      </c>
      <c r="E275" s="106">
        <v>1.1907101683309786</v>
      </c>
      <c r="F275" s="102" t="s">
        <v>1177</v>
      </c>
      <c r="G275" s="102" t="b">
        <v>0</v>
      </c>
      <c r="H275" s="102" t="b">
        <v>0</v>
      </c>
      <c r="I275" s="102" t="b">
        <v>0</v>
      </c>
      <c r="J275" s="102" t="b">
        <v>0</v>
      </c>
      <c r="K275" s="102" t="b">
        <v>0</v>
      </c>
      <c r="L275" s="102" t="b">
        <v>0</v>
      </c>
    </row>
    <row r="276" spans="1:12" ht="15">
      <c r="A276" s="104" t="s">
        <v>1405</v>
      </c>
      <c r="B276" s="102" t="s">
        <v>1215</v>
      </c>
      <c r="C276" s="102">
        <v>2</v>
      </c>
      <c r="D276" s="106">
        <v>0.004237882722032512</v>
      </c>
      <c r="E276" s="106">
        <v>1.4366925976640543</v>
      </c>
      <c r="F276" s="102" t="s">
        <v>1177</v>
      </c>
      <c r="G276" s="102" t="b">
        <v>0</v>
      </c>
      <c r="H276" s="102" t="b">
        <v>0</v>
      </c>
      <c r="I276" s="102" t="b">
        <v>0</v>
      </c>
      <c r="J276" s="102" t="b">
        <v>0</v>
      </c>
      <c r="K276" s="102" t="b">
        <v>0</v>
      </c>
      <c r="L276" s="102" t="b">
        <v>0</v>
      </c>
    </row>
    <row r="277" spans="1:12" ht="15">
      <c r="A277" s="104" t="s">
        <v>1204</v>
      </c>
      <c r="B277" s="102" t="s">
        <v>1220</v>
      </c>
      <c r="C277" s="102">
        <v>2</v>
      </c>
      <c r="D277" s="106">
        <v>0.004237882722032512</v>
      </c>
      <c r="E277" s="106">
        <v>0.8838506290062734</v>
      </c>
      <c r="F277" s="102" t="s">
        <v>1177</v>
      </c>
      <c r="G277" s="102" t="b">
        <v>0</v>
      </c>
      <c r="H277" s="102" t="b">
        <v>0</v>
      </c>
      <c r="I277" s="102" t="b">
        <v>0</v>
      </c>
      <c r="J277" s="102" t="b">
        <v>0</v>
      </c>
      <c r="K277" s="102" t="b">
        <v>0</v>
      </c>
      <c r="L277" s="102" t="b">
        <v>0</v>
      </c>
    </row>
    <row r="278" spans="1:12" ht="15">
      <c r="A278" s="104" t="s">
        <v>1220</v>
      </c>
      <c r="B278" s="102" t="s">
        <v>1238</v>
      </c>
      <c r="C278" s="102">
        <v>2</v>
      </c>
      <c r="D278" s="106">
        <v>0.004237882722032512</v>
      </c>
      <c r="E278" s="106">
        <v>2.281790637678311</v>
      </c>
      <c r="F278" s="102" t="s">
        <v>1177</v>
      </c>
      <c r="G278" s="102" t="b">
        <v>0</v>
      </c>
      <c r="H278" s="102" t="b">
        <v>0</v>
      </c>
      <c r="I278" s="102" t="b">
        <v>0</v>
      </c>
      <c r="J278" s="102" t="b">
        <v>0</v>
      </c>
      <c r="K278" s="102" t="b">
        <v>0</v>
      </c>
      <c r="L278" s="102" t="b">
        <v>0</v>
      </c>
    </row>
    <row r="279" spans="1:12" ht="15">
      <c r="A279" s="104" t="s">
        <v>1238</v>
      </c>
      <c r="B279" s="102" t="s">
        <v>1282</v>
      </c>
      <c r="C279" s="102">
        <v>2</v>
      </c>
      <c r="D279" s="106">
        <v>0.004237882722032512</v>
      </c>
      <c r="E279" s="106">
        <v>2.281790637678311</v>
      </c>
      <c r="F279" s="102" t="s">
        <v>1177</v>
      </c>
      <c r="G279" s="102" t="b">
        <v>0</v>
      </c>
      <c r="H279" s="102" t="b">
        <v>0</v>
      </c>
      <c r="I279" s="102" t="b">
        <v>0</v>
      </c>
      <c r="J279" s="102" t="b">
        <v>0</v>
      </c>
      <c r="K279" s="102" t="b">
        <v>0</v>
      </c>
      <c r="L279" s="102" t="b">
        <v>0</v>
      </c>
    </row>
    <row r="280" spans="1:12" ht="15">
      <c r="A280" s="104" t="s">
        <v>1282</v>
      </c>
      <c r="B280" s="102" t="s">
        <v>1406</v>
      </c>
      <c r="C280" s="102">
        <v>2</v>
      </c>
      <c r="D280" s="106">
        <v>0.004237882722032512</v>
      </c>
      <c r="E280" s="106">
        <v>2.4578818967339924</v>
      </c>
      <c r="F280" s="102" t="s">
        <v>1177</v>
      </c>
      <c r="G280" s="102" t="b">
        <v>0</v>
      </c>
      <c r="H280" s="102" t="b">
        <v>0</v>
      </c>
      <c r="I280" s="102" t="b">
        <v>0</v>
      </c>
      <c r="J280" s="102" t="b">
        <v>0</v>
      </c>
      <c r="K280" s="102" t="b">
        <v>0</v>
      </c>
      <c r="L280" s="102" t="b">
        <v>0</v>
      </c>
    </row>
    <row r="281" spans="1:12" ht="15">
      <c r="A281" s="104" t="s">
        <v>1209</v>
      </c>
      <c r="B281" s="102" t="s">
        <v>1230</v>
      </c>
      <c r="C281" s="102">
        <v>2</v>
      </c>
      <c r="D281" s="106">
        <v>0.004237882722032512</v>
      </c>
      <c r="E281" s="106">
        <v>0.8985738858269798</v>
      </c>
      <c r="F281" s="102" t="s">
        <v>1177</v>
      </c>
      <c r="G281" s="102" t="b">
        <v>0</v>
      </c>
      <c r="H281" s="102" t="b">
        <v>0</v>
      </c>
      <c r="I281" s="102" t="b">
        <v>0</v>
      </c>
      <c r="J281" s="102" t="b">
        <v>0</v>
      </c>
      <c r="K281" s="102" t="b">
        <v>0</v>
      </c>
      <c r="L281" s="102" t="b">
        <v>0</v>
      </c>
    </row>
    <row r="282" spans="1:12" ht="15">
      <c r="A282" s="104" t="s">
        <v>1278</v>
      </c>
      <c r="B282" s="102" t="s">
        <v>1309</v>
      </c>
      <c r="C282" s="102">
        <v>2</v>
      </c>
      <c r="D282" s="106">
        <v>0.004237882722032512</v>
      </c>
      <c r="E282" s="106">
        <v>2.4578818967339924</v>
      </c>
      <c r="F282" s="102" t="s">
        <v>1177</v>
      </c>
      <c r="G282" s="102" t="b">
        <v>0</v>
      </c>
      <c r="H282" s="102" t="b">
        <v>0</v>
      </c>
      <c r="I282" s="102" t="b">
        <v>0</v>
      </c>
      <c r="J282" s="102" t="b">
        <v>0</v>
      </c>
      <c r="K282" s="102" t="b">
        <v>0</v>
      </c>
      <c r="L282" s="102" t="b">
        <v>0</v>
      </c>
    </row>
    <row r="283" spans="1:12" ht="15">
      <c r="A283" s="104" t="s">
        <v>1209</v>
      </c>
      <c r="B283" s="102" t="s">
        <v>1207</v>
      </c>
      <c r="C283" s="102">
        <v>2</v>
      </c>
      <c r="D283" s="106">
        <v>0.004237882722032512</v>
      </c>
      <c r="E283" s="106">
        <v>0.1503858588207794</v>
      </c>
      <c r="F283" s="102" t="s">
        <v>1177</v>
      </c>
      <c r="G283" s="102" t="b">
        <v>0</v>
      </c>
      <c r="H283" s="102" t="b">
        <v>0</v>
      </c>
      <c r="I283" s="102" t="b">
        <v>0</v>
      </c>
      <c r="J283" s="102" t="b">
        <v>0</v>
      </c>
      <c r="K283" s="102" t="b">
        <v>0</v>
      </c>
      <c r="L283" s="102" t="b">
        <v>0</v>
      </c>
    </row>
    <row r="284" spans="1:12" ht="15">
      <c r="A284" s="104" t="s">
        <v>1204</v>
      </c>
      <c r="B284" s="102" t="s">
        <v>1205</v>
      </c>
      <c r="C284" s="102">
        <v>2</v>
      </c>
      <c r="D284" s="106">
        <v>0.004237882722032512</v>
      </c>
      <c r="E284" s="106">
        <v>-0.25181197299379965</v>
      </c>
      <c r="F284" s="102" t="s">
        <v>1177</v>
      </c>
      <c r="G284" s="102" t="b">
        <v>0</v>
      </c>
      <c r="H284" s="102" t="b">
        <v>0</v>
      </c>
      <c r="I284" s="102" t="b">
        <v>0</v>
      </c>
      <c r="J284" s="102" t="b">
        <v>0</v>
      </c>
      <c r="K284" s="102" t="b">
        <v>0</v>
      </c>
      <c r="L284" s="102" t="b">
        <v>0</v>
      </c>
    </row>
    <row r="285" spans="1:12" ht="15">
      <c r="A285" s="104" t="s">
        <v>1208</v>
      </c>
      <c r="B285" s="102" t="s">
        <v>1209</v>
      </c>
      <c r="C285" s="102">
        <v>2</v>
      </c>
      <c r="D285" s="106">
        <v>0.005218436453837011</v>
      </c>
      <c r="E285" s="106">
        <v>0.3156489049392785</v>
      </c>
      <c r="F285" s="102" t="s">
        <v>1177</v>
      </c>
      <c r="G285" s="102" t="b">
        <v>0</v>
      </c>
      <c r="H285" s="102" t="b">
        <v>0</v>
      </c>
      <c r="I285" s="102" t="b">
        <v>0</v>
      </c>
      <c r="J285" s="102" t="b">
        <v>0</v>
      </c>
      <c r="K285" s="102" t="b">
        <v>0</v>
      </c>
      <c r="L285" s="102" t="b">
        <v>0</v>
      </c>
    </row>
    <row r="286" spans="1:12" ht="15">
      <c r="A286" s="104" t="s">
        <v>1256</v>
      </c>
      <c r="B286" s="102" t="s">
        <v>1205</v>
      </c>
      <c r="C286" s="102">
        <v>2</v>
      </c>
      <c r="D286" s="106">
        <v>0.004237882722032512</v>
      </c>
      <c r="E286" s="106">
        <v>0.6690067809585756</v>
      </c>
      <c r="F286" s="102" t="s">
        <v>1177</v>
      </c>
      <c r="G286" s="102" t="b">
        <v>0</v>
      </c>
      <c r="H286" s="102" t="b">
        <v>0</v>
      </c>
      <c r="I286" s="102" t="b">
        <v>0</v>
      </c>
      <c r="J286" s="102" t="b">
        <v>0</v>
      </c>
      <c r="K286" s="102" t="b">
        <v>0</v>
      </c>
      <c r="L286" s="102" t="b">
        <v>0</v>
      </c>
    </row>
    <row r="287" spans="1:12" ht="15">
      <c r="A287" s="104" t="s">
        <v>1212</v>
      </c>
      <c r="B287" s="102" t="s">
        <v>1209</v>
      </c>
      <c r="C287" s="102">
        <v>2</v>
      </c>
      <c r="D287" s="106">
        <v>0.004237882722032512</v>
      </c>
      <c r="E287" s="106">
        <v>0.8046693829586486</v>
      </c>
      <c r="F287" s="102" t="s">
        <v>1177</v>
      </c>
      <c r="G287" s="102" t="b">
        <v>0</v>
      </c>
      <c r="H287" s="102" t="b">
        <v>0</v>
      </c>
      <c r="I287" s="102" t="b">
        <v>0</v>
      </c>
      <c r="J287" s="102" t="b">
        <v>0</v>
      </c>
      <c r="K287" s="102" t="b">
        <v>0</v>
      </c>
      <c r="L287" s="102" t="b">
        <v>0</v>
      </c>
    </row>
    <row r="288" spans="1:12" ht="15">
      <c r="A288" s="104" t="s">
        <v>1259</v>
      </c>
      <c r="B288" s="102" t="s">
        <v>1310</v>
      </c>
      <c r="C288" s="102">
        <v>2</v>
      </c>
      <c r="D288" s="106">
        <v>0.004237882722032512</v>
      </c>
      <c r="E288" s="106">
        <v>2.059941888061955</v>
      </c>
      <c r="F288" s="102" t="s">
        <v>1177</v>
      </c>
      <c r="G288" s="102" t="b">
        <v>0</v>
      </c>
      <c r="H288" s="102" t="b">
        <v>0</v>
      </c>
      <c r="I288" s="102" t="b">
        <v>0</v>
      </c>
      <c r="J288" s="102" t="b">
        <v>0</v>
      </c>
      <c r="K288" s="102" t="b">
        <v>0</v>
      </c>
      <c r="L288" s="102" t="b">
        <v>0</v>
      </c>
    </row>
    <row r="289" spans="1:12" ht="15">
      <c r="A289" s="104" t="s">
        <v>1206</v>
      </c>
      <c r="B289" s="102" t="s">
        <v>1219</v>
      </c>
      <c r="C289" s="102">
        <v>2</v>
      </c>
      <c r="D289" s="106">
        <v>0.004237882722032512</v>
      </c>
      <c r="E289" s="106">
        <v>1.1791282957811633</v>
      </c>
      <c r="F289" s="102" t="s">
        <v>1177</v>
      </c>
      <c r="G289" s="102" t="b">
        <v>0</v>
      </c>
      <c r="H289" s="102" t="b">
        <v>0</v>
      </c>
      <c r="I289" s="102" t="b">
        <v>0</v>
      </c>
      <c r="J289" s="102" t="b">
        <v>0</v>
      </c>
      <c r="K289" s="102" t="b">
        <v>0</v>
      </c>
      <c r="L289" s="102" t="b">
        <v>0</v>
      </c>
    </row>
    <row r="290" spans="1:12" ht="15">
      <c r="A290" s="104" t="s">
        <v>1412</v>
      </c>
      <c r="B290" s="102" t="s">
        <v>1413</v>
      </c>
      <c r="C290" s="102">
        <v>2</v>
      </c>
      <c r="D290" s="106">
        <v>0.005218436453837011</v>
      </c>
      <c r="E290" s="106">
        <v>2.4578818967339924</v>
      </c>
      <c r="F290" s="102" t="s">
        <v>1177</v>
      </c>
      <c r="G290" s="102" t="b">
        <v>0</v>
      </c>
      <c r="H290" s="102" t="b">
        <v>0</v>
      </c>
      <c r="I290" s="102" t="b">
        <v>0</v>
      </c>
      <c r="J290" s="102" t="b">
        <v>0</v>
      </c>
      <c r="K290" s="102" t="b">
        <v>0</v>
      </c>
      <c r="L290" s="102" t="b">
        <v>0</v>
      </c>
    </row>
    <row r="291" spans="1:12" ht="15">
      <c r="A291" s="104" t="s">
        <v>1327</v>
      </c>
      <c r="B291" s="102" t="s">
        <v>1214</v>
      </c>
      <c r="C291" s="102">
        <v>2</v>
      </c>
      <c r="D291" s="106">
        <v>0.005218436453837011</v>
      </c>
      <c r="E291" s="106">
        <v>1.3275481282389863</v>
      </c>
      <c r="F291" s="102" t="s">
        <v>1177</v>
      </c>
      <c r="G291" s="102" t="b">
        <v>0</v>
      </c>
      <c r="H291" s="102" t="b">
        <v>0</v>
      </c>
      <c r="I291" s="102" t="b">
        <v>0</v>
      </c>
      <c r="J291" s="102" t="b">
        <v>0</v>
      </c>
      <c r="K291" s="102" t="b">
        <v>0</v>
      </c>
      <c r="L291" s="102" t="b">
        <v>0</v>
      </c>
    </row>
    <row r="292" spans="1:12" ht="15">
      <c r="A292" s="104" t="s">
        <v>1277</v>
      </c>
      <c r="B292" s="102" t="s">
        <v>1214</v>
      </c>
      <c r="C292" s="102">
        <v>2</v>
      </c>
      <c r="D292" s="106">
        <v>0.005218436453837011</v>
      </c>
      <c r="E292" s="106">
        <v>1.3275481282389863</v>
      </c>
      <c r="F292" s="102" t="s">
        <v>1177</v>
      </c>
      <c r="G292" s="102" t="b">
        <v>0</v>
      </c>
      <c r="H292" s="102" t="b">
        <v>0</v>
      </c>
      <c r="I292" s="102" t="b">
        <v>0</v>
      </c>
      <c r="J292" s="102" t="b">
        <v>0</v>
      </c>
      <c r="K292" s="102" t="b">
        <v>0</v>
      </c>
      <c r="L292" s="102" t="b">
        <v>0</v>
      </c>
    </row>
    <row r="293" spans="1:12" ht="15">
      <c r="A293" s="104" t="s">
        <v>1313</v>
      </c>
      <c r="B293" s="102" t="s">
        <v>1208</v>
      </c>
      <c r="C293" s="102">
        <v>2</v>
      </c>
      <c r="D293" s="106">
        <v>0.005218436453837011</v>
      </c>
      <c r="E293" s="106">
        <v>1.1791282957811633</v>
      </c>
      <c r="F293" s="102" t="s">
        <v>1177</v>
      </c>
      <c r="G293" s="102" t="b">
        <v>0</v>
      </c>
      <c r="H293" s="102" t="b">
        <v>1</v>
      </c>
      <c r="I293" s="102" t="b">
        <v>0</v>
      </c>
      <c r="J293" s="102" t="b">
        <v>0</v>
      </c>
      <c r="K293" s="102" t="b">
        <v>0</v>
      </c>
      <c r="L293" s="102" t="b">
        <v>0</v>
      </c>
    </row>
    <row r="294" spans="1:12" ht="15">
      <c r="A294" s="104" t="s">
        <v>1325</v>
      </c>
      <c r="B294" s="102" t="s">
        <v>1207</v>
      </c>
      <c r="C294" s="102">
        <v>2</v>
      </c>
      <c r="D294" s="106">
        <v>0.005218436453837011</v>
      </c>
      <c r="E294" s="106">
        <v>1.135662602000073</v>
      </c>
      <c r="F294" s="102" t="s">
        <v>1177</v>
      </c>
      <c r="G294" s="102" t="b">
        <v>0</v>
      </c>
      <c r="H294" s="102" t="b">
        <v>0</v>
      </c>
      <c r="I294" s="102" t="b">
        <v>0</v>
      </c>
      <c r="J294" s="102" t="b">
        <v>0</v>
      </c>
      <c r="K294" s="102" t="b">
        <v>0</v>
      </c>
      <c r="L294" s="102" t="b">
        <v>0</v>
      </c>
    </row>
    <row r="295" spans="1:12" ht="15">
      <c r="A295" s="104" t="s">
        <v>1214</v>
      </c>
      <c r="B295" s="102" t="s">
        <v>1268</v>
      </c>
      <c r="C295" s="102">
        <v>2</v>
      </c>
      <c r="D295" s="106">
        <v>0.005218436453837011</v>
      </c>
      <c r="E295" s="106">
        <v>0.9992440477083431</v>
      </c>
      <c r="F295" s="102" t="s">
        <v>1177</v>
      </c>
      <c r="G295" s="102" t="b">
        <v>0</v>
      </c>
      <c r="H295" s="102" t="b">
        <v>0</v>
      </c>
      <c r="I295" s="102" t="b">
        <v>0</v>
      </c>
      <c r="J295" s="102" t="b">
        <v>0</v>
      </c>
      <c r="K295" s="102" t="b">
        <v>0</v>
      </c>
      <c r="L295" s="102" t="b">
        <v>0</v>
      </c>
    </row>
    <row r="296" spans="1:12" ht="15">
      <c r="A296" s="104" t="s">
        <v>1208</v>
      </c>
      <c r="B296" s="102" t="s">
        <v>1268</v>
      </c>
      <c r="C296" s="102">
        <v>2</v>
      </c>
      <c r="D296" s="106">
        <v>0.005218436453837011</v>
      </c>
      <c r="E296" s="106">
        <v>0.7927701596589409</v>
      </c>
      <c r="F296" s="102" t="s">
        <v>1177</v>
      </c>
      <c r="G296" s="102" t="b">
        <v>0</v>
      </c>
      <c r="H296" s="102" t="b">
        <v>0</v>
      </c>
      <c r="I296" s="102" t="b">
        <v>0</v>
      </c>
      <c r="J296" s="102" t="b">
        <v>0</v>
      </c>
      <c r="K296" s="102" t="b">
        <v>0</v>
      </c>
      <c r="L296" s="102" t="b">
        <v>0</v>
      </c>
    </row>
    <row r="297" spans="1:12" ht="15">
      <c r="A297" s="104" t="s">
        <v>1208</v>
      </c>
      <c r="B297" s="102" t="s">
        <v>1407</v>
      </c>
      <c r="C297" s="102">
        <v>2</v>
      </c>
      <c r="D297" s="106">
        <v>0.005218436453837011</v>
      </c>
      <c r="E297" s="106">
        <v>1.1907101683309786</v>
      </c>
      <c r="F297" s="102" t="s">
        <v>1177</v>
      </c>
      <c r="G297" s="102" t="b">
        <v>0</v>
      </c>
      <c r="H297" s="102" t="b">
        <v>0</v>
      </c>
      <c r="I297" s="102" t="b">
        <v>0</v>
      </c>
      <c r="J297" s="102" t="b">
        <v>0</v>
      </c>
      <c r="K297" s="102" t="b">
        <v>0</v>
      </c>
      <c r="L297" s="102" t="b">
        <v>0</v>
      </c>
    </row>
    <row r="298" spans="1:12" ht="15">
      <c r="A298" s="104" t="s">
        <v>1407</v>
      </c>
      <c r="B298" s="102" t="s">
        <v>1208</v>
      </c>
      <c r="C298" s="102">
        <v>2</v>
      </c>
      <c r="D298" s="106">
        <v>0.005218436453837011</v>
      </c>
      <c r="E298" s="106">
        <v>1.1791282957811633</v>
      </c>
      <c r="F298" s="102" t="s">
        <v>1177</v>
      </c>
      <c r="G298" s="102" t="b">
        <v>0</v>
      </c>
      <c r="H298" s="102" t="b">
        <v>0</v>
      </c>
      <c r="I298" s="102" t="b">
        <v>0</v>
      </c>
      <c r="J298" s="102" t="b">
        <v>0</v>
      </c>
      <c r="K298" s="102" t="b">
        <v>0</v>
      </c>
      <c r="L298" s="102" t="b">
        <v>0</v>
      </c>
    </row>
    <row r="299" spans="1:12" ht="15">
      <c r="A299" s="104" t="s">
        <v>1208</v>
      </c>
      <c r="B299" s="102" t="s">
        <v>1207</v>
      </c>
      <c r="C299" s="102">
        <v>2</v>
      </c>
      <c r="D299" s="106">
        <v>0.004237882722032512</v>
      </c>
      <c r="E299" s="106">
        <v>0.0445821326527405</v>
      </c>
      <c r="F299" s="102" t="s">
        <v>1177</v>
      </c>
      <c r="G299" s="102" t="b">
        <v>0</v>
      </c>
      <c r="H299" s="102" t="b">
        <v>0</v>
      </c>
      <c r="I299" s="102" t="b">
        <v>0</v>
      </c>
      <c r="J299" s="102" t="b">
        <v>0</v>
      </c>
      <c r="K299" s="102" t="b">
        <v>0</v>
      </c>
      <c r="L299" s="102" t="b">
        <v>0</v>
      </c>
    </row>
    <row r="300" spans="1:12" ht="15">
      <c r="A300" s="104" t="s">
        <v>1214</v>
      </c>
      <c r="B300" s="102" t="s">
        <v>1232</v>
      </c>
      <c r="C300" s="102">
        <v>2</v>
      </c>
      <c r="D300" s="106">
        <v>0.005218436453837011</v>
      </c>
      <c r="E300" s="106">
        <v>0.7439715426050371</v>
      </c>
      <c r="F300" s="102" t="s">
        <v>1177</v>
      </c>
      <c r="G300" s="102" t="b">
        <v>0</v>
      </c>
      <c r="H300" s="102" t="b">
        <v>0</v>
      </c>
      <c r="I300" s="102" t="b">
        <v>0</v>
      </c>
      <c r="J300" s="102" t="b">
        <v>0</v>
      </c>
      <c r="K300" s="102" t="b">
        <v>0</v>
      </c>
      <c r="L300" s="102" t="b">
        <v>0</v>
      </c>
    </row>
    <row r="301" spans="1:12" ht="15">
      <c r="A301" s="104" t="s">
        <v>1250</v>
      </c>
      <c r="B301" s="102" t="s">
        <v>1251</v>
      </c>
      <c r="C301" s="102">
        <v>6</v>
      </c>
      <c r="D301" s="106">
        <v>0.013492435820751252</v>
      </c>
      <c r="E301" s="106">
        <v>1.724275869600789</v>
      </c>
      <c r="F301" s="102" t="s">
        <v>1178</v>
      </c>
      <c r="G301" s="102" t="b">
        <v>0</v>
      </c>
      <c r="H301" s="102" t="b">
        <v>0</v>
      </c>
      <c r="I301" s="102" t="b">
        <v>0</v>
      </c>
      <c r="J301" s="102" t="b">
        <v>0</v>
      </c>
      <c r="K301" s="102" t="b">
        <v>0</v>
      </c>
      <c r="L301" s="102" t="b">
        <v>0</v>
      </c>
    </row>
    <row r="302" spans="1:12" ht="15">
      <c r="A302" s="104" t="s">
        <v>1206</v>
      </c>
      <c r="B302" s="102" t="s">
        <v>1211</v>
      </c>
      <c r="C302" s="102">
        <v>6</v>
      </c>
      <c r="D302" s="106">
        <v>0.00810085380885905</v>
      </c>
      <c r="E302" s="106">
        <v>0.9839131801065452</v>
      </c>
      <c r="F302" s="102" t="s">
        <v>1178</v>
      </c>
      <c r="G302" s="102" t="b">
        <v>0</v>
      </c>
      <c r="H302" s="102" t="b">
        <v>0</v>
      </c>
      <c r="I302" s="102" t="b">
        <v>0</v>
      </c>
      <c r="J302" s="102" t="b">
        <v>0</v>
      </c>
      <c r="K302" s="102" t="b">
        <v>0</v>
      </c>
      <c r="L302" s="102" t="b">
        <v>0</v>
      </c>
    </row>
    <row r="303" spans="1:12" ht="15">
      <c r="A303" s="104" t="s">
        <v>1253</v>
      </c>
      <c r="B303" s="102" t="s">
        <v>1245</v>
      </c>
      <c r="C303" s="102">
        <v>6</v>
      </c>
      <c r="D303" s="106">
        <v>0.022037891129163115</v>
      </c>
      <c r="E303" s="106">
        <v>1.6573290799701759</v>
      </c>
      <c r="F303" s="102" t="s">
        <v>1178</v>
      </c>
      <c r="G303" s="102" t="b">
        <v>0</v>
      </c>
      <c r="H303" s="102" t="b">
        <v>0</v>
      </c>
      <c r="I303" s="102" t="b">
        <v>0</v>
      </c>
      <c r="J303" s="102" t="b">
        <v>0</v>
      </c>
      <c r="K303" s="102" t="b">
        <v>0</v>
      </c>
      <c r="L303" s="102" t="b">
        <v>0</v>
      </c>
    </row>
    <row r="304" spans="1:12" ht="15">
      <c r="A304" s="104" t="s">
        <v>1263</v>
      </c>
      <c r="B304" s="102" t="s">
        <v>1216</v>
      </c>
      <c r="C304" s="102">
        <v>5</v>
      </c>
      <c r="D304" s="106">
        <v>0.009378939254482261</v>
      </c>
      <c r="E304" s="106">
        <v>1.7242758696007892</v>
      </c>
      <c r="F304" s="102" t="s">
        <v>1178</v>
      </c>
      <c r="G304" s="102" t="b">
        <v>0</v>
      </c>
      <c r="H304" s="102" t="b">
        <v>0</v>
      </c>
      <c r="I304" s="102" t="b">
        <v>0</v>
      </c>
      <c r="J304" s="102" t="b">
        <v>0</v>
      </c>
      <c r="K304" s="102" t="b">
        <v>0</v>
      </c>
      <c r="L304" s="102" t="b">
        <v>0</v>
      </c>
    </row>
    <row r="305" spans="1:12" ht="15">
      <c r="A305" s="104" t="s">
        <v>1285</v>
      </c>
      <c r="B305" s="102" t="s">
        <v>1210</v>
      </c>
      <c r="C305" s="102">
        <v>4</v>
      </c>
      <c r="D305" s="106">
        <v>0.007503151403585809</v>
      </c>
      <c r="E305" s="106">
        <v>1.9003671286564703</v>
      </c>
      <c r="F305" s="102" t="s">
        <v>1178</v>
      </c>
      <c r="G305" s="102" t="b">
        <v>0</v>
      </c>
      <c r="H305" s="102" t="b">
        <v>0</v>
      </c>
      <c r="I305" s="102" t="b">
        <v>0</v>
      </c>
      <c r="J305" s="102" t="b">
        <v>0</v>
      </c>
      <c r="K305" s="102" t="b">
        <v>0</v>
      </c>
      <c r="L305" s="102" t="b">
        <v>0</v>
      </c>
    </row>
    <row r="306" spans="1:12" ht="15">
      <c r="A306" s="104" t="s">
        <v>1211</v>
      </c>
      <c r="B306" s="102" t="s">
        <v>1206</v>
      </c>
      <c r="C306" s="102">
        <v>4</v>
      </c>
      <c r="D306" s="106">
        <v>0.007503151403585809</v>
      </c>
      <c r="E306" s="106">
        <v>0.9461246192171454</v>
      </c>
      <c r="F306" s="102" t="s">
        <v>1178</v>
      </c>
      <c r="G306" s="102" t="b">
        <v>0</v>
      </c>
      <c r="H306" s="102" t="b">
        <v>0</v>
      </c>
      <c r="I306" s="102" t="b">
        <v>0</v>
      </c>
      <c r="J306" s="102" t="b">
        <v>0</v>
      </c>
      <c r="K306" s="102" t="b">
        <v>0</v>
      </c>
      <c r="L306" s="102" t="b">
        <v>0</v>
      </c>
    </row>
    <row r="307" spans="1:12" ht="15">
      <c r="A307" s="104" t="s">
        <v>1205</v>
      </c>
      <c r="B307" s="102" t="s">
        <v>1204</v>
      </c>
      <c r="C307" s="102">
        <v>4</v>
      </c>
      <c r="D307" s="106">
        <v>0.008994957213834167</v>
      </c>
      <c r="E307" s="106">
        <v>1.3720933514894267</v>
      </c>
      <c r="F307" s="102" t="s">
        <v>1178</v>
      </c>
      <c r="G307" s="102" t="b">
        <v>0</v>
      </c>
      <c r="H307" s="102" t="b">
        <v>0</v>
      </c>
      <c r="I307" s="102" t="b">
        <v>0</v>
      </c>
      <c r="J307" s="102" t="b">
        <v>0</v>
      </c>
      <c r="K307" s="102" t="b">
        <v>0</v>
      </c>
      <c r="L307" s="102" t="b">
        <v>0</v>
      </c>
    </row>
    <row r="308" spans="1:12" ht="15">
      <c r="A308" s="104" t="s">
        <v>1288</v>
      </c>
      <c r="B308" s="102" t="s">
        <v>1289</v>
      </c>
      <c r="C308" s="102">
        <v>4</v>
      </c>
      <c r="D308" s="106">
        <v>0.014691927419442077</v>
      </c>
      <c r="E308" s="106">
        <v>1.9003671286564703</v>
      </c>
      <c r="F308" s="102" t="s">
        <v>1178</v>
      </c>
      <c r="G308" s="102" t="b">
        <v>0</v>
      </c>
      <c r="H308" s="102" t="b">
        <v>0</v>
      </c>
      <c r="I308" s="102" t="b">
        <v>0</v>
      </c>
      <c r="J308" s="102" t="b">
        <v>0</v>
      </c>
      <c r="K308" s="102" t="b">
        <v>0</v>
      </c>
      <c r="L308" s="102" t="b">
        <v>0</v>
      </c>
    </row>
    <row r="309" spans="1:12" ht="15">
      <c r="A309" s="104" t="s">
        <v>1241</v>
      </c>
      <c r="B309" s="102" t="s">
        <v>1241</v>
      </c>
      <c r="C309" s="102">
        <v>3</v>
      </c>
      <c r="D309" s="106">
        <v>0.006746217910375626</v>
      </c>
      <c r="E309" s="106">
        <v>1.3774883833761327</v>
      </c>
      <c r="F309" s="102" t="s">
        <v>1178</v>
      </c>
      <c r="G309" s="102" t="b">
        <v>0</v>
      </c>
      <c r="H309" s="102" t="b">
        <v>0</v>
      </c>
      <c r="I309" s="102" t="b">
        <v>0</v>
      </c>
      <c r="J309" s="102" t="b">
        <v>0</v>
      </c>
      <c r="K309" s="102" t="b">
        <v>0</v>
      </c>
      <c r="L309" s="102" t="b">
        <v>0</v>
      </c>
    </row>
    <row r="310" spans="1:12" ht="15">
      <c r="A310" s="104" t="s">
        <v>1241</v>
      </c>
      <c r="B310" s="102" t="s">
        <v>1242</v>
      </c>
      <c r="C310" s="102">
        <v>3</v>
      </c>
      <c r="D310" s="106">
        <v>0.006746217910375626</v>
      </c>
      <c r="E310" s="106">
        <v>1.1733684007202079</v>
      </c>
      <c r="F310" s="102" t="s">
        <v>1178</v>
      </c>
      <c r="G310" s="102" t="b">
        <v>0</v>
      </c>
      <c r="H310" s="102" t="b">
        <v>0</v>
      </c>
      <c r="I310" s="102" t="b">
        <v>0</v>
      </c>
      <c r="J310" s="102" t="b">
        <v>0</v>
      </c>
      <c r="K310" s="102" t="b">
        <v>0</v>
      </c>
      <c r="L310" s="102" t="b">
        <v>0</v>
      </c>
    </row>
    <row r="311" spans="1:12" ht="15">
      <c r="A311" s="104" t="s">
        <v>1242</v>
      </c>
      <c r="B311" s="102" t="s">
        <v>1284</v>
      </c>
      <c r="C311" s="102">
        <v>3</v>
      </c>
      <c r="D311" s="106">
        <v>0.006746217910375626</v>
      </c>
      <c r="E311" s="106">
        <v>1.532390343361876</v>
      </c>
      <c r="F311" s="102" t="s">
        <v>1178</v>
      </c>
      <c r="G311" s="102" t="b">
        <v>0</v>
      </c>
      <c r="H311" s="102" t="b">
        <v>0</v>
      </c>
      <c r="I311" s="102" t="b">
        <v>0</v>
      </c>
      <c r="J311" s="102" t="b">
        <v>0</v>
      </c>
      <c r="K311" s="102" t="b">
        <v>0</v>
      </c>
      <c r="L311" s="102" t="b">
        <v>0</v>
      </c>
    </row>
    <row r="312" spans="1:12" ht="15">
      <c r="A312" s="104" t="s">
        <v>1284</v>
      </c>
      <c r="B312" s="102" t="s">
        <v>1285</v>
      </c>
      <c r="C312" s="102">
        <v>3</v>
      </c>
      <c r="D312" s="106">
        <v>0.006746217910375626</v>
      </c>
      <c r="E312" s="106">
        <v>1.7754283920481704</v>
      </c>
      <c r="F312" s="102" t="s">
        <v>1178</v>
      </c>
      <c r="G312" s="102" t="b">
        <v>0</v>
      </c>
      <c r="H312" s="102" t="b">
        <v>0</v>
      </c>
      <c r="I312" s="102" t="b">
        <v>0</v>
      </c>
      <c r="J312" s="102" t="b">
        <v>0</v>
      </c>
      <c r="K312" s="102" t="b">
        <v>0</v>
      </c>
      <c r="L312" s="102" t="b">
        <v>0</v>
      </c>
    </row>
    <row r="313" spans="1:12" ht="15">
      <c r="A313" s="104" t="s">
        <v>1206</v>
      </c>
      <c r="B313" s="102" t="s">
        <v>1205</v>
      </c>
      <c r="C313" s="102">
        <v>3</v>
      </c>
      <c r="D313" s="106">
        <v>0.008323154558635458</v>
      </c>
      <c r="E313" s="106">
        <v>0.8211858826088454</v>
      </c>
      <c r="F313" s="102" t="s">
        <v>1178</v>
      </c>
      <c r="G313" s="102" t="b">
        <v>0</v>
      </c>
      <c r="H313" s="102" t="b">
        <v>0</v>
      </c>
      <c r="I313" s="102" t="b">
        <v>0</v>
      </c>
      <c r="J313" s="102" t="b">
        <v>0</v>
      </c>
      <c r="K313" s="102" t="b">
        <v>0</v>
      </c>
      <c r="L313" s="102" t="b">
        <v>0</v>
      </c>
    </row>
    <row r="314" spans="1:12" ht="15">
      <c r="A314" s="104" t="s">
        <v>1252</v>
      </c>
      <c r="B314" s="102" t="s">
        <v>1264</v>
      </c>
      <c r="C314" s="102">
        <v>3</v>
      </c>
      <c r="D314" s="106">
        <v>0.006746217910375626</v>
      </c>
      <c r="E314" s="106">
        <v>1.5024271199844328</v>
      </c>
      <c r="F314" s="102" t="s">
        <v>1178</v>
      </c>
      <c r="G314" s="102" t="b">
        <v>0</v>
      </c>
      <c r="H314" s="102" t="b">
        <v>0</v>
      </c>
      <c r="I314" s="102" t="b">
        <v>0</v>
      </c>
      <c r="J314" s="102" t="b">
        <v>0</v>
      </c>
      <c r="K314" s="102" t="b">
        <v>0</v>
      </c>
      <c r="L314" s="102" t="b">
        <v>0</v>
      </c>
    </row>
    <row r="315" spans="1:12" ht="15">
      <c r="A315" s="104" t="s">
        <v>1205</v>
      </c>
      <c r="B315" s="102" t="s">
        <v>1206</v>
      </c>
      <c r="C315" s="102">
        <v>2</v>
      </c>
      <c r="D315" s="106">
        <v>0.0073459637097210385</v>
      </c>
      <c r="E315" s="106">
        <v>0.6450946235531643</v>
      </c>
      <c r="F315" s="102" t="s">
        <v>1178</v>
      </c>
      <c r="G315" s="102" t="b">
        <v>0</v>
      </c>
      <c r="H315" s="102" t="b">
        <v>0</v>
      </c>
      <c r="I315" s="102" t="b">
        <v>0</v>
      </c>
      <c r="J315" s="102" t="b">
        <v>0</v>
      </c>
      <c r="K315" s="102" t="b">
        <v>0</v>
      </c>
      <c r="L315" s="102" t="b">
        <v>0</v>
      </c>
    </row>
    <row r="316" spans="1:12" ht="15">
      <c r="A316" s="104" t="s">
        <v>1378</v>
      </c>
      <c r="B316" s="102" t="s">
        <v>1206</v>
      </c>
      <c r="C316" s="102">
        <v>2</v>
      </c>
      <c r="D316" s="106">
        <v>0.0073459637097210385</v>
      </c>
      <c r="E316" s="106">
        <v>1.298307137328508</v>
      </c>
      <c r="F316" s="102" t="s">
        <v>1178</v>
      </c>
      <c r="G316" s="102" t="b">
        <v>0</v>
      </c>
      <c r="H316" s="102" t="b">
        <v>0</v>
      </c>
      <c r="I316" s="102" t="b">
        <v>0</v>
      </c>
      <c r="J316" s="102" t="b">
        <v>0</v>
      </c>
      <c r="K316" s="102" t="b">
        <v>0</v>
      </c>
      <c r="L316" s="102" t="b">
        <v>0</v>
      </c>
    </row>
    <row r="317" spans="1:12" ht="15">
      <c r="A317" s="104" t="s">
        <v>1206</v>
      </c>
      <c r="B317" s="102" t="s">
        <v>1217</v>
      </c>
      <c r="C317" s="102">
        <v>2</v>
      </c>
      <c r="D317" s="106">
        <v>0.005548769705756971</v>
      </c>
      <c r="E317" s="106">
        <v>0.9461246192171454</v>
      </c>
      <c r="F317" s="102" t="s">
        <v>1178</v>
      </c>
      <c r="G317" s="102" t="b">
        <v>0</v>
      </c>
      <c r="H317" s="102" t="b">
        <v>0</v>
      </c>
      <c r="I317" s="102" t="b">
        <v>0</v>
      </c>
      <c r="J317" s="102" t="b">
        <v>0</v>
      </c>
      <c r="K317" s="102" t="b">
        <v>0</v>
      </c>
      <c r="L317" s="102" t="b">
        <v>0</v>
      </c>
    </row>
    <row r="318" spans="1:12" ht="15">
      <c r="A318" s="104" t="s">
        <v>1206</v>
      </c>
      <c r="B318" s="102" t="s">
        <v>1219</v>
      </c>
      <c r="C318" s="102">
        <v>2</v>
      </c>
      <c r="D318" s="106">
        <v>0.005548769705756971</v>
      </c>
      <c r="E318" s="106">
        <v>1.2471546148811266</v>
      </c>
      <c r="F318" s="102" t="s">
        <v>1178</v>
      </c>
      <c r="G318" s="102" t="b">
        <v>0</v>
      </c>
      <c r="H318" s="102" t="b">
        <v>0</v>
      </c>
      <c r="I318" s="102" t="b">
        <v>0</v>
      </c>
      <c r="J318" s="102" t="b">
        <v>0</v>
      </c>
      <c r="K318" s="102" t="b">
        <v>0</v>
      </c>
      <c r="L318" s="102" t="b">
        <v>0</v>
      </c>
    </row>
    <row r="319" spans="1:12" ht="15">
      <c r="A319" s="104" t="s">
        <v>1399</v>
      </c>
      <c r="B319" s="102" t="s">
        <v>1211</v>
      </c>
      <c r="C319" s="102">
        <v>2</v>
      </c>
      <c r="D319" s="106">
        <v>0.005548769705756971</v>
      </c>
      <c r="E319" s="106">
        <v>1.4610344348262077</v>
      </c>
      <c r="F319" s="102" t="s">
        <v>1178</v>
      </c>
      <c r="G319" s="102" t="b">
        <v>0</v>
      </c>
      <c r="H319" s="102" t="b">
        <v>0</v>
      </c>
      <c r="I319" s="102" t="b">
        <v>0</v>
      </c>
      <c r="J319" s="102" t="b">
        <v>0</v>
      </c>
      <c r="K319" s="102" t="b">
        <v>0</v>
      </c>
      <c r="L319" s="102" t="b">
        <v>0</v>
      </c>
    </row>
    <row r="320" spans="1:12" ht="15">
      <c r="A320" s="104" t="s">
        <v>1251</v>
      </c>
      <c r="B320" s="102" t="s">
        <v>1390</v>
      </c>
      <c r="C320" s="102">
        <v>2</v>
      </c>
      <c r="D320" s="106">
        <v>0.005548769705756971</v>
      </c>
      <c r="E320" s="106">
        <v>1.8034571156484138</v>
      </c>
      <c r="F320" s="102" t="s">
        <v>1178</v>
      </c>
      <c r="G320" s="102" t="b">
        <v>0</v>
      </c>
      <c r="H320" s="102" t="b">
        <v>0</v>
      </c>
      <c r="I320" s="102" t="b">
        <v>0</v>
      </c>
      <c r="J320" s="102" t="b">
        <v>0</v>
      </c>
      <c r="K320" s="102" t="b">
        <v>0</v>
      </c>
      <c r="L320" s="102" t="b">
        <v>0</v>
      </c>
    </row>
    <row r="321" spans="1:12" ht="15">
      <c r="A321" s="104" t="s">
        <v>1390</v>
      </c>
      <c r="B321" s="102" t="s">
        <v>1252</v>
      </c>
      <c r="C321" s="102">
        <v>2</v>
      </c>
      <c r="D321" s="106">
        <v>0.005548769705756971</v>
      </c>
      <c r="E321" s="106">
        <v>1.724275869600789</v>
      </c>
      <c r="F321" s="102" t="s">
        <v>1178</v>
      </c>
      <c r="G321" s="102" t="b">
        <v>0</v>
      </c>
      <c r="H321" s="102" t="b">
        <v>0</v>
      </c>
      <c r="I321" s="102" t="b">
        <v>0</v>
      </c>
      <c r="J321" s="102" t="b">
        <v>0</v>
      </c>
      <c r="K321" s="102" t="b">
        <v>0</v>
      </c>
      <c r="L321" s="102" t="b">
        <v>0</v>
      </c>
    </row>
    <row r="322" spans="1:12" ht="15">
      <c r="A322" s="104" t="s">
        <v>1264</v>
      </c>
      <c r="B322" s="102" t="s">
        <v>1206</v>
      </c>
      <c r="C322" s="102">
        <v>2</v>
      </c>
      <c r="D322" s="106">
        <v>0.005548769705756971</v>
      </c>
      <c r="E322" s="106">
        <v>0.9003671286564703</v>
      </c>
      <c r="F322" s="102" t="s">
        <v>1178</v>
      </c>
      <c r="G322" s="102" t="b">
        <v>0</v>
      </c>
      <c r="H322" s="102" t="b">
        <v>0</v>
      </c>
      <c r="I322" s="102" t="b">
        <v>0</v>
      </c>
      <c r="J322" s="102" t="b">
        <v>0</v>
      </c>
      <c r="K322" s="102" t="b">
        <v>0</v>
      </c>
      <c r="L322" s="102" t="b">
        <v>0</v>
      </c>
    </row>
    <row r="323" spans="1:12" ht="15">
      <c r="A323" s="104" t="s">
        <v>1400</v>
      </c>
      <c r="B323" s="102" t="s">
        <v>1211</v>
      </c>
      <c r="C323" s="102">
        <v>2</v>
      </c>
      <c r="D323" s="106">
        <v>0.0073459637097210385</v>
      </c>
      <c r="E323" s="106">
        <v>1.4610344348262077</v>
      </c>
      <c r="F323" s="102" t="s">
        <v>1178</v>
      </c>
      <c r="G323" s="102" t="b">
        <v>0</v>
      </c>
      <c r="H323" s="102" t="b">
        <v>0</v>
      </c>
      <c r="I323" s="102" t="b">
        <v>0</v>
      </c>
      <c r="J323" s="102" t="b">
        <v>0</v>
      </c>
      <c r="K323" s="102" t="b">
        <v>0</v>
      </c>
      <c r="L323" s="102" t="b">
        <v>0</v>
      </c>
    </row>
    <row r="324" spans="1:12" ht="15">
      <c r="A324" s="104" t="s">
        <v>1210</v>
      </c>
      <c r="B324" s="102" t="s">
        <v>1263</v>
      </c>
      <c r="C324" s="102">
        <v>2</v>
      </c>
      <c r="D324" s="106">
        <v>0.005548769705756971</v>
      </c>
      <c r="E324" s="106">
        <v>1.5024271199844328</v>
      </c>
      <c r="F324" s="102" t="s">
        <v>1178</v>
      </c>
      <c r="G324" s="102" t="b">
        <v>0</v>
      </c>
      <c r="H324" s="102" t="b">
        <v>0</v>
      </c>
      <c r="I324" s="102" t="b">
        <v>0</v>
      </c>
      <c r="J324" s="102" t="b">
        <v>0</v>
      </c>
      <c r="K324" s="102" t="b">
        <v>0</v>
      </c>
      <c r="L324" s="102" t="b">
        <v>0</v>
      </c>
    </row>
    <row r="325" spans="1:12" ht="15">
      <c r="A325" s="104" t="s">
        <v>1392</v>
      </c>
      <c r="B325" s="102" t="s">
        <v>1393</v>
      </c>
      <c r="C325" s="102">
        <v>2</v>
      </c>
      <c r="D325" s="106">
        <v>0.0073459637097210385</v>
      </c>
      <c r="E325" s="106">
        <v>2.2013971243204513</v>
      </c>
      <c r="F325" s="102" t="s">
        <v>1178</v>
      </c>
      <c r="G325" s="102" t="b">
        <v>0</v>
      </c>
      <c r="H325" s="102" t="b">
        <v>0</v>
      </c>
      <c r="I325" s="102" t="b">
        <v>0</v>
      </c>
      <c r="J325" s="102" t="b">
        <v>0</v>
      </c>
      <c r="K325" s="102" t="b">
        <v>0</v>
      </c>
      <c r="L325" s="102" t="b">
        <v>0</v>
      </c>
    </row>
    <row r="326" spans="1:12" ht="15">
      <c r="A326" s="104" t="s">
        <v>1387</v>
      </c>
      <c r="B326" s="102" t="s">
        <v>1217</v>
      </c>
      <c r="C326" s="102">
        <v>2</v>
      </c>
      <c r="D326" s="106">
        <v>0.005548769705756971</v>
      </c>
      <c r="E326" s="106">
        <v>1.9003671286564703</v>
      </c>
      <c r="F326" s="102" t="s">
        <v>1178</v>
      </c>
      <c r="G326" s="102" t="b">
        <v>0</v>
      </c>
      <c r="H326" s="102" t="b">
        <v>0</v>
      </c>
      <c r="I326" s="102" t="b">
        <v>0</v>
      </c>
      <c r="J326" s="102" t="b">
        <v>0</v>
      </c>
      <c r="K326" s="102" t="b">
        <v>0</v>
      </c>
      <c r="L326" s="102" t="b">
        <v>0</v>
      </c>
    </row>
    <row r="327" spans="1:12" ht="15">
      <c r="A327" s="104" t="s">
        <v>1386</v>
      </c>
      <c r="B327" s="102" t="s">
        <v>1242</v>
      </c>
      <c r="C327" s="102">
        <v>2</v>
      </c>
      <c r="D327" s="106">
        <v>0.0073459637097210385</v>
      </c>
      <c r="E327" s="106">
        <v>1.599337132992489</v>
      </c>
      <c r="F327" s="102" t="s">
        <v>1178</v>
      </c>
      <c r="G327" s="102" t="b">
        <v>0</v>
      </c>
      <c r="H327" s="102" t="b">
        <v>0</v>
      </c>
      <c r="I327" s="102" t="b">
        <v>0</v>
      </c>
      <c r="J327" s="102" t="b">
        <v>0</v>
      </c>
      <c r="K327" s="102" t="b">
        <v>0</v>
      </c>
      <c r="L327" s="102" t="b">
        <v>0</v>
      </c>
    </row>
    <row r="328" spans="1:12" ht="15">
      <c r="A328" s="104" t="s">
        <v>1379</v>
      </c>
      <c r="B328" s="102" t="s">
        <v>1316</v>
      </c>
      <c r="C328" s="102">
        <v>2</v>
      </c>
      <c r="D328" s="106">
        <v>0.005548769705756971</v>
      </c>
      <c r="E328" s="106">
        <v>2.0253058652647704</v>
      </c>
      <c r="F328" s="102" t="s">
        <v>1178</v>
      </c>
      <c r="G328" s="102" t="b">
        <v>0</v>
      </c>
      <c r="H328" s="102" t="b">
        <v>0</v>
      </c>
      <c r="I328" s="102" t="b">
        <v>0</v>
      </c>
      <c r="J328" s="102" t="b">
        <v>0</v>
      </c>
      <c r="K328" s="102" t="b">
        <v>0</v>
      </c>
      <c r="L328" s="102" t="b">
        <v>0</v>
      </c>
    </row>
    <row r="329" spans="1:12" ht="15">
      <c r="A329" s="104" t="s">
        <v>1222</v>
      </c>
      <c r="B329" s="102" t="s">
        <v>1204</v>
      </c>
      <c r="C329" s="102">
        <v>9</v>
      </c>
      <c r="D329" s="106">
        <v>0.06348124976750734</v>
      </c>
      <c r="E329" s="106">
        <v>0.9573335864164667</v>
      </c>
      <c r="F329" s="102" t="s">
        <v>1179</v>
      </c>
      <c r="G329" s="102" t="b">
        <v>0</v>
      </c>
      <c r="H329" s="102" t="b">
        <v>0</v>
      </c>
      <c r="I329" s="102" t="b">
        <v>0</v>
      </c>
      <c r="J329" s="102" t="b">
        <v>0</v>
      </c>
      <c r="K329" s="102" t="b">
        <v>0</v>
      </c>
      <c r="L329" s="102" t="b">
        <v>0</v>
      </c>
    </row>
    <row r="330" spans="1:12" ht="15">
      <c r="A330" s="104" t="s">
        <v>1204</v>
      </c>
      <c r="B330" s="102" t="s">
        <v>1206</v>
      </c>
      <c r="C330" s="102">
        <v>2</v>
      </c>
      <c r="D330" s="106">
        <v>0.010171911769720833</v>
      </c>
      <c r="E330" s="106">
        <v>0.859184501292862</v>
      </c>
      <c r="F330" s="102" t="s">
        <v>1179</v>
      </c>
      <c r="G330" s="102" t="b">
        <v>0</v>
      </c>
      <c r="H330" s="102" t="b">
        <v>0</v>
      </c>
      <c r="I330" s="102" t="b">
        <v>0</v>
      </c>
      <c r="J330" s="102" t="b">
        <v>0</v>
      </c>
      <c r="K330" s="102" t="b">
        <v>0</v>
      </c>
      <c r="L330" s="102" t="b">
        <v>0</v>
      </c>
    </row>
    <row r="331" spans="1:12" ht="15">
      <c r="A331" s="104" t="s">
        <v>1206</v>
      </c>
      <c r="B331" s="102" t="s">
        <v>1219</v>
      </c>
      <c r="C331" s="102">
        <v>2</v>
      </c>
      <c r="D331" s="106">
        <v>0.010171911769720833</v>
      </c>
      <c r="E331" s="106">
        <v>1.6720978579357175</v>
      </c>
      <c r="F331" s="102" t="s">
        <v>1179</v>
      </c>
      <c r="G331" s="102" t="b">
        <v>0</v>
      </c>
      <c r="H331" s="102" t="b">
        <v>0</v>
      </c>
      <c r="I331" s="102" t="b">
        <v>0</v>
      </c>
      <c r="J331" s="102" t="b">
        <v>0</v>
      </c>
      <c r="K331" s="102" t="b">
        <v>0</v>
      </c>
      <c r="L331" s="102" t="b">
        <v>0</v>
      </c>
    </row>
    <row r="332" spans="1:12" ht="15">
      <c r="A332" s="104" t="s">
        <v>1204</v>
      </c>
      <c r="B332" s="102" t="s">
        <v>1222</v>
      </c>
      <c r="C332" s="102">
        <v>2</v>
      </c>
      <c r="D332" s="106">
        <v>0.014106944392779411</v>
      </c>
      <c r="E332" s="106">
        <v>0.3820632465731995</v>
      </c>
      <c r="F332" s="102" t="s">
        <v>1179</v>
      </c>
      <c r="G332" s="102" t="b">
        <v>0</v>
      </c>
      <c r="H332" s="102" t="b">
        <v>0</v>
      </c>
      <c r="I332" s="102" t="b">
        <v>0</v>
      </c>
      <c r="J332" s="102" t="b">
        <v>0</v>
      </c>
      <c r="K332" s="102" t="b">
        <v>0</v>
      </c>
      <c r="L332" s="102" t="b">
        <v>0</v>
      </c>
    </row>
    <row r="333" spans="1:12" ht="15">
      <c r="A333" s="104" t="s">
        <v>1204</v>
      </c>
      <c r="B333" s="102" t="s">
        <v>1397</v>
      </c>
      <c r="C333" s="102">
        <v>2</v>
      </c>
      <c r="D333" s="106">
        <v>0.014106944392779411</v>
      </c>
      <c r="E333" s="106">
        <v>1.0352757603485432</v>
      </c>
      <c r="F333" s="102" t="s">
        <v>1179</v>
      </c>
      <c r="G333" s="102" t="b">
        <v>0</v>
      </c>
      <c r="H333" s="102" t="b">
        <v>0</v>
      </c>
      <c r="I333" s="102" t="b">
        <v>0</v>
      </c>
      <c r="J333" s="102" t="b">
        <v>0</v>
      </c>
      <c r="K333" s="102" t="b">
        <v>0</v>
      </c>
      <c r="L333" s="102" t="b">
        <v>0</v>
      </c>
    </row>
    <row r="334" spans="1:12" ht="15">
      <c r="A334" s="104" t="s">
        <v>1206</v>
      </c>
      <c r="B334" s="102" t="s">
        <v>1205</v>
      </c>
      <c r="C334" s="102">
        <v>7</v>
      </c>
      <c r="D334" s="106">
        <v>0.015300139723967964</v>
      </c>
      <c r="E334" s="106">
        <v>1.0413926851582251</v>
      </c>
      <c r="F334" s="102" t="s">
        <v>1180</v>
      </c>
      <c r="G334" s="102" t="b">
        <v>0</v>
      </c>
      <c r="H334" s="102" t="b">
        <v>0</v>
      </c>
      <c r="I334" s="102" t="b">
        <v>0</v>
      </c>
      <c r="J334" s="102" t="b">
        <v>0</v>
      </c>
      <c r="K334" s="102" t="b">
        <v>0</v>
      </c>
      <c r="L334" s="102" t="b">
        <v>0</v>
      </c>
    </row>
    <row r="335" spans="1:12" ht="15">
      <c r="A335" s="104" t="s">
        <v>1205</v>
      </c>
      <c r="B335" s="102" t="s">
        <v>1204</v>
      </c>
      <c r="C335" s="102">
        <v>7</v>
      </c>
      <c r="D335" s="106">
        <v>0.015300139723967964</v>
      </c>
      <c r="E335" s="106">
        <v>1.1962946451439682</v>
      </c>
      <c r="F335" s="102" t="s">
        <v>1180</v>
      </c>
      <c r="G335" s="102" t="b">
        <v>0</v>
      </c>
      <c r="H335" s="102" t="b">
        <v>0</v>
      </c>
      <c r="I335" s="102" t="b">
        <v>0</v>
      </c>
      <c r="J335" s="102" t="b">
        <v>0</v>
      </c>
      <c r="K335" s="102" t="b">
        <v>0</v>
      </c>
      <c r="L335" s="102" t="b">
        <v>0</v>
      </c>
    </row>
    <row r="336" spans="1:12" ht="15">
      <c r="A336" s="104" t="s">
        <v>1249</v>
      </c>
      <c r="B336" s="102" t="s">
        <v>1240</v>
      </c>
      <c r="C336" s="102">
        <v>6</v>
      </c>
      <c r="D336" s="106">
        <v>0.016380102532838687</v>
      </c>
      <c r="E336" s="106">
        <v>1.1383026981662816</v>
      </c>
      <c r="F336" s="102" t="s">
        <v>1180</v>
      </c>
      <c r="G336" s="102" t="b">
        <v>0</v>
      </c>
      <c r="H336" s="102" t="b">
        <v>0</v>
      </c>
      <c r="I336" s="102" t="b">
        <v>0</v>
      </c>
      <c r="J336" s="102" t="b">
        <v>0</v>
      </c>
      <c r="K336" s="102" t="b">
        <v>0</v>
      </c>
      <c r="L336" s="102" t="b">
        <v>0</v>
      </c>
    </row>
    <row r="337" spans="1:12" ht="15">
      <c r="A337" s="104" t="s">
        <v>1206</v>
      </c>
      <c r="B337" s="102" t="s">
        <v>1211</v>
      </c>
      <c r="C337" s="102">
        <v>3</v>
      </c>
      <c r="D337" s="106">
        <v>0.015532246282614008</v>
      </c>
      <c r="E337" s="106">
        <v>0.9164539485499251</v>
      </c>
      <c r="F337" s="102" t="s">
        <v>1180</v>
      </c>
      <c r="G337" s="102" t="b">
        <v>0</v>
      </c>
      <c r="H337" s="102" t="b">
        <v>0</v>
      </c>
      <c r="I337" s="102" t="b">
        <v>0</v>
      </c>
      <c r="J337" s="102" t="b">
        <v>0</v>
      </c>
      <c r="K337" s="102" t="b">
        <v>0</v>
      </c>
      <c r="L337" s="102" t="b">
        <v>0</v>
      </c>
    </row>
    <row r="338" spans="1:12" ht="15">
      <c r="A338" s="104" t="s">
        <v>1216</v>
      </c>
      <c r="B338" s="102" t="s">
        <v>1226</v>
      </c>
      <c r="C338" s="102">
        <v>3</v>
      </c>
      <c r="D338" s="106">
        <v>0.015532246282614008</v>
      </c>
      <c r="E338" s="106">
        <v>1.1962946451439682</v>
      </c>
      <c r="F338" s="102" t="s">
        <v>1180</v>
      </c>
      <c r="G338" s="102" t="b">
        <v>0</v>
      </c>
      <c r="H338" s="102" t="b">
        <v>0</v>
      </c>
      <c r="I338" s="102" t="b">
        <v>0</v>
      </c>
      <c r="J338" s="102" t="b">
        <v>0</v>
      </c>
      <c r="K338" s="102" t="b">
        <v>0</v>
      </c>
      <c r="L338" s="102" t="b">
        <v>0</v>
      </c>
    </row>
    <row r="339" spans="1:12" ht="15">
      <c r="A339" s="104" t="s">
        <v>1226</v>
      </c>
      <c r="B339" s="102" t="s">
        <v>1239</v>
      </c>
      <c r="C339" s="102">
        <v>3</v>
      </c>
      <c r="D339" s="106">
        <v>0.015532246282614008</v>
      </c>
      <c r="E339" s="106">
        <v>1.5642714304385625</v>
      </c>
      <c r="F339" s="102" t="s">
        <v>1180</v>
      </c>
      <c r="G339" s="102" t="b">
        <v>0</v>
      </c>
      <c r="H339" s="102" t="b">
        <v>0</v>
      </c>
      <c r="I339" s="102" t="b">
        <v>0</v>
      </c>
      <c r="J339" s="102" t="b">
        <v>0</v>
      </c>
      <c r="K339" s="102" t="b">
        <v>0</v>
      </c>
      <c r="L339" s="102" t="b">
        <v>0</v>
      </c>
    </row>
    <row r="340" spans="1:12" ht="15">
      <c r="A340" s="104" t="s">
        <v>1239</v>
      </c>
      <c r="B340" s="102" t="s">
        <v>1247</v>
      </c>
      <c r="C340" s="102">
        <v>2</v>
      </c>
      <c r="D340" s="106">
        <v>0.013218103360046434</v>
      </c>
      <c r="E340" s="106">
        <v>1.7403626894942439</v>
      </c>
      <c r="F340" s="102" t="s">
        <v>1180</v>
      </c>
      <c r="G340" s="102" t="b">
        <v>0</v>
      </c>
      <c r="H340" s="102" t="b">
        <v>0</v>
      </c>
      <c r="I340" s="102" t="b">
        <v>0</v>
      </c>
      <c r="J340" s="102" t="b">
        <v>0</v>
      </c>
      <c r="K340" s="102" t="b">
        <v>0</v>
      </c>
      <c r="L340" s="102" t="b">
        <v>0</v>
      </c>
    </row>
    <row r="341" spans="1:12" ht="15">
      <c r="A341" s="104" t="s">
        <v>1247</v>
      </c>
      <c r="B341" s="102" t="s">
        <v>1216</v>
      </c>
      <c r="C341" s="102">
        <v>2</v>
      </c>
      <c r="D341" s="106">
        <v>0.013218103360046434</v>
      </c>
      <c r="E341" s="106">
        <v>1.1962946451439682</v>
      </c>
      <c r="F341" s="102" t="s">
        <v>1180</v>
      </c>
      <c r="G341" s="102" t="b">
        <v>0</v>
      </c>
      <c r="H341" s="102" t="b">
        <v>0</v>
      </c>
      <c r="I341" s="102" t="b">
        <v>0</v>
      </c>
      <c r="J341" s="102" t="b">
        <v>0</v>
      </c>
      <c r="K341" s="102" t="b">
        <v>0</v>
      </c>
      <c r="L341" s="102" t="b">
        <v>0</v>
      </c>
    </row>
    <row r="342" spans="1:12" ht="15">
      <c r="A342" s="104" t="s">
        <v>1433</v>
      </c>
      <c r="B342" s="102" t="s">
        <v>1434</v>
      </c>
      <c r="C342" s="102">
        <v>2</v>
      </c>
      <c r="D342" s="106">
        <v>0.013218103360046434</v>
      </c>
      <c r="E342" s="106">
        <v>1.7403626894942439</v>
      </c>
      <c r="F342" s="102" t="s">
        <v>1180</v>
      </c>
      <c r="G342" s="102" t="b">
        <v>0</v>
      </c>
      <c r="H342" s="102" t="b">
        <v>0</v>
      </c>
      <c r="I342" s="102" t="b">
        <v>0</v>
      </c>
      <c r="J342" s="102" t="b">
        <v>0</v>
      </c>
      <c r="K342" s="102" t="b">
        <v>0</v>
      </c>
      <c r="L342" s="102" t="b">
        <v>0</v>
      </c>
    </row>
    <row r="343" spans="1:12" ht="15">
      <c r="A343" s="104" t="s">
        <v>1240</v>
      </c>
      <c r="B343" s="102" t="s">
        <v>1206</v>
      </c>
      <c r="C343" s="102">
        <v>2</v>
      </c>
      <c r="D343" s="106">
        <v>0.013218103360046434</v>
      </c>
      <c r="E343" s="106">
        <v>0.6892101670468626</v>
      </c>
      <c r="F343" s="102" t="s">
        <v>1180</v>
      </c>
      <c r="G343" s="102" t="b">
        <v>0</v>
      </c>
      <c r="H343" s="102" t="b">
        <v>0</v>
      </c>
      <c r="I343" s="102" t="b">
        <v>0</v>
      </c>
      <c r="J343" s="102" t="b">
        <v>0</v>
      </c>
      <c r="K343" s="102" t="b">
        <v>0</v>
      </c>
      <c r="L343" s="102" t="b">
        <v>0</v>
      </c>
    </row>
    <row r="344" spans="1:12" ht="15">
      <c r="A344" s="104" t="s">
        <v>1225</v>
      </c>
      <c r="B344" s="102" t="s">
        <v>1323</v>
      </c>
      <c r="C344" s="102">
        <v>2</v>
      </c>
      <c r="D344" s="106">
        <v>0.013218103360046434</v>
      </c>
      <c r="E344" s="106">
        <v>1.1383026981662814</v>
      </c>
      <c r="F344" s="102" t="s">
        <v>1180</v>
      </c>
      <c r="G344" s="102" t="b">
        <v>0</v>
      </c>
      <c r="H344" s="102" t="b">
        <v>0</v>
      </c>
      <c r="I344" s="102" t="b">
        <v>0</v>
      </c>
      <c r="J344" s="102" t="b">
        <v>0</v>
      </c>
      <c r="K344" s="102" t="b">
        <v>0</v>
      </c>
      <c r="L344" s="102" t="b">
        <v>0</v>
      </c>
    </row>
    <row r="345" spans="1:12" ht="15">
      <c r="A345" s="104" t="s">
        <v>1312</v>
      </c>
      <c r="B345" s="102" t="s">
        <v>1248</v>
      </c>
      <c r="C345" s="102">
        <v>2</v>
      </c>
      <c r="D345" s="106">
        <v>0.013218103360046434</v>
      </c>
      <c r="E345" s="106">
        <v>1.2632414347745815</v>
      </c>
      <c r="F345" s="102" t="s">
        <v>1180</v>
      </c>
      <c r="G345" s="102" t="b">
        <v>0</v>
      </c>
      <c r="H345" s="102" t="b">
        <v>0</v>
      </c>
      <c r="I345" s="102" t="b">
        <v>0</v>
      </c>
      <c r="J345" s="102" t="b">
        <v>0</v>
      </c>
      <c r="K345" s="102" t="b">
        <v>0</v>
      </c>
      <c r="L345" s="102" t="b">
        <v>0</v>
      </c>
    </row>
    <row r="346" spans="1:12" ht="15">
      <c r="A346" s="104" t="s">
        <v>1205</v>
      </c>
      <c r="B346" s="102" t="s">
        <v>1235</v>
      </c>
      <c r="C346" s="102">
        <v>8</v>
      </c>
      <c r="D346" s="106">
        <v>0.005498440454357811</v>
      </c>
      <c r="E346" s="106">
        <v>0.941180036600083</v>
      </c>
      <c r="F346" s="102" t="s">
        <v>1181</v>
      </c>
      <c r="G346" s="102" t="b">
        <v>0</v>
      </c>
      <c r="H346" s="102" t="b">
        <v>0</v>
      </c>
      <c r="I346" s="102" t="b">
        <v>0</v>
      </c>
      <c r="J346" s="102" t="b">
        <v>0</v>
      </c>
      <c r="K346" s="102" t="b">
        <v>0</v>
      </c>
      <c r="L346" s="102" t="b">
        <v>0</v>
      </c>
    </row>
    <row r="347" spans="1:12" ht="15">
      <c r="A347" s="104" t="s">
        <v>1223</v>
      </c>
      <c r="B347" s="102" t="s">
        <v>1205</v>
      </c>
      <c r="C347" s="102">
        <v>5</v>
      </c>
      <c r="D347" s="106">
        <v>0.010674822541275929</v>
      </c>
      <c r="E347" s="106">
        <v>0.5443996934552842</v>
      </c>
      <c r="F347" s="102" t="s">
        <v>1181</v>
      </c>
      <c r="G347" s="102" t="b">
        <v>0</v>
      </c>
      <c r="H347" s="102" t="b">
        <v>0</v>
      </c>
      <c r="I347" s="102" t="b">
        <v>0</v>
      </c>
      <c r="J347" s="102" t="b">
        <v>0</v>
      </c>
      <c r="K347" s="102" t="b">
        <v>0</v>
      </c>
      <c r="L347" s="102" t="b">
        <v>0</v>
      </c>
    </row>
    <row r="348" spans="1:12" ht="15">
      <c r="A348" s="104" t="s">
        <v>1229</v>
      </c>
      <c r="B348" s="102" t="s">
        <v>1260</v>
      </c>
      <c r="C348" s="102">
        <v>4</v>
      </c>
      <c r="D348" s="106">
        <v>0.028368794326241134</v>
      </c>
      <c r="E348" s="106">
        <v>1.066118773208383</v>
      </c>
      <c r="F348" s="102" t="s">
        <v>1181</v>
      </c>
      <c r="G348" s="102" t="b">
        <v>0</v>
      </c>
      <c r="H348" s="102" t="b">
        <v>0</v>
      </c>
      <c r="I348" s="102" t="b">
        <v>0</v>
      </c>
      <c r="J348" s="102" t="b">
        <v>0</v>
      </c>
      <c r="K348" s="102" t="b">
        <v>0</v>
      </c>
      <c r="L348" s="102" t="b">
        <v>0</v>
      </c>
    </row>
    <row r="349" spans="1:12" ht="15">
      <c r="A349" s="104" t="s">
        <v>1223</v>
      </c>
      <c r="B349" s="102" t="s">
        <v>1234</v>
      </c>
      <c r="C349" s="102">
        <v>3</v>
      </c>
      <c r="D349" s="106">
        <v>0.011125079686815694</v>
      </c>
      <c r="E349" s="106">
        <v>0.649909878225258</v>
      </c>
      <c r="F349" s="102" t="s">
        <v>1181</v>
      </c>
      <c r="G349" s="102" t="b">
        <v>0</v>
      </c>
      <c r="H349" s="102" t="b">
        <v>0</v>
      </c>
      <c r="I349" s="102" t="b">
        <v>0</v>
      </c>
      <c r="J349" s="102" t="b">
        <v>0</v>
      </c>
      <c r="K349" s="102" t="b">
        <v>0</v>
      </c>
      <c r="L349" s="102" t="b">
        <v>0</v>
      </c>
    </row>
    <row r="350" spans="1:12" ht="15">
      <c r="A350" s="104" t="s">
        <v>1205</v>
      </c>
      <c r="B350" s="102" t="s">
        <v>1204</v>
      </c>
      <c r="C350" s="102">
        <v>3</v>
      </c>
      <c r="D350" s="106">
        <v>0.011125079686815694</v>
      </c>
      <c r="E350" s="106">
        <v>0.6401500409361018</v>
      </c>
      <c r="F350" s="102" t="s">
        <v>1181</v>
      </c>
      <c r="G350" s="102" t="b">
        <v>0</v>
      </c>
      <c r="H350" s="102" t="b">
        <v>0</v>
      </c>
      <c r="I350" s="102" t="b">
        <v>0</v>
      </c>
      <c r="J350" s="102" t="b">
        <v>0</v>
      </c>
      <c r="K350" s="102" t="b">
        <v>0</v>
      </c>
      <c r="L350" s="102" t="b">
        <v>0</v>
      </c>
    </row>
    <row r="351" spans="1:12" ht="15">
      <c r="A351" s="104" t="s">
        <v>1204</v>
      </c>
      <c r="B351" s="102" t="s">
        <v>1223</v>
      </c>
      <c r="C351" s="102">
        <v>3</v>
      </c>
      <c r="D351" s="106">
        <v>0.014871702219915295</v>
      </c>
      <c r="E351" s="106">
        <v>0.774848614833558</v>
      </c>
      <c r="F351" s="102" t="s">
        <v>1181</v>
      </c>
      <c r="G351" s="102" t="b">
        <v>0</v>
      </c>
      <c r="H351" s="102" t="b">
        <v>0</v>
      </c>
      <c r="I351" s="102" t="b">
        <v>0</v>
      </c>
      <c r="J351" s="102" t="b">
        <v>0</v>
      </c>
      <c r="K351" s="102" t="b">
        <v>0</v>
      </c>
      <c r="L351" s="102" t="b">
        <v>0</v>
      </c>
    </row>
    <row r="352" spans="1:12" ht="15">
      <c r="A352" s="104" t="s">
        <v>1205</v>
      </c>
      <c r="B352" s="102" t="s">
        <v>1205</v>
      </c>
      <c r="C352" s="102">
        <v>2</v>
      </c>
      <c r="D352" s="106">
        <v>0.009914468146610197</v>
      </c>
      <c r="E352" s="106">
        <v>0.011761110885790339</v>
      </c>
      <c r="F352" s="102" t="s">
        <v>1181</v>
      </c>
      <c r="G352" s="102" t="b">
        <v>0</v>
      </c>
      <c r="H352" s="102" t="b">
        <v>0</v>
      </c>
      <c r="I352" s="102" t="b">
        <v>0</v>
      </c>
      <c r="J352" s="102" t="b">
        <v>0</v>
      </c>
      <c r="K352" s="102" t="b">
        <v>0</v>
      </c>
      <c r="L352" s="102" t="b">
        <v>0</v>
      </c>
    </row>
    <row r="353" spans="1:12" ht="15">
      <c r="A353" s="104" t="s">
        <v>1229</v>
      </c>
      <c r="B353" s="102" t="s">
        <v>1223</v>
      </c>
      <c r="C353" s="102">
        <v>2</v>
      </c>
      <c r="D353" s="106">
        <v>0.009914468146610197</v>
      </c>
      <c r="E353" s="106">
        <v>0.4226660967221955</v>
      </c>
      <c r="F353" s="102" t="s">
        <v>1181</v>
      </c>
      <c r="G353" s="102" t="b">
        <v>0</v>
      </c>
      <c r="H353" s="102" t="b">
        <v>0</v>
      </c>
      <c r="I353" s="102" t="b">
        <v>0</v>
      </c>
      <c r="J353" s="102" t="b">
        <v>0</v>
      </c>
      <c r="K353" s="102" t="b">
        <v>0</v>
      </c>
      <c r="L353" s="102" t="b">
        <v>0</v>
      </c>
    </row>
    <row r="354" spans="1:12" ht="15">
      <c r="A354" s="104" t="s">
        <v>1234</v>
      </c>
      <c r="B354" s="102" t="s">
        <v>1229</v>
      </c>
      <c r="C354" s="102">
        <v>2</v>
      </c>
      <c r="D354" s="106">
        <v>0.009914468146610197</v>
      </c>
      <c r="E354" s="106">
        <v>0.670113264313545</v>
      </c>
      <c r="F354" s="102" t="s">
        <v>1181</v>
      </c>
      <c r="G354" s="102" t="b">
        <v>0</v>
      </c>
      <c r="H354" s="102" t="b">
        <v>0</v>
      </c>
      <c r="I354" s="102" t="b">
        <v>0</v>
      </c>
      <c r="J354" s="102" t="b">
        <v>0</v>
      </c>
      <c r="K354" s="102" t="b">
        <v>0</v>
      </c>
      <c r="L354" s="102" t="b">
        <v>0</v>
      </c>
    </row>
    <row r="355" spans="1:12" ht="15">
      <c r="A355" s="104" t="s">
        <v>1229</v>
      </c>
      <c r="B355" s="102" t="s">
        <v>1303</v>
      </c>
      <c r="C355" s="102">
        <v>2</v>
      </c>
      <c r="D355" s="106">
        <v>0.009914468146610197</v>
      </c>
      <c r="E355" s="106">
        <v>1.1630287862164392</v>
      </c>
      <c r="F355" s="102" t="s">
        <v>1181</v>
      </c>
      <c r="G355" s="102" t="b">
        <v>0</v>
      </c>
      <c r="H355" s="102" t="b">
        <v>0</v>
      </c>
      <c r="I355" s="102" t="b">
        <v>0</v>
      </c>
      <c r="J355" s="102" t="b">
        <v>0</v>
      </c>
      <c r="K355" s="102" t="b">
        <v>0</v>
      </c>
      <c r="L355" s="102" t="b">
        <v>0</v>
      </c>
    </row>
    <row r="356" spans="1:12" ht="15">
      <c r="A356" s="104" t="s">
        <v>1344</v>
      </c>
      <c r="B356" s="102" t="s">
        <v>1204</v>
      </c>
      <c r="C356" s="102">
        <v>2</v>
      </c>
      <c r="D356" s="106">
        <v>0.009914468146610197</v>
      </c>
      <c r="E356" s="106">
        <v>1.3391200452721206</v>
      </c>
      <c r="F356" s="102" t="s">
        <v>1181</v>
      </c>
      <c r="G356" s="102" t="b">
        <v>0</v>
      </c>
      <c r="H356" s="102" t="b">
        <v>0</v>
      </c>
      <c r="I356" s="102" t="b">
        <v>0</v>
      </c>
      <c r="J356" s="102" t="b">
        <v>0</v>
      </c>
      <c r="K356" s="102" t="b">
        <v>0</v>
      </c>
      <c r="L356" s="102" t="b">
        <v>0</v>
      </c>
    </row>
    <row r="357" spans="1:12" ht="15">
      <c r="A357" s="104" t="s">
        <v>1354</v>
      </c>
      <c r="B357" s="102" t="s">
        <v>1355</v>
      </c>
      <c r="C357" s="102">
        <v>2</v>
      </c>
      <c r="D357" s="106">
        <v>0.014184397163120567</v>
      </c>
      <c r="E357" s="106">
        <v>1.816241299991783</v>
      </c>
      <c r="F357" s="102" t="s">
        <v>1181</v>
      </c>
      <c r="G357" s="102" t="b">
        <v>0</v>
      </c>
      <c r="H357" s="102" t="b">
        <v>0</v>
      </c>
      <c r="I357" s="102" t="b">
        <v>0</v>
      </c>
      <c r="J357" s="102" t="b">
        <v>0</v>
      </c>
      <c r="K357" s="102" t="b">
        <v>0</v>
      </c>
      <c r="L357" s="102" t="b">
        <v>0</v>
      </c>
    </row>
    <row r="358" spans="1:12" ht="15">
      <c r="A358" s="104" t="s">
        <v>1234</v>
      </c>
      <c r="B358" s="102" t="s">
        <v>1205</v>
      </c>
      <c r="C358" s="102">
        <v>2</v>
      </c>
      <c r="D358" s="106">
        <v>0.009914468146610197</v>
      </c>
      <c r="E358" s="106">
        <v>0.284762382949528</v>
      </c>
      <c r="F358" s="102" t="s">
        <v>1181</v>
      </c>
      <c r="G358" s="102" t="b">
        <v>0</v>
      </c>
      <c r="H358" s="102" t="b">
        <v>0</v>
      </c>
      <c r="I358" s="102" t="b">
        <v>0</v>
      </c>
      <c r="J358" s="102" t="b">
        <v>0</v>
      </c>
      <c r="K358" s="102" t="b">
        <v>0</v>
      </c>
      <c r="L358" s="102" t="b">
        <v>0</v>
      </c>
    </row>
    <row r="359" spans="1:12" ht="15">
      <c r="A359" s="104" t="s">
        <v>1306</v>
      </c>
      <c r="B359" s="102" t="s">
        <v>1349</v>
      </c>
      <c r="C359" s="102">
        <v>2</v>
      </c>
      <c r="D359" s="106">
        <v>0.014184397163120567</v>
      </c>
      <c r="E359" s="106">
        <v>1.6401500409361018</v>
      </c>
      <c r="F359" s="102" t="s">
        <v>1181</v>
      </c>
      <c r="G359" s="102" t="b">
        <v>0</v>
      </c>
      <c r="H359" s="102" t="b">
        <v>0</v>
      </c>
      <c r="I359" s="102" t="b">
        <v>0</v>
      </c>
      <c r="J359" s="102" t="b">
        <v>0</v>
      </c>
      <c r="K359" s="102" t="b">
        <v>0</v>
      </c>
      <c r="L359" s="102" t="b">
        <v>0</v>
      </c>
    </row>
    <row r="360" spans="1:12" ht="15">
      <c r="A360" s="104" t="s">
        <v>1349</v>
      </c>
      <c r="B360" s="102" t="s">
        <v>1306</v>
      </c>
      <c r="C360" s="102">
        <v>2</v>
      </c>
      <c r="D360" s="106">
        <v>0.014184397163120567</v>
      </c>
      <c r="E360" s="106">
        <v>1.6401500409361018</v>
      </c>
      <c r="F360" s="102" t="s">
        <v>1181</v>
      </c>
      <c r="G360" s="102" t="b">
        <v>0</v>
      </c>
      <c r="H360" s="102" t="b">
        <v>0</v>
      </c>
      <c r="I360" s="102" t="b">
        <v>0</v>
      </c>
      <c r="J360" s="102" t="b">
        <v>0</v>
      </c>
      <c r="K360" s="102" t="b">
        <v>0</v>
      </c>
      <c r="L360" s="102" t="b">
        <v>0</v>
      </c>
    </row>
    <row r="361" spans="1:12" ht="15">
      <c r="A361" s="104" t="s">
        <v>1260</v>
      </c>
      <c r="B361" s="102" t="s">
        <v>1346</v>
      </c>
      <c r="C361" s="102">
        <v>2</v>
      </c>
      <c r="D361" s="106">
        <v>0.014184397163120567</v>
      </c>
      <c r="E361" s="106">
        <v>1.4183012913197455</v>
      </c>
      <c r="F361" s="102" t="s">
        <v>1181</v>
      </c>
      <c r="G361" s="102" t="b">
        <v>0</v>
      </c>
      <c r="H361" s="102" t="b">
        <v>0</v>
      </c>
      <c r="I361" s="102" t="b">
        <v>0</v>
      </c>
      <c r="J361" s="102" t="b">
        <v>0</v>
      </c>
      <c r="K361" s="102" t="b">
        <v>0</v>
      </c>
      <c r="L361" s="102" t="b">
        <v>0</v>
      </c>
    </row>
    <row r="362" spans="1:12" ht="15">
      <c r="A362" s="104" t="s">
        <v>1347</v>
      </c>
      <c r="B362" s="102" t="s">
        <v>1348</v>
      </c>
      <c r="C362" s="102">
        <v>2</v>
      </c>
      <c r="D362" s="106">
        <v>0.014184397163120567</v>
      </c>
      <c r="E362" s="106">
        <v>1.816241299991783</v>
      </c>
      <c r="F362" s="102" t="s">
        <v>1181</v>
      </c>
      <c r="G362" s="102" t="b">
        <v>0</v>
      </c>
      <c r="H362" s="102" t="b">
        <v>0</v>
      </c>
      <c r="I362" s="102" t="b">
        <v>0</v>
      </c>
      <c r="J362" s="102" t="b">
        <v>0</v>
      </c>
      <c r="K362" s="102" t="b">
        <v>0</v>
      </c>
      <c r="L362" s="102" t="b">
        <v>0</v>
      </c>
    </row>
    <row r="363" spans="1:12" ht="15">
      <c r="A363" s="104" t="s">
        <v>1205</v>
      </c>
      <c r="B363" s="102" t="s">
        <v>1204</v>
      </c>
      <c r="C363" s="102">
        <v>6</v>
      </c>
      <c r="D363" s="106">
        <v>0.009396533930183045</v>
      </c>
      <c r="E363" s="106">
        <v>1.4093694704528195</v>
      </c>
      <c r="F363" s="102" t="s">
        <v>1182</v>
      </c>
      <c r="G363" s="102" t="b">
        <v>0</v>
      </c>
      <c r="H363" s="102" t="b">
        <v>0</v>
      </c>
      <c r="I363" s="102" t="b">
        <v>0</v>
      </c>
      <c r="J363" s="102" t="b">
        <v>0</v>
      </c>
      <c r="K363" s="102" t="b">
        <v>0</v>
      </c>
      <c r="L363" s="102" t="b">
        <v>0</v>
      </c>
    </row>
    <row r="364" spans="1:12" ht="15">
      <c r="A364" s="104" t="s">
        <v>1296</v>
      </c>
      <c r="B364" s="102" t="s">
        <v>1205</v>
      </c>
      <c r="C364" s="102">
        <v>4</v>
      </c>
      <c r="D364" s="106">
        <v>0.008642515781873927</v>
      </c>
      <c r="E364" s="106">
        <v>1.4885507165004443</v>
      </c>
      <c r="F364" s="102" t="s">
        <v>1182</v>
      </c>
      <c r="G364" s="102" t="b">
        <v>0</v>
      </c>
      <c r="H364" s="102" t="b">
        <v>0</v>
      </c>
      <c r="I364" s="102" t="b">
        <v>0</v>
      </c>
      <c r="J364" s="102" t="b">
        <v>0</v>
      </c>
      <c r="K364" s="102" t="b">
        <v>0</v>
      </c>
      <c r="L364" s="102" t="b">
        <v>0</v>
      </c>
    </row>
    <row r="365" spans="1:12" ht="15">
      <c r="A365" s="104" t="s">
        <v>1204</v>
      </c>
      <c r="B365" s="102" t="s">
        <v>1207</v>
      </c>
      <c r="C365" s="102">
        <v>4</v>
      </c>
      <c r="D365" s="106">
        <v>0.008642515781873927</v>
      </c>
      <c r="E365" s="106">
        <v>1.312459457444763</v>
      </c>
      <c r="F365" s="102" t="s">
        <v>1182</v>
      </c>
      <c r="G365" s="102" t="b">
        <v>0</v>
      </c>
      <c r="H365" s="102" t="b">
        <v>0</v>
      </c>
      <c r="I365" s="102" t="b">
        <v>0</v>
      </c>
      <c r="J365" s="102" t="b">
        <v>0</v>
      </c>
      <c r="K365" s="102" t="b">
        <v>0</v>
      </c>
      <c r="L365" s="102" t="b">
        <v>0</v>
      </c>
    </row>
    <row r="366" spans="1:12" ht="15">
      <c r="A366" s="104" t="s">
        <v>1207</v>
      </c>
      <c r="B366" s="102" t="s">
        <v>1212</v>
      </c>
      <c r="C366" s="102">
        <v>3</v>
      </c>
      <c r="D366" s="106">
        <v>0.008781372786251457</v>
      </c>
      <c r="E366" s="106">
        <v>1.4885507165004443</v>
      </c>
      <c r="F366" s="102" t="s">
        <v>1182</v>
      </c>
      <c r="G366" s="102" t="b">
        <v>0</v>
      </c>
      <c r="H366" s="102" t="b">
        <v>0</v>
      </c>
      <c r="I366" s="102" t="b">
        <v>0</v>
      </c>
      <c r="J366" s="102" t="b">
        <v>0</v>
      </c>
      <c r="K366" s="102" t="b">
        <v>0</v>
      </c>
      <c r="L366" s="102" t="b">
        <v>0</v>
      </c>
    </row>
    <row r="367" spans="1:12" ht="15">
      <c r="A367" s="104" t="s">
        <v>1227</v>
      </c>
      <c r="B367" s="102" t="s">
        <v>1254</v>
      </c>
      <c r="C367" s="102">
        <v>3</v>
      </c>
      <c r="D367" s="106">
        <v>0.017562745572502914</v>
      </c>
      <c r="E367" s="106">
        <v>0.932248215733157</v>
      </c>
      <c r="F367" s="102" t="s">
        <v>1182</v>
      </c>
      <c r="G367" s="102" t="b">
        <v>0</v>
      </c>
      <c r="H367" s="102" t="b">
        <v>0</v>
      </c>
      <c r="I367" s="102" t="b">
        <v>0</v>
      </c>
      <c r="J367" s="102" t="b">
        <v>0</v>
      </c>
      <c r="K367" s="102" t="b">
        <v>0</v>
      </c>
      <c r="L367" s="102" t="b">
        <v>0</v>
      </c>
    </row>
    <row r="368" spans="1:12" ht="15">
      <c r="A368" s="104" t="s">
        <v>1270</v>
      </c>
      <c r="B368" s="102" t="s">
        <v>1254</v>
      </c>
      <c r="C368" s="102">
        <v>3</v>
      </c>
      <c r="D368" s="106">
        <v>0.017562745572502914</v>
      </c>
      <c r="E368" s="106">
        <v>1.187520720836463</v>
      </c>
      <c r="F368" s="102" t="s">
        <v>1182</v>
      </c>
      <c r="G368" s="102" t="b">
        <v>0</v>
      </c>
      <c r="H368" s="102" t="b">
        <v>0</v>
      </c>
      <c r="I368" s="102" t="b">
        <v>0</v>
      </c>
      <c r="J368" s="102" t="b">
        <v>0</v>
      </c>
      <c r="K368" s="102" t="b">
        <v>0</v>
      </c>
      <c r="L368" s="102" t="b">
        <v>0</v>
      </c>
    </row>
    <row r="369" spans="1:12" ht="15">
      <c r="A369" s="104" t="s">
        <v>1271</v>
      </c>
      <c r="B369" s="102" t="s">
        <v>1227</v>
      </c>
      <c r="C369" s="102">
        <v>3</v>
      </c>
      <c r="D369" s="106">
        <v>0.017562745572502914</v>
      </c>
      <c r="E369" s="106">
        <v>1.011429461780782</v>
      </c>
      <c r="F369" s="102" t="s">
        <v>1182</v>
      </c>
      <c r="G369" s="102" t="b">
        <v>0</v>
      </c>
      <c r="H369" s="102" t="b">
        <v>0</v>
      </c>
      <c r="I369" s="102" t="b">
        <v>0</v>
      </c>
      <c r="J369" s="102" t="b">
        <v>0</v>
      </c>
      <c r="K369" s="102" t="b">
        <v>0</v>
      </c>
      <c r="L369" s="102" t="b">
        <v>0</v>
      </c>
    </row>
    <row r="370" spans="1:12" ht="15">
      <c r="A370" s="104" t="s">
        <v>1207</v>
      </c>
      <c r="B370" s="102" t="s">
        <v>1322</v>
      </c>
      <c r="C370" s="102">
        <v>2</v>
      </c>
      <c r="D370" s="106">
        <v>0.00801487746963612</v>
      </c>
      <c r="E370" s="106">
        <v>1.4885507165004443</v>
      </c>
      <c r="F370" s="102" t="s">
        <v>1182</v>
      </c>
      <c r="G370" s="102" t="b">
        <v>0</v>
      </c>
      <c r="H370" s="102" t="b">
        <v>0</v>
      </c>
      <c r="I370" s="102" t="b">
        <v>0</v>
      </c>
      <c r="J370" s="102" t="b">
        <v>0</v>
      </c>
      <c r="K370" s="102" t="b">
        <v>0</v>
      </c>
      <c r="L370" s="102" t="b">
        <v>0</v>
      </c>
    </row>
    <row r="371" spans="1:12" ht="15">
      <c r="A371" s="104" t="s">
        <v>1228</v>
      </c>
      <c r="B371" s="102" t="s">
        <v>1228</v>
      </c>
      <c r="C371" s="102">
        <v>2</v>
      </c>
      <c r="D371" s="106">
        <v>0.011708497048335275</v>
      </c>
      <c r="E371" s="106">
        <v>0.4885507165004444</v>
      </c>
      <c r="F371" s="102" t="s">
        <v>1182</v>
      </c>
      <c r="G371" s="102" t="b">
        <v>0</v>
      </c>
      <c r="H371" s="102" t="b">
        <v>0</v>
      </c>
      <c r="I371" s="102" t="b">
        <v>0</v>
      </c>
      <c r="J371" s="102" t="b">
        <v>0</v>
      </c>
      <c r="K371" s="102" t="b">
        <v>0</v>
      </c>
      <c r="L371" s="102" t="b">
        <v>0</v>
      </c>
    </row>
    <row r="372" spans="1:12" ht="15">
      <c r="A372" s="104" t="s">
        <v>1423</v>
      </c>
      <c r="B372" s="102" t="s">
        <v>1228</v>
      </c>
      <c r="C372" s="102">
        <v>2</v>
      </c>
      <c r="D372" s="106">
        <v>0.011708497048335275</v>
      </c>
      <c r="E372" s="106">
        <v>1.187520720836463</v>
      </c>
      <c r="F372" s="102" t="s">
        <v>1182</v>
      </c>
      <c r="G372" s="102" t="b">
        <v>0</v>
      </c>
      <c r="H372" s="102" t="b">
        <v>0</v>
      </c>
      <c r="I372" s="102" t="b">
        <v>0</v>
      </c>
      <c r="J372" s="102" t="b">
        <v>0</v>
      </c>
      <c r="K372" s="102" t="b">
        <v>0</v>
      </c>
      <c r="L372" s="102" t="b">
        <v>0</v>
      </c>
    </row>
    <row r="373" spans="1:12" ht="15">
      <c r="A373" s="104" t="s">
        <v>1228</v>
      </c>
      <c r="B373" s="102" t="s">
        <v>1297</v>
      </c>
      <c r="C373" s="102">
        <v>2</v>
      </c>
      <c r="D373" s="106">
        <v>0.011708497048335275</v>
      </c>
      <c r="E373" s="106">
        <v>0.8864907251724818</v>
      </c>
      <c r="F373" s="102" t="s">
        <v>1182</v>
      </c>
      <c r="G373" s="102" t="b">
        <v>0</v>
      </c>
      <c r="H373" s="102" t="b">
        <v>0</v>
      </c>
      <c r="I373" s="102" t="b">
        <v>0</v>
      </c>
      <c r="J373" s="102" t="b">
        <v>0</v>
      </c>
      <c r="K373" s="102" t="b">
        <v>0</v>
      </c>
      <c r="L373" s="102" t="b">
        <v>0</v>
      </c>
    </row>
    <row r="374" spans="1:12" ht="15">
      <c r="A374" s="104" t="s">
        <v>1298</v>
      </c>
      <c r="B374" s="102" t="s">
        <v>1228</v>
      </c>
      <c r="C374" s="102">
        <v>2</v>
      </c>
      <c r="D374" s="106">
        <v>0.011708497048335275</v>
      </c>
      <c r="E374" s="106">
        <v>0.8864907251724818</v>
      </c>
      <c r="F374" s="102" t="s">
        <v>1182</v>
      </c>
      <c r="G374" s="102" t="b">
        <v>0</v>
      </c>
      <c r="H374" s="102" t="b">
        <v>0</v>
      </c>
      <c r="I374" s="102" t="b">
        <v>0</v>
      </c>
      <c r="J374" s="102" t="b">
        <v>0</v>
      </c>
      <c r="K374" s="102" t="b">
        <v>0</v>
      </c>
      <c r="L374" s="102" t="b">
        <v>0</v>
      </c>
    </row>
    <row r="375" spans="1:12" ht="15">
      <c r="A375" s="104" t="s">
        <v>1425</v>
      </c>
      <c r="B375" s="102" t="s">
        <v>1426</v>
      </c>
      <c r="C375" s="102">
        <v>2</v>
      </c>
      <c r="D375" s="106">
        <v>0.011708497048335275</v>
      </c>
      <c r="E375" s="106">
        <v>1.8864907251724818</v>
      </c>
      <c r="F375" s="102" t="s">
        <v>1182</v>
      </c>
      <c r="G375" s="102" t="b">
        <v>0</v>
      </c>
      <c r="H375" s="102" t="b">
        <v>0</v>
      </c>
      <c r="I375" s="102" t="b">
        <v>0</v>
      </c>
      <c r="J375" s="102" t="b">
        <v>0</v>
      </c>
      <c r="K375" s="102" t="b">
        <v>0</v>
      </c>
      <c r="L375" s="102" t="b">
        <v>0</v>
      </c>
    </row>
    <row r="376" spans="1:12" ht="15">
      <c r="A376" s="104" t="s">
        <v>1295</v>
      </c>
      <c r="B376" s="102" t="s">
        <v>1227</v>
      </c>
      <c r="C376" s="102">
        <v>2</v>
      </c>
      <c r="D376" s="106">
        <v>0.011708497048335275</v>
      </c>
      <c r="E376" s="106">
        <v>0.932248215733157</v>
      </c>
      <c r="F376" s="102" t="s">
        <v>1182</v>
      </c>
      <c r="G376" s="102" t="b">
        <v>0</v>
      </c>
      <c r="H376" s="102" t="b">
        <v>0</v>
      </c>
      <c r="I376" s="102" t="b">
        <v>0</v>
      </c>
      <c r="J376" s="102" t="b">
        <v>0</v>
      </c>
      <c r="K376" s="102" t="b">
        <v>0</v>
      </c>
      <c r="L376" s="102" t="b">
        <v>0</v>
      </c>
    </row>
    <row r="377" spans="1:12" ht="15">
      <c r="A377" s="104" t="s">
        <v>1227</v>
      </c>
      <c r="B377" s="102" t="s">
        <v>1270</v>
      </c>
      <c r="C377" s="102">
        <v>2</v>
      </c>
      <c r="D377" s="106">
        <v>0.011708497048335275</v>
      </c>
      <c r="E377" s="106">
        <v>0.8353382027251006</v>
      </c>
      <c r="F377" s="102" t="s">
        <v>1182</v>
      </c>
      <c r="G377" s="102" t="b">
        <v>0</v>
      </c>
      <c r="H377" s="102" t="b">
        <v>0</v>
      </c>
      <c r="I377" s="102" t="b">
        <v>0</v>
      </c>
      <c r="J377" s="102" t="b">
        <v>0</v>
      </c>
      <c r="K377" s="102" t="b">
        <v>0</v>
      </c>
      <c r="L377" s="102" t="b">
        <v>0</v>
      </c>
    </row>
    <row r="378" spans="1:12" ht="15">
      <c r="A378" s="104" t="s">
        <v>1254</v>
      </c>
      <c r="B378" s="102" t="s">
        <v>1295</v>
      </c>
      <c r="C378" s="102">
        <v>2</v>
      </c>
      <c r="D378" s="106">
        <v>0.011708497048335275</v>
      </c>
      <c r="E378" s="106">
        <v>1.1083394747888382</v>
      </c>
      <c r="F378" s="102" t="s">
        <v>1182</v>
      </c>
      <c r="G378" s="102" t="b">
        <v>0</v>
      </c>
      <c r="H378" s="102" t="b">
        <v>0</v>
      </c>
      <c r="I378" s="102" t="b">
        <v>0</v>
      </c>
      <c r="J378" s="102" t="b">
        <v>0</v>
      </c>
      <c r="K378" s="102" t="b">
        <v>0</v>
      </c>
      <c r="L378" s="102" t="b">
        <v>0</v>
      </c>
    </row>
    <row r="379" spans="1:12" ht="15">
      <c r="A379" s="104" t="s">
        <v>1295</v>
      </c>
      <c r="B379" s="102" t="s">
        <v>1415</v>
      </c>
      <c r="C379" s="102">
        <v>2</v>
      </c>
      <c r="D379" s="106">
        <v>0.011708497048335275</v>
      </c>
      <c r="E379" s="106">
        <v>1.5854607295085006</v>
      </c>
      <c r="F379" s="102" t="s">
        <v>1182</v>
      </c>
      <c r="G379" s="102" t="b">
        <v>0</v>
      </c>
      <c r="H379" s="102" t="b">
        <v>0</v>
      </c>
      <c r="I379" s="102" t="b">
        <v>0</v>
      </c>
      <c r="J379" s="102" t="b">
        <v>0</v>
      </c>
      <c r="K379" s="102" t="b">
        <v>0</v>
      </c>
      <c r="L379" s="102" t="b">
        <v>0</v>
      </c>
    </row>
    <row r="380" spans="1:12" ht="15">
      <c r="A380" s="104" t="s">
        <v>1416</v>
      </c>
      <c r="B380" s="102" t="s">
        <v>1271</v>
      </c>
      <c r="C380" s="102">
        <v>2</v>
      </c>
      <c r="D380" s="106">
        <v>0.011708497048335275</v>
      </c>
      <c r="E380" s="106">
        <v>1.4885507165004443</v>
      </c>
      <c r="F380" s="102" t="s">
        <v>1182</v>
      </c>
      <c r="G380" s="102" t="b">
        <v>0</v>
      </c>
      <c r="H380" s="102" t="b">
        <v>0</v>
      </c>
      <c r="I380" s="102" t="b">
        <v>0</v>
      </c>
      <c r="J380" s="102" t="b">
        <v>0</v>
      </c>
      <c r="K380" s="102" t="b">
        <v>0</v>
      </c>
      <c r="L380" s="102" t="b">
        <v>0</v>
      </c>
    </row>
    <row r="381" spans="1:12" ht="15">
      <c r="A381" s="104" t="s">
        <v>1417</v>
      </c>
      <c r="B381" s="102" t="s">
        <v>1271</v>
      </c>
      <c r="C381" s="102">
        <v>2</v>
      </c>
      <c r="D381" s="106">
        <v>0.011708497048335275</v>
      </c>
      <c r="E381" s="106">
        <v>1.4885507165004443</v>
      </c>
      <c r="F381" s="102" t="s">
        <v>1182</v>
      </c>
      <c r="G381" s="102" t="b">
        <v>0</v>
      </c>
      <c r="H381" s="102" t="b">
        <v>0</v>
      </c>
      <c r="I381" s="102" t="b">
        <v>0</v>
      </c>
      <c r="J381" s="102" t="b">
        <v>0</v>
      </c>
      <c r="K381" s="102" t="b">
        <v>0</v>
      </c>
      <c r="L381" s="102" t="b">
        <v>0</v>
      </c>
    </row>
    <row r="382" spans="1:12" ht="15">
      <c r="A382" s="104" t="s">
        <v>1328</v>
      </c>
      <c r="B382" s="102" t="s">
        <v>1330</v>
      </c>
      <c r="C382" s="102">
        <v>2</v>
      </c>
      <c r="D382" s="106">
        <v>0.011708497048335275</v>
      </c>
      <c r="E382" s="106">
        <v>1.8864907251724818</v>
      </c>
      <c r="F382" s="102" t="s">
        <v>1182</v>
      </c>
      <c r="G382" s="102" t="b">
        <v>0</v>
      </c>
      <c r="H382" s="102" t="b">
        <v>0</v>
      </c>
      <c r="I382" s="102" t="b">
        <v>0</v>
      </c>
      <c r="J382" s="102" t="b">
        <v>0</v>
      </c>
      <c r="K382" s="102" t="b">
        <v>0</v>
      </c>
      <c r="L382" s="102" t="b">
        <v>0</v>
      </c>
    </row>
    <row r="383" spans="1:12" ht="15">
      <c r="A383" s="104" t="s">
        <v>1418</v>
      </c>
      <c r="B383" s="102" t="s">
        <v>1419</v>
      </c>
      <c r="C383" s="102">
        <v>2</v>
      </c>
      <c r="D383" s="106">
        <v>0.011708497048335275</v>
      </c>
      <c r="E383" s="106">
        <v>1.8864907251724818</v>
      </c>
      <c r="F383" s="102" t="s">
        <v>1182</v>
      </c>
      <c r="G383" s="102" t="b">
        <v>0</v>
      </c>
      <c r="H383" s="102" t="b">
        <v>0</v>
      </c>
      <c r="I383" s="102" t="b">
        <v>0</v>
      </c>
      <c r="J383" s="102" t="b">
        <v>0</v>
      </c>
      <c r="K383" s="102" t="b">
        <v>0</v>
      </c>
      <c r="L383" s="102" t="b">
        <v>0</v>
      </c>
    </row>
    <row r="384" spans="1:12" ht="15">
      <c r="A384" s="104" t="s">
        <v>1209</v>
      </c>
      <c r="B384" s="102" t="s">
        <v>1206</v>
      </c>
      <c r="C384" s="102">
        <v>3</v>
      </c>
      <c r="D384" s="106">
        <v>0.02830590656112265</v>
      </c>
      <c r="E384" s="106">
        <v>0.7269987279362623</v>
      </c>
      <c r="F384" s="102" t="s">
        <v>1183</v>
      </c>
      <c r="G384" s="102" t="b">
        <v>0</v>
      </c>
      <c r="H384" s="102" t="b">
        <v>0</v>
      </c>
      <c r="I384" s="102" t="b">
        <v>0</v>
      </c>
      <c r="J384" s="102" t="b">
        <v>0</v>
      </c>
      <c r="K384" s="102" t="b">
        <v>0</v>
      </c>
      <c r="L384" s="102" t="b">
        <v>0</v>
      </c>
    </row>
    <row r="385" spans="1:12" ht="15">
      <c r="A385" s="104" t="s">
        <v>1206</v>
      </c>
      <c r="B385" s="102" t="s">
        <v>1205</v>
      </c>
      <c r="C385" s="102">
        <v>3</v>
      </c>
      <c r="D385" s="106">
        <v>0.02830590656112265</v>
      </c>
      <c r="E385" s="106">
        <v>1.0280287236002434</v>
      </c>
      <c r="F385" s="102" t="s">
        <v>1183</v>
      </c>
      <c r="G385" s="102" t="b">
        <v>0</v>
      </c>
      <c r="H385" s="102" t="b">
        <v>0</v>
      </c>
      <c r="I385" s="102" t="b">
        <v>0</v>
      </c>
      <c r="J385" s="102" t="b">
        <v>0</v>
      </c>
      <c r="K385" s="102" t="b">
        <v>0</v>
      </c>
      <c r="L385" s="102" t="b">
        <v>0</v>
      </c>
    </row>
    <row r="386" spans="1:12" ht="15">
      <c r="A386" s="104" t="s">
        <v>1205</v>
      </c>
      <c r="B386" s="102" t="s">
        <v>1204</v>
      </c>
      <c r="C386" s="102">
        <v>3</v>
      </c>
      <c r="D386" s="106">
        <v>0.02830590656112265</v>
      </c>
      <c r="E386" s="106">
        <v>0.8061799739838872</v>
      </c>
      <c r="F386" s="102" t="s">
        <v>1183</v>
      </c>
      <c r="G386" s="102" t="b">
        <v>0</v>
      </c>
      <c r="H386" s="102" t="b">
        <v>0</v>
      </c>
      <c r="I386" s="102" t="b">
        <v>0</v>
      </c>
      <c r="J386" s="102" t="b">
        <v>0</v>
      </c>
      <c r="K386" s="102" t="b">
        <v>0</v>
      </c>
      <c r="L386" s="102" t="b">
        <v>0</v>
      </c>
    </row>
    <row r="387" spans="1:12" ht="15">
      <c r="A387" s="104" t="s">
        <v>1266</v>
      </c>
      <c r="B387" s="102" t="s">
        <v>1266</v>
      </c>
      <c r="C387" s="102">
        <v>2</v>
      </c>
      <c r="D387" s="106">
        <v>0.04333836102637214</v>
      </c>
      <c r="E387" s="106">
        <v>1.0280287236002434</v>
      </c>
      <c r="F387" s="102" t="s">
        <v>1183</v>
      </c>
      <c r="G387" s="102" t="b">
        <v>0</v>
      </c>
      <c r="H387" s="102" t="b">
        <v>0</v>
      </c>
      <c r="I387" s="102" t="b">
        <v>0</v>
      </c>
      <c r="J387" s="102" t="b">
        <v>0</v>
      </c>
      <c r="K387" s="102" t="b">
        <v>0</v>
      </c>
      <c r="L387" s="102" t="b">
        <v>0</v>
      </c>
    </row>
    <row r="388" spans="1:12" ht="15">
      <c r="A388" s="104" t="s">
        <v>1443</v>
      </c>
      <c r="B388" s="102" t="s">
        <v>1209</v>
      </c>
      <c r="C388" s="102">
        <v>2</v>
      </c>
      <c r="D388" s="106">
        <v>0.027900925351296187</v>
      </c>
      <c r="E388" s="106">
        <v>0.8061799739838872</v>
      </c>
      <c r="F388" s="102" t="s">
        <v>1183</v>
      </c>
      <c r="G388" s="102" t="b">
        <v>0</v>
      </c>
      <c r="H388" s="102" t="b">
        <v>0</v>
      </c>
      <c r="I388" s="102" t="b">
        <v>0</v>
      </c>
      <c r="J388" s="102" t="b">
        <v>0</v>
      </c>
      <c r="K388" s="102" t="b">
        <v>0</v>
      </c>
      <c r="L388"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85B0C62-70BF-4F5D-BB5D-89FAFE5AB7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2020-10-16T12:49:04Z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