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029"/>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<sst xmlns="http://schemas.openxmlformats.org/spreadsheetml/2006/main" count="8911" uniqueCount="1755">
  <si>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</si>
  <si>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</si>
  <si>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</si>
  <si>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</si>
  <si>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</si>
  <si>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</si>
  <si>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</si>
  <si>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</si>
  <si>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</si>
  <si>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</si>
  <si>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</si>
  <si>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</si>
  <si>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</si>
  <si>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</si>
  <si>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</si>
  <si>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</si>
  <si>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</si>
  <si>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</si>
  <si>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</si>
  <si>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</si>
  <si>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</si>
  <si>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</si>
  <si>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</si>
  <si>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</si>
  <si>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</si>
  <si>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</si>
  <si>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</si>
  <si>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</si>
  <si>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</si>
  <si>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</si>
  <si>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</si>
  <si>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</si>
  <si>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</si>
  <si>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</si>
  <si>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</si>
  <si>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</si>
  <si>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</si>
  <si>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</si>
  <si>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</si>
  <si>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</si>
  <si>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</si>
  <si>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</si>
  <si>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</si>
  <si>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</si>
  <si>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</si>
  <si>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</si>
  <si>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</si>
  <si>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</si>
  <si>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</si>
  <si>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</si>
  <si>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</si>
  <si>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</si>
  <si>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</si>
  <si>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</si>
  <si>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</si>
  <si>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</si>
  <si>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</si>
  <si>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</si>
  <si>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</si>
  <si>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</si>
  <si>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</si>
  <si>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</si>
  <si>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</si>
  <si>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</si>
  <si>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</si>
  <si>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</si>
  <si>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</si>
  <si>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</si>
  <si>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</si>
  <si>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</si>
  <si>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</si>
  <si>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</si>
  <si>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</si>
  <si>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</si>
  <si>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</si>
  <si>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</si>
  <si>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</si>
  <si>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</si>
  <si>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</si>
  <si>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</si>
  <si>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</si>
  <si>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</si>
  <si>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</si>
  <si>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</si>
  <si>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</si>
  <si>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</si>
  <si>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</si>
  <si>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</si>
  <si>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</si>
  <si>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</si>
  <si>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</si>
  <si>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</si>
  <si>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</si>
  <si>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</si>
  <si>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</si>
  <si>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</si>
  <si>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</si>
  <si>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</si>
  <si>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</si>
  <si>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</si>
  <si>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</si>
  <si>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</si>
  <si>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</si>
  <si>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</si>
  <si>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</si>
  <si>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</si>
  <si>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</si>
  <si>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</si>
  <si>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</si>
  <si>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</si>
  <si>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</si>
  <si>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</si>
  <si>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</si>
  <si>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</si>
  <si>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</si>
  <si>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</si>
  <si>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</si>
  <si>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</si>
  <si>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</si>
  <si>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</si>
  <si>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</si>
  <si>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</si>
  <si>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</si>
  <si>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</si>
  <si>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</si>
  <si>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</si>
  <si>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</si>
  <si>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</si>
  <si>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</si>
  <si>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</si>
  <si>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</si>
  <si>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</si>
  <si>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</si>
  <si>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</si>
  <si>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</si>
  <si>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</si>
  <si>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</si>
  <si>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</si>
  <si>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</si>
  <si>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</si>
  <si>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</si>
  <si>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</si>
  <si>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</si>
  <si>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</si>
  <si>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</si>
  <si>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</si>
  <si>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</si>
  <si>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</si>
  <si>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</si>
  <si>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</si>
  <si>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</si>
  <si>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</si>
  <si>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</si>
  <si>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</si>
  <si>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</si>
  <si>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</si>
  <si>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</si>
  <si>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</si>
  <si>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</si>
  <si>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</si>
  <si>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</si>
  <si>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</si>
  <si>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</si>
  <si>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</si>
  <si>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</si>
  <si>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</si>
  <si>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</si>
  <si>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</si>
  <si>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</si>
  <si>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</si>
  <si>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</si>
  <si>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</si>
  <si>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</si>
  <si>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</si>
  <si>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</si>
  <si>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</si>
  <si>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</si>
  <si>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</si>
  <si>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</si>
  <si>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</si>
  <si>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</si>
  <si>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</si>
  <si>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</si>
  <si>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</si>
  <si>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</si>
  <si>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</si>
  <si>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</si>
  <si>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</si>
  <si>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lige freiwilligem freiwilligen freiwilliger freiwilligere freiwilligerem freiwilligeren freiwilligerer freiwilligeres freiwilliges freiwilligst freiwilligste freiwilligstem freiwilligsten freiwilligster freiwilligstes freu Freude Freuden freudig freudige freudigem freudigen freudiger freudigere freudigerem freudigeren freudigerer freudigeres freudiges freudigst freudigste freudigstem freudigsten freudigster freudigstes freue freuen freuest freuet Freund Freunde Freunden Freundes freundlich freundliche freundlichem freundlichen freundlicher freundlichere freundlicherem freundlicheren freundlicherer freundlicheres freundliches Freundlichkeit Freundlichkeiten freundlichst freundlichste freundlichstem freundlichsten freundlichster freundlichstes Freunds Freundschaft Freundschaften freundschaftlich freundschaftliche freundschaftlichem freundschaftlichen freundschaftlicher freundschaftlichere freundschaftlicherem freundschaftlicheren freundschaftlicherer freundschaftlicheres freundschaftliches freundschaftlichst freundschaftlichste freundschaftlichstem freundschaftlichsten freundschaftlichster freundschaftlichstes freust freut freute freuten freutest freutet Frieden Friedens friedlich friedliche friedlichem friedlichen friedlicher friedlichere friedlicherem friedlicheren friedlicherer friedlicheres friedliches friedlichst friedlichste friedlichstem friedlichsten friedlichster friedlichstes friedvoll froh frohe frohem frohen froher frohere froherem froheren froherer froheres frohes fröhlich fröhliche fröhlichem fröhlichen fröhlicher fröhlichere fröhlicherem fröhlicheren fröhlicherer fröhlicheres fröhliches fröhlichst fröhlichste fröhlichstem fröhlichsten fröhlichster fröhlichstes frohlock frohlocke frohlocken frohlockest frohlocket frohlockst frohlockt frohlockte frohlockten frohlocktest frohlocktet frohst frohste frohstem frohsten frohster frohstes fruchtbar fruchtbare fruchtbarem fruchtbaren fruchtbarer fruchtbarere fruchtbarerem fruchtbareren fruchtbarerer fruchtbareres fruchtbares Fruchtbarkeit fruchtbarst fruchtbarste fruchtbarstem fruchtbarsten fruchtbarster fruchtbarstes führ führe führen führend führende führendem führenden führender führendere führenderem führenderen führenderer führenderes führendes führendst führendste führendstem führendsten führendster führendstes führest führet führst führt führte führten führtest führtet Führung Führungen füll Fülle fülle füllen Füllen füllest füllet füllst füllt füllte füllten fülltest fülltet fulminant fulminante fulminantem fulminanten fulminanter fulminantere fulminanterem fulminanteren fulminanterer fulminanteres fulminantes fulminantest fulminanteste fulminantestem fulminantesten fulminantester fulminantestes funkel funkele funkelen funkeln funkelst funkelt funkelte funkelten funkeltest funkeltet funkl funkle funktionier funktioniere funktionieren funktionierend funktionierest funktionieret funktionierst funktioniert funktionierte funktionierten funktioniertest funktioniertet funktionsfähig funktionsfähige funktionsfähigem funktionsfähigen funktionsfähiger funktionsfähigere funktionsfähigerem funktionsfähigeren funktionsfähigerer funktionsfähigeres funktionsfähiges Funktionsfähigkeit funktionsfähigst funktionsfähigste funktionsfähigstem funktionsfähigsten funktionsfähigster funktionsfähigstes furchtlos furchtlose furchtlosem furchtlosen furchtloser furchtlosere furchtloserem furchtloseren furchtloserer furchtloseres furchtloses furchtlosest furchtloseste furchtlosestem furchtlosesten furchtlosester furchtlosestes Furchtlosigkeit Gabe Gaben galant galante galantem galanten galanter galantere galanterem galanteren galanterer galanteres galantes galantest galanteste galantestem galantesten galantester galantestes Garantie Garantien garantiert garantierte garantiertem garantierten garantierter garantiertere garantierterem garantierteren garantierterer garantierteres garantiertes garantiertst garantiertste garantiertstem garantiertsten garantiertster garantiertstes gastfreundlich gastfreundliche gastfreundlichem gastfreundlichen gastfreundlicher gastfreundlichere gastfreundlicherem gastfreundlicheren gastfreundlicherer gastfreundlicheres gastfreundliches Gastfreundlichkeit Gastfreundlichkeiten gastfreundlichst gastfreundlichste gastfreundlichstem gastfreundlichsten gastfreundlichster gastfreundlichstes gebessert geblüht gedankt gedeihen gedeihlich gedeihliche gedeihlichem gedeihlichen gedeihlicher gedeihlichere gedeihlicherem gedeihlicheren gedeihlicherer gedeihlicheres gedeihliches gedeihlichst gedeihlichste gedeihlichstem gedeihlichsten gedeihlichster gedeihlichstes Gedenken Gedenkens gediegen gediegene gediegenem gediegenen gediegener gediegenere gediegenerem gediegeneren gediegenerer gediegeneres gediegenes gediegenst gediegenste gediegenstem gediegensten gediegenster gediegenstes gediegner gediegnere gediegnerem gediegneren gediegnerer gediegneres geduftet Geduld geduldig geduldige geduldigem geduldigen geduldiger geduldigere geduldigerem geduldigeren geduldigerer geduldigeres geduldiges geduldigst geduldigste geduldigstem geduldigsten geduldigster geduldigstes geehrt geeifert geeignet geeignet geeignete geeignetem geeigneten geeigneter geeignetere geeigneterem geeigneteren geeigneterer geeigneteres geeignetes geeignetst geeignetste geeignetstem geeignetsten geeignetster geeignetstes geerbt Gefallen gefallen Gefallens gefeiert gefeiert gefeierte gefeiertem gefeierten gefeierter gefeiertere gefeierterem gefeierteren gefeierterer gefeierteres gefeiertes gefeiertest gefeierteste gefeiertestem gefeiertesten gefeiertester gefeiertestes gefertigt gefesselt gefestigt gefestigte gefestigtem gefestigten gefestigter gefestigtere gefestigterem gefestigteren gefestigterer gefestigteres gefestigtes gefestigtst gefestigtste gefestigtstem gefestigtsten gefestigtster gefestigtstes gefördert gefragt gefragte gefragtem gefragten gefragter gefragtere gefragterem gefragteren gefragterer gefragteres gefragtes gefragtest gefragteste gefragtestem gefragtesten gef</t>
  </si>
  <si>
    <t>Workbook Settings 17</t>
  </si>
  <si>
    <t>ragtester gefragtestes gefreut gefrohlockt geführt gefüllt gefunkelt geglänzt geglückt gegönnt Gehaltszulage Gehaltszulagen geheiratet gehofft gehörig gehörige gehörigem gehörigen gehöriger gehörigere gehörigerem gehörigeren gehörigerer gehörigeres gehöriges gehörigst gehörigste gehörigstem gehörigsten gehörigster gehörigstes gehorsam gehorsame gehorsamem gehorsamen gehorsamer gehorsamere gehorsamerem gehorsameren gehorsamerer gehorsameres gehorsames gehorsamst gehorsamste gehorsamstem gehorsamsten gehorsamster gehorsamstes geil geile geilem geilen geiler geilere geilerem geileren geilerer geileres geiles geilst geilste geilstem geilsten geilster geilstes gejubelt geklärt geklettert gekümmert gelächelt gelacht gelassen gelassene gelassenem gelassenen gelassener gelassenere gelassenerem gelasseneren gelassenerer gelasseneres gelassenes Gelassenheit gelassenst gelassenste gelassenstem gelassensten gelassenster gelassenstes gelassner gelassnere gelassnerem gelassneren gelassnerer gelassneres Geldgeber Geldgebern Geldgebers gelernt geliebt geliebte geliebtem geliebten geliebter geliebtere geliebterem geliebteren geliebterer geliebteres geliebtes geliebtest geliebteste geliebtestem geliebtesten geliebtester geliebtestes gelindert gelobt gelohnt gelohnt gelöst gelungen gelungene gelungenem gelungenen gelungener gelungenere gelungenerem gelungeneren gelungenerer gelungeneres gelungenes gelungenst gelungenste gelungenstem gelungensten gelungenster gelungenstes gelungner gelungnere gelungnerem gelungneren gelungnerer gelungneres gemeinsam gemeinsame gemeinsamem gemeinsamen gemeinsamer gemeinsamere gemeinsamerem gemeinsameren gemeinsamerer gemeinsameres gemeinsames gemeinsamst gemeinsamste gemeinsamstem gemeinsamsten gemeinsamster gemeinsamstes Gemeinschaft Gemeinschaften gemeinschaftlich gemeinschaftliche gemeinschaftlichem gemeinschaftlichen gemeinschaftlicher gemeinschaftlichere gemeinschaftlicherem gemeinschaftlicheren gemeinschaftlicherer gemeinschaftlicheres gemeinschaftliches gemeinschaftlichst gemeinschaftlichste gemeinschaftlichstem gemeinschaftlichsten gemeinschaftlichster gemeinschaftlichstes gemütlich gemütliche gemütlichem gemütlichen gemütlicher gemütlichere gemütlicherem gemütlicheren gemütlicherer gemütlicheres gemütliches gemütlichst gemütlichste gemütlichstem gemütlichsten gemütlichster gemütlichstes genährt genau genaue genauem genauen genauer genauere genauerem genaueren genauerer genaueres genaues genauest genaueste genauestem genauesten genauester genauestes Genauigkeit genaust genauste genaustem genausten genauster genaustes genehm genehme genehmem genehmen genehmer genehmere genehmerem genehmeren genehmerer genehmeres genehmes genehmig genehmige genehmigen genehmigest genehmiget genehmigst genehmigt genehmigte genehmigten genehmigtest genehmigtet Genehmigung Genehmigungen genehmst genehmste genehmstem genehmsten genehmster genehmstes genesen Genesung Genesungen genial geniale genialem genialen genialer genialere genialerem genialeren genialerer genialeres geniales Genialität genialst genialste genialstem genialsten genialster genialstes Genie Genies genießbar genießbare genießbarem genießbaren genießbarer genießbarere genießbarerem genießbareren genießbarerer genießbareres genießbares genießbarst genießbarste genießbarstem genießbarsten genießbarster genießbarstes genießen genügend Genuss Genuß Genüße Genüsse Genüssen Genüßen Genußes Genusses Genusss Genußs genützt geordnet gepflegt gepflegt gepflegte gepflegtem gepflegten gepflegter gepflegtere gepflegterem gepflegteren gepflegterer gepflegteres gepflegtes gepflegtest gepflegteste gepflegtestem gepflegtesten gepflegtester gepflegtestes geräumig geräumige geräumigem geräumigen geräumiger geräumigere geräumigerem geräumigeren geräumigerer geräumigeres geräumiges Geräumigkeit geräumigst geräumigste geräumigstem geräumigsten geräumigster geräumigstes gerecht gerechte gerechtem gerechten gerechter gerechtere gerechterem gerechteren gerechterer gerechteres gerechtes gerechtest gerechteste gerechtestem gerechtesten gerechtester gerechtestes gerechtfertigt gerechtfertigt gerechtfertigte gerechtfertigtem gerechtfertigten gerechtfertigter gerechtfertigtere gerechtfertigterem gerechtfertigteren gerechtfertigterer gerechtfertigteres gerechtfertigtes gerechtfertigtst gerechtfertigtste gerechtfertigtstem gerechtfertigtsten gerechtfertigtster gerechtfertigtstes Gerechtigkeit gereift gereinigt gerettet gerührt gerührte gerührtem gerührten gerührter gerührtere gerührterem gerührteren gerührterer gerührteres gerührtes gerührtest gerührteste gerührtestem gerührtesten gerührtester gerührtestes geruhsam geruhsame geruhsamem geruhsamen geruhsamer geruhsamere geruhsamerem geruhsameren geruhsamerer geruhsameres geruhsames geruhsamst geruhsamste geruhsamstem geruhsamsten geruhsamster geruhsamstes geschafft geschäftig geschäftige geschäftigem geschäftigen geschäftiger geschäftigere geschäftigerem geschäftigeren geschäftigerer geschäftigeres geschäftiges geschäftigst geschäftigste geschäftigstem geschäftigsten geschäftigster geschäftigstes geschätzt geschätzt geschätzte geschätztem geschätzten geschätzter geschätztere geschätzterem geschätzteren geschätzterer geschätzteres geschätztes geschätztest geschätzteste geschätztestem geschätztesten geschätztester geschätztestes Geschenk Geschenke Geschenken Geschenkes Geschenks geschenkt Geschick Geschicke Geschicken Geschickes Geschicklichkeit Geschicks geschickt geschickte geschicktem geschickten geschickter geschicktere geschickterem geschickteren geschickterer geschickteres geschicktes geschicktest geschickteste geschicktestem geschicktesten geschicktester geschicktestes geschillert geschmackvoll geschmackvolle geschmackvollem geschmackvollen geschmackvoller geschmackvollere geschmackvollerem geschmackvolleren geschmackvollerer geschmackvolleres geschmackvolles geschmackvollst geschmackvollste geschmackvollstem geschmackvollsten geschmackvollster geschmackvollstes geschmückt gesichert gesorgt gespart ge</t>
  </si>
  <si>
    <t>Workbook Settings 18</t>
  </si>
  <si>
    <t xml:space="preserve">spendet gestärkt gestaunt gesteigert gesteigert gestiegen gestiftet gestrahlt gesund gesunde gesundem gesunden gesunder gesünder gesundere gesündere gesunderem gesünderem gesunderen gesünderen gesunderer gesünderer gesunderes gesünderes gesundes gesundest gesündest gesundeste gesündeste gesundestem gesündestem gesundesten gesündesten gesundester gesündester gesundestes gesündestes Gesundheit Gesundung getoppt getreu getreue getreuem getreuen getreuer getreuere getreuerem getreueren getreuerer getreueres getreues getreuest getreueste getreuestem getreuesten getreuester getreuestes getreust getreuste getreustem getreusten getreuster getreustes getröstet gewachsen gewachst gewagt gewährleisten Gewährleistung Gewährleistungen gewahrt gewaltfrei gewaltfreie gewaltfreiem gewaltfreien gewaltfreier gewaltfreiere gewaltfreierem gewaltfreieren gewaltfreierer gewaltfreieres gewaltfreies gewaltfreist gewaltfreiste gewaltfreistem gewaltfreisten gewaltfreister gewaltfreistes gewaltig gewaltige gewaltigem gewaltigen gewaltiger gewaltigere gewaltigerem gewaltigeren gewaltigerer gewaltigeres gewaltiges gewaltigst gewaltigste gewaltigstem gewaltigsten gewaltigster gewaltigstes gewärmt gewichtig gewichtige gewichtigem gewichtigen gewichtiger gewichtigere gewichtigerem gewichtigeren gewichtigerer gewichtigeres gewichtiges gewichtigst gewichtigste gewichtigstem gewichtigsten gewichtigster gewichtigstes Gewinn gewinnbringend gewinnbringende gewinnbringendem gewinnbringenden gewinnbringender gewinnbringendere gewinnbringenderem gewinnbringenderen gewinnbringenderer gewinnbringenderes gewinnbringendes gewinnbringendst gewinnbringendste gewinnbringendstem gewinnbringendsten gewinnbringendster gewinnbringendstes Gewinne gewinnen Gewinnen Gewinner Gewinnern Gewinners Gewinnes Gewinns gewissenhaft gewissenhafte gewissenhaftem gewissenhaften gewissenhafter gewissenhaftere gewissenhafterem gewissenhafteren gewissenhafterer gewissenhafteres gewissenhaftes gewissenhaftest gewissenhafteste gewissenhaftestem gewissenhaftesten gewissenhaftester gewissenhaftestes gewünscht gewünschte gewünschtem gewünschten gewünschter gewünschtere gewünschterem gewünschteren gewünschterer gewünschteres gewünschtes gewünschtest gewünschteste gewünschtestem gewünschtesten gewünschtester gewünschtestes gewürdigt gezielt gezielte gezieltem gezielten gezielter gezieltere gezielterem gezielteren gezielterer gezielteres gezieltes gezieltst gezieltste gezieltstem gezieltsten gezieltster gezieltstes gigantisch gigantische gigantischem gigantischen gigantischer gigantischere gigantischerem gigantischeren gigantischerer gigantischeres gigantisches gigantischst gigantischste gigantischstem gigantischsten gigantischster gigantischstes Glamour glamourös glamouröse glamourösem glamourösen glamouröser glamourösere glamouröserem glamouröseren glamouröserer glamouröseres glamouröses glamourösest glamouröseste glamourösestem glamourösesten glamourösester glamourösestes Glamours Glanz glänz glänze glänzen glänzend glänzende glänzendem glänzenden glänzender glänzendere glänzenderem glänzenderen glänzenderer glänzenderes glänzendes glänzendst glänzendste glänzendstem glänzendsten glänzendster glänzendstes Glanzes glänzest glänzet Glanzs glänzt glänzte glänzten glänztest glänztet glanzvoll glanzvolle glanzvollem glanzvollen glanzvoller glanzvollere glanzvollerem glanzvolleren glanzvollerer glanzvolleres glanzvolles glanzvollst glanzvollste glanzvollstem glanzvollsten glanzvollster glanzvollstes glasklar glasklare glasklarem glasklaren glasklarer glasklarere glasklarerem glasklareren glasklarerer glasklareres glasklares glasklarst glasklarste glasklarstem glasklarsten glasklarster glasklarstes glatt glatte glattem glatten glatter glattere glatterem glatteren glatterer glatteres glattes glattest glatteste glattestem glattesten glattester glattestes Glaube Glaubes glaubwürdig glaubwürdige glaubwürdigem glaubwürdigen glaubwürdiger glaubwürdigere glaubwürdigerem glaubwürdigeren glaubwürdigerer glaubwürdigeres glaubwürdiges Glaubwürdigkeit Glaubwürdigkeiten glaubwürdigst glaubwürdigste glaubwürdigstem glaubwürdigsten glaubwürdigster glaubwürdigstes gleichgestellt gleichstell gleichstelle gleichstellen gleichstellest gleichstellet gleichstellst gleichstellt gleichstellte gleichstellten gleichstelltest gleichstelltet Gleichstellung gleichwertig gleichwertige gleichwertigem gleichwertigen gleichwertiger gleichwertigere gleichwertigerem gleichwertigeren gleichwertigerer gleichwertigeres gleichwertiges gleichwertigst gleichwertigste gleichwertigstem gleichwertigsten gleichwertigster gleichwertigstes glorios gloriose gloriosem gloriosen glorioser gloriosere glorioserem glorioseren glorioserer glorioseres glorioses gloriosest glorioseste gloriosestem gloriosesten gloriosester gloriosestes glorreich glorreiche glorreichem glorreichen glorreicher glorreichere glorreicherem glorreicheren glorreicherer glorreicheres glorreiches glorreichst glorreichste glorreichstem glorreichsten glorreichster glorreichstes Glück Glücke Glücken Glückes glücklich glückliche glücklichem glücklichen glücklicher glücklichere glücklicherem glücklicheren glücklicherer glücklicheres glückliches glücklichst glücklichste glücklichstem glücklichsten glücklichster glücklichstes Glücks Glückseligkeit Glückseligkeiten Glückwunsch Glückwünsche Glückwünschen Glückwunsches Glückwunschs glühend Gnade Gnaden gnädig gnädige gnädigem gnädigen gnädiger gnädigere gnädigerem gnädigeren gnädigerer gnädigeres gnädiges gnädigst gnädigste gnädigstem gnädigsten gnädigster gnädigstes golden goldene goldenem goldenen goldener goldenere goldenerem goldeneren goldenerer goldeneres goldenes goldenst goldenste goldenstem goldensten goldenster goldenstes goldig goldige goldigem goldigen goldiger goldigere goldigerem goldigeren goldigerer goldigeres goldiges goldigst goldigste goldigstem goldigsten goldigster goldigstes goldner goldnere goldnerem goldneren goldnerer goldneres gönn gönne gönnen Gönner Gönnern Gönners Gönnerschaft </t>
  </si>
  <si>
    <t>Workbook Settings 19</t>
  </si>
  <si>
    <t>gönnest gönnet gönnst gönnt gönnte gönnten gönntest gönntet göttlich göttliche göttlichem göttlichen göttlicher göttlichere göttlicherem göttlicheren göttlicherer göttlicheres göttliches göttlichst göttlichste göttlichstem göttlichsten göttlichster göttlichstes grandios grandiose grandiosem grandiosen grandioser grandiosere grandioserem grandioseren grandioserer grandioseres grandioses grandiosest grandioseste grandiosestem grandiosesten grandiosester grandiosestes Gratulation Gratulationen gratulieren gravierend gravierende gravierendem gravierenden gravierender gravierendere gravierenderem gravierenderen gravierenderer gravierenderes gravierendes gravierendst gravierendste gravierendstem gravierendsten gravierendster gravierendstes greifbar greifbare greifbarem greifbaren greifbarer greifbarere greifbarerem greifbareren greifbarerer greifbareres greifbares greifbarst greifbarste greifbarstem greifbarsten greifbarster greifbarstes grenzenlos grenzenlose grenzenlosem grenzenlosen grenzenloser grenzenlosere grenzenloserem grenzenloseren grenzenloserer grenzenloseres grenzenloses grenzenlosest grenzenloseste grenzenlosestem grenzenlosesten grenzenlosester grenzenlosestes Grenzenlosigkeit groß großartig großartige großartigem großartigen großartiger großartigere großartigerem großartigeren großartigerer großartigeres großartiges großartigst großartigste großartigstem großartigsten großartigster großartigstes große Größe großem großen Größen großer großere großerem großeren großerer großeres großes großspurig großspurige großspurigem großspurigen großspuriger großspurigere großspurigerem großspurigeren großspurigerer großspurigeres großspuriges großspurigst großspurigste großspurigstem großspurigsten großspurigster großspurigstes großst großste großstem großsten großster großstes größtmöglich größtmögliche größtmöglichem größtmöglichen größtmöglicher größtmöglichere größtmöglicherem größtmöglicheren größtmöglicherer größtmöglicheres größtmögliches größtmöglichst größtmöglichste größtmöglichstem größtmöglichsten größtmöglichster größtmöglichstes großzügig großzügige großzügigem großzügigen großzügiger großzügigere großzügigerem großzügigeren großzügigerer großzügigeres großzügiges Großzügigigkeit großzügigst großzügigste großzügigstem großzügigsten großzügigster großzügigstes grundlegend grundlegende grundlegendem grundlegenden grundlegender grundlegendere grundlegenderem grundlegenderen grundlegenderer grundlegenderes grundlegendes grundlegendst grundlegendste grundlegendstem grundlegendsten grundlegendster grundlegendstes gründlich gründliche gründlichem gründlichen gründlicher gründlichere gründlicherem gründlicheren gründlicherer gründlicheres gründliches Gründlichkeit gründlichst gründlichste gründlichstem gründlichsten gründlichster gründlichstes grundsätzlich grundsätzliche grundsätzlichem grundsätzlichen grundsätzlicher grundsätzlichere grundsätzlicherem grundsätzlicheren grundsätzlicherer grundsätzlicheres grundsätzliches grundsätzlichst grundsätzlichste grundsätzlichstem grundsätzlichsten grundsätzlichster grundsätzlichstes gültig gültige gültigem gültigen gültiger gültigere gültigerem gültigeren gültigerer gültigeres gültiges Gültigkeit gültigst gültigste gültigstem gültigsten gültigster gültigstes Gunst günstig günstige günstigem günstigen günstiger günstigere günstigerem günstigeren günstigerer günstigeres günstiges günstigst günstigste günstigstem günstigsten günstigster günstigstes gut gute Güte gutem guten guter gutere guterem guteren guterer guteres gutes gutgehend gutgehende gutgehendem gutgehenden gutgehender gutgehendere gutgehenderem gutgehenderen gutgehenderer gutgehenderes gutgehendes gutgehendst gutgehendste gutgehendstem gutgehendsten gutgehendster gutgehendstes gütig gütige gütigem gütigen gütiger gütigere gütigerem gütigeren gütigerer gütigeres gütiges gütigst gütigste gütigstem gütigsten gütigster gütigstes gütlich gütliche gütlichem gütlichen gütlicher gütlichere gütlicherem gütlicheren gütlicherer gütlicheres gütliches gütlichst gütlichste gütlichstem gütlichsten gütlichster gütlichstes gutst gutste gutstem gutsten gutster gutstes Hammer Hammern Hammers handfest handfeste handfestem handfesten handfester handfestere handfesterem handfesteren handfesterer handfesteres handfestes handfestest handfesteste handfestestem handfestesten handfestester handfestestes handlich handliche handlichem handlichen handlicher handlichere handlicherem handlicheren handlicherer handlicheres handliches handlichst handlichste handlichstem handlichsten handlichster handlichstes Harmonie Harmonien harmonisch harmonische harmonischem harmonischen harmonischer harmonischere harmonischerem harmonischeren harmonischerer harmonischeres harmonisches harmonischst harmonischste harmonischstem harmonischsten harmonischster harmonischstes harmonisier harmonisiere harmonisieren harmonisierest harmonisieret harmonisierst harmonisiert harmonisierte harmonisierten harmonisiertest harmonisiertet Harmonisierung Harmonisierungen hartnäckig hartnäckige hartnäckigem hartnäckigen hartnäckiger hartnäckigere hartnäckigerem hartnäckigeren hartnäckigerer hartnäckigeres hartnäckiges Hartnäckigkeit hartnäckigst hartnäckigste hartnäckigstem hartnäckigsten hartnäckigster hartnäckigstes hauptsächlich hauptsächliche hauptsächlichem hauptsächlichen hauptsächlicher hauptsächlichere hauptsächlicherem hauptsächlicheren hauptsächlicherer hauptsächlicheres hauptsächliches hauptsächlichst hauptsächlichste hauptsächlichstem hauptsächlichsten hauptsächlichster hauptsächlichstes heben heil heile heilem heilen heilen heiler heilere heilerem heileren heilerer heileres heiles heilig heilige heiligem heiligen heiliger heiligere heiligerem heiligeren heiligerer heiligeres heiliges heiligst heiligste heiligstem heiligsten heiligster heiligstes Heiligtum Heiligtümer Heiligtümern Heiligtumes Heiligtums heilsam heilsame heilsamem heilsamen heilsamer heilsamere heilsamerem heilsameren heilsamerer heilsameres heilsames heilsamst heilsam</t>
  </si>
  <si>
    <t>Workbook Settings 20</t>
  </si>
  <si>
    <t>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hoffnungsfroherer hoffnungsfroheres hoffnungsfrohes hoffnungsfrohst hoffnungsfrohste hoffnungsfrohstem hoffnungsfrohsten hoffnungsfrohster hoffnungsfrohstes hoffnungsvoll hoffnungsvolle hoffnungsvollem hoffnungsvollen hoff</t>
  </si>
  <si>
    <t>Workbook Settings 21</t>
  </si>
  <si>
    <t xml:space="preserve">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Jubiläum jubl juble Kauf Käufe Käufen Kaufes Kaufs kinderleicht kinderleichte kinderleichtem kinderleichten kinderleichter kinderleichtere kinderleichterem kinderleichteren kinderleichterer kinderleichteres kinderleichtes </t>
  </si>
  <si>
    <t>Workbook Settings 22</t>
  </si>
  <si>
    <t>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konstruktivste konstruktivstem konstruktivsten konstruktivster konstruktivstes Konsultation Konsultationen konsultier konsultiere konsultieren konsultierest konsultieret konsultierst konsultiert konsultierte konsultierten konsulti</t>
  </si>
  <si>
    <t>Workbook Settings 23</t>
  </si>
  <si>
    <t>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legendäre legendärem legendären legendärer legendärere legendärerem legendäreren legendärerer legendäreres legendäres legendärst legendärste legendärstem legendärsten legendärster legendärstes legitim legitime legitimem legit</t>
  </si>
  <si>
    <t>Workbook Settings 24</t>
  </si>
  <si>
    <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majestätischstes makellos makellose makellosem makellosen makelloser makellosere makelloserem makelloseren makelloserer makelloseres makelloses makellosest makelloseste makellosestem makellosesten makellosester makellosestes maleris</t>
  </si>
  <si>
    <t>Workbook Settings 25</t>
  </si>
  <si>
    <t xml:space="preserve">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namhaftere namhafterem namhafteren namhafterer namhafteres namhaftes namhaftest namhafteste namhaftestem namhaftesten namhaftester namhaftestes nennenswert nennenswerte nennenswertem nennenswerten nennenswerter nennenswertere </t>
  </si>
  <si>
    <t>Workbook Settings 26</t>
  </si>
  <si>
    <t>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pralles prallst prallste prallstem prallsten prallster prallstes präzis präzise Präzision preisgünstig preisgünstige preisgünstigem preisgünstigen preisgünstiger preisgünstigere preisgünstigerem preisgünstigeren preisgünstigere</t>
  </si>
  <si>
    <t>Workbook Settings 27</t>
  </si>
  <si>
    <t>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 reifen reifen reifer reifere reiferem reiferen reiferer reiferes reifes reifest reifet reifst reifst reifste reifstem reifsten reifster reifstes reift reifte reiften reiftest reiftet rein reine reinem reinen reiner reine</t>
  </si>
  <si>
    <t>Workbook Settings 28</t>
  </si>
  <si>
    <t xml:space="preserv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saubrerem saubreren saubrerer saubreres schaff schaffe schaffen schaffest schaffet schaffst schafft schaffte schafften schafftest schafftet scharf scharfe scharfem scharfen scharfer schärfer schärfere schärferem schärferen </t>
  </si>
  <si>
    <t>Workbook Settings 29</t>
  </si>
  <si>
    <t>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soliderem solideren soliderer solideres solides solidst solidste solidstem solidsten solidster solidstes sonnendurchflutet sonnendurchflutete sonnendurchflutetem sonnendurchfluteten sonnendurchfluteter sonnendurchfluteter</t>
  </si>
  <si>
    <t>Workbook Settings 30</t>
  </si>
  <si>
    <t xml:space="preserve">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störungsfreiester störungsfreiestes störungsfreist störungsfreiste störungsfreistem störungsfreisten störungsfreister störungsfreistes strahl strahle strahlen strahlend strahlest strahlet strahlst strahlt strahlte strahlten strahltest </t>
  </si>
  <si>
    <t>Workbook Settings 31</t>
  </si>
  <si>
    <t>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überdurchschnittlicherem überdurchschnittlicheren überdurchschnittlicherer überdurchschnittlicheres überdurchschnittliches überdurchschnittlichst überdurchschnittlichste überdurchschnittlichstem überdurchschnittlichsten überdurchschnittlichs</t>
  </si>
  <si>
    <t>Workbook Settings 32</t>
  </si>
  <si>
    <t>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unbeschreiblichstes unbeschwert unbeschwerte unbeschwertem unbeschwerten unbeschwerter unbeschwertere unbeschwerterem unbeschwerteren unbeschwerterer unbeschwerteres unbeschwertes unbeschwertest unbeschwerteste unbeschwerteste</t>
  </si>
  <si>
    <t>Workbook Settings 33</t>
  </si>
  <si>
    <t>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unschlagbar unschlagbare unschlagbarem unschlagbaren unschlagbarer unschlagbarere unschlagbarerem unschlagbareren unschlagbarerer unschlagbareres unschlagbares unschlagbarst unschlagbarste unschlagbarstem unschlagbarsten unschlagb</t>
  </si>
  <si>
    <t>Workbook Settings 34</t>
  </si>
  <si>
    <t>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 verantwortungsbewußter verantwortungsbewußtere verantwortungsbewußterem verantwortungsbewußteren verantwortungsbewußterer verantwortungsbewußteres verantwortungsbewußtes verantwortungsbewußtst verantwortungsbewußtste ver</t>
  </si>
  <si>
    <t>Workbook Settings 35</t>
  </si>
  <si>
    <t>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verstärktet Verstärkung Verstärkungen verstehen verteidig verteidige verteidigen Verteidiger Verteidigern Verteidigers verteidigest verteidiget verteidigst verteidigt verteidigte verteidigten verteidigtest verteidigtet Verte</t>
  </si>
  <si>
    <t>Workbook Settings 36</t>
  </si>
  <si>
    <t>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wachsamerer wachsameres wachsames Wachsamkeit wachsamst wachsamste wachsamstem wachsamsten wachsamster wachsamstes wachse wachsen wachsend wachsest wachset wachst wachste wachsten wachstest wachstet Wachstum Wachstums wag wage wa</t>
  </si>
  <si>
    <t>Workbook Settings 37</t>
  </si>
  <si>
    <t>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witzigerer witzigeres witziges witzigst witzigste witzigstem witzigsten witzigster witzigstes wohlbehalten wohlbehaltene wohlbehaltenem wohlbehaltenen wohlbehaltener wohlbehaltenere wohlbehaltenerem wohlbehalteneren wohlbehaltene</t>
  </si>
  <si>
    <t>Workbook Settings 38</t>
  </si>
  <si>
    <t>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zugänglichste zugänglichstem zugänglichsten zugänglichster zugänglichstes zugeben zugelegt zugreifen zukunftsweisend zukunftsweisende zukunftsweisendem zukunftsweisenden zukunftsweisender zukunftsweisendere zukunftsweisenderem</t>
  </si>
  <si>
    <t>Workbook Settings 39</t>
  </si>
  <si>
    <t xml:space="preserve">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abstoßendstem abstoßendsten abstoßendster abstoßendstes Abstoßes Abstoßs Abstrich Abstriche Abstrichen Abstriches Abstrichs abstumpf abstumpfe abstumpfen abstumpfest abstumpfet abstumpfst abstumpft abstumpfte abstumpften abstumpfte</t>
  </si>
  <si>
    <t>Workbook Settings 40</t>
  </si>
  <si>
    <t>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apathischster apathischstes apokalyptisch apokalyptische apokalyptischem apokalyptischen apokalyptischer apokalyptischere apokalyptischerem apokalyptischeren apokalyptischerer apokalyptischeres apokalyptisches apokalyptischst ap</t>
  </si>
  <si>
    <t>Workbook Settings 41</t>
  </si>
  <si>
    <t>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bedauernswerten bedauernswerter bedauernswertere bedauernswerterem bedauernswerteren bedauernswerterer bedauernswerteres bedauernswertes bedauernswertest bedauernswerteste bedauernswertestem bedauernswertesten bedauernswerte</t>
  </si>
  <si>
    <t>Workbook Settings 42</t>
  </si>
  <si>
    <t>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beschädigt beschädigte beschädigten beschädigtest beschädigtet Beschädigung Beschädigungen beschäftigungslos Beschäftigungslose beschäftigungslose beschäftigungslosem beschäftigungslosen Beschäftigungsloser beschäftigun</t>
  </si>
  <si>
    <t>Workbook Settings 43</t>
  </si>
  <si>
    <t>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blöderer blöderes blödes blödest blödest blödeste blödeste blödestem blödestem blödesten blödesten blödester blödester blödestes blödestes Blödheit Blödheiten blutig blutige blutigem blutigen blutiger blutigere blutigerem blutig</t>
  </si>
  <si>
    <t>Workbook Settings 44</t>
  </si>
  <si>
    <t>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diffus diffuse diffusem diffusen diffuser diffusere diffuserem diffuseren diffuserer diffuseres diffuses diffusest diffuseste diffusestem diffusesten diffusester diffusestes Diktator Diktatoren diktatorisch diktatorische d</t>
  </si>
  <si>
    <t>Workbook Settings 45</t>
  </si>
  <si>
    <t>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Einschränkungen einschrumpf einschrumpfe einschrumpfen einschrumpfest einschrumpfet einschrumpfst einschrumpft einschrumpfte einschrumpften einschrumpftest einschrumpftet einschüchter einschüchtere einschüchteren einschüchtern e</t>
  </si>
  <si>
    <t>Workbook Settings 46</t>
  </si>
  <si>
    <t>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erniedrigtest erniedrigtet Erniedrigung Erniedrigungen ernüchternd Ernüchterung Ernüchterungen Erosion Erosionen erpress erpresse erpressen erpressest erpresset erpresst erpresste erpressten erpresstest erpresstet Erpressung Erpres</t>
  </si>
  <si>
    <t>Workbook Settings 47</t>
  </si>
  <si>
    <t>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flauest flaueste flauestem flauesten flauester flauestes flaust flauste flaustem flausten flauster flaustes Flaute Flauten Fluch Flüche Flüchen Fluches Fluchs Flucht Fluchten flüchtend flüchtig flüchtige flüchtigem flüchti</t>
  </si>
  <si>
    <t>Workbook Settings 48</t>
  </si>
  <si>
    <t>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 gedrängtsten gedrängtster gedrängtstes gedriftet gedroht gedrosselt gefährd gefährde gefährden gefährdest gefährdet gefährdete gefährdeten gefährdetest gefährdetet gefährdte gefährdten gefährdtest gefährdtet Gefährdung G</t>
  </si>
  <si>
    <t>Workbook Settings 49</t>
  </si>
  <si>
    <t>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 grauenhafterer grauenhafteres grauenhaftes grauenhaftest grauenhafteste grauenhaftestem grauenhaftesten grauenhaftester grauenhaftestes grauenvoll grauenvolle grauenvollem grauenvollen grauenvoller grauenvollere grauenvo</t>
  </si>
  <si>
    <t>Workbook Settings 50</t>
  </si>
  <si>
    <t>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heruntermach heruntermache heruntermachen heruntermachest heruntermachet heruntermachst heruntermacht heruntermachte heruntermachten heruntermachtest heruntermachtet herzlos herzlose herzlosem herzlosen herzloser herzlosere herzlos</t>
  </si>
  <si>
    <t>Workbook Settings 51</t>
  </si>
  <si>
    <t>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irrational irrationale irrationalem irrationalen irrationaler irrationalere irrationalerem irrationaleren irrationalerer irrationaleres irrationales irrationalst irrationalste irrationalstem irrationalsten irrationalster irratio</t>
  </si>
  <si>
    <t>Workbook Settings 52</t>
  </si>
  <si>
    <t>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krank kränk kranke kranke kränke kränkel kränkele kränkelen kränkeln kränkelst kränkelt kränkelte kränkelten kränkeltest kränkeltet krankem kranken kranken kränken kranker kränker kränkere kränkerem kränkeren kränkerer kr</t>
  </si>
  <si>
    <t>Workbook Settings 53</t>
  </si>
  <si>
    <t>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lebensfeindlichste lebensfeindlichstem lebensfeindlichsten lebensfeindlichster lebensfeindlichstes Lebensgefahr Lebensgefahren lebensgefährlich lebensgefährliche lebensgefährlichem lebensgefährlichen lebensgefährlicher lebensg</t>
  </si>
  <si>
    <t>Workbook Settings 54</t>
  </si>
  <si>
    <t>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 miserablerer miserableres miserables missachten Missachtung Missbrauch Missbräuche missbrauchen Missbräuchen Missbrauches Missbrauchs missfallen missgelaunt missgelaunte missgelauntem missgelaunten missgelaunter missgela</t>
  </si>
  <si>
    <t>Workbook Settings 55</t>
  </si>
  <si>
    <t>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niederträchtigere niederträchtigerem niederträchtigeren niederträchtigerer niederträchtigeres niederträchtiges niederträchtigst niederträchtigste niederträchtigstem niederträchtigsten niederträchtigster niederträchtigstes niedrig n</t>
  </si>
  <si>
    <t>Workbook Settings 56</t>
  </si>
  <si>
    <t>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Reinfälle Reinfällen Reinfalles Reinfalls Reklamation Reklamationen renitent renitente renitentem renitenten renitenter renitentere renitenterem renitenteren renitenterer renitenteres renitentes renitentest renitenteste renitente</t>
  </si>
  <si>
    <t>Workbook Settings 57</t>
  </si>
  <si>
    <t>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schleppenden schleppender schleppendere schleppenderem schleppenderen schleppenderer schleppenderes schleppendes schleppendst schleppendste schleppendstem schleppendsten schleppendster schleppendstes schlicht schlichte schli</t>
  </si>
  <si>
    <t>Workbook Settings 58</t>
  </si>
  <si>
    <t>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schwindliger schwindligere schwindligerem schwindligeren schwindligerer schwindligeres schwindliges schwindligst schwindligste schwindligstem schwindligsten schwindligster schwindligstes Schwund Schwundes Schwunds seicht seicht</t>
  </si>
  <si>
    <t>Workbook Settings 59</t>
  </si>
  <si>
    <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Täuschung Täuschungen Terror terrorisier terrorisiere terrorisieren terrorisierest terrorisieret terrorisierst terrorisiert terrorisierte terrorisierten terrorisiertest terrorisiertet Terrorismus Terrors teuer teuerst teue</t>
  </si>
  <si>
    <t>Workbook Settings 60</t>
  </si>
  <si>
    <t>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umständlichste umständlichstem umständlichsten umständlichster umständlichstes umstritten umstrittene umstrittenem umstrittenen umstrittener umstrittenere umstrittenerem umstritteneren umstrittenerer umstritteneres umstrittenes umst</t>
  </si>
  <si>
    <t>Workbook Settings 61</t>
  </si>
  <si>
    <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undankbarem undankbaren undankbarer undankbarere undankbarerem undankbareren undankbarerer undankbareres undankbares Undankbarkeit undankbarst undankbarste undankbarstem undankbarsten undankbarster undankbarstes undemokra</t>
  </si>
  <si>
    <t>Workbook Settings 62</t>
  </si>
  <si>
    <t>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ungebetenen ungebetener ungebetenere ungebetenerem ungebeteneren ungebetenerer ungebeteneres ungebetenes ungebetenst ungebetenste ungebetenstem ungebetensten ungebetenster ungebetenstes ungebetner ungebetnere ungebetnerem u</t>
  </si>
  <si>
    <t>Workbook Settings 63</t>
  </si>
  <si>
    <t>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unglaubwürdigen unglaubwürdiger unglaubwürdigere unglaubwürdigerem unglaubwürdigeren unglaubwürdigerer unglaubwürdigeres unglaubwürdiges Unglaubwürdigkeit unglaubwürdigst unglaubwürdigste unglaubwürdigstem unglaubwürdigsten u</t>
  </si>
  <si>
    <t>Workbook Settings 64</t>
  </si>
  <si>
    <t>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unregelmäßigsten unregelmäßigster unregelmäßigstes unrentabel unrentabelst unrentabelste unrentabelstem unrentabelsten unrentabelster unrentabelstes Unrentabilität unrentable unrentablem unrentablen unrentabler unrentablere unre</t>
  </si>
  <si>
    <t>Workbook Settings 65</t>
  </si>
  <si>
    <t xml:space="preserv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untröstlichen untröstlicher untröstlichere untröstlicherem untröstlicheren untröstlicherer untröstlicheres untröstliches untröstlichst untröstlichste untröstlichstem untröstlichsten untröstlichster untröstlichstes unübersichtlich </t>
  </si>
  <si>
    <t>Workbook Settings 66</t>
  </si>
  <si>
    <t>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unzivilisierterer unzivilisierteres unzivilisiertes unzivilisiertest unzivilisierteste unzivilisiertestem unzivilisiertesten unzivilisiertester unzivilisiertestes unzüchtig unzüchtige unzüchtigem unzüchtigen unzüchtiger unzücht</t>
  </si>
  <si>
    <t>Workbook Settings 67</t>
  </si>
  <si>
    <t xml:space="preserve">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 verfallener verfallenere verfallenerem verfalleneren verfallenerer verfalleneres verfallenes verfallenst verfallenste verfallenstem verfallensten verfallenster verfallenstes Verfalles verfallner verfallnere verfallnerem </t>
  </si>
  <si>
    <t>Workbook Settings 68</t>
  </si>
  <si>
    <t>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Versäumnisen Versäumnises Versäumniss verschimmelt verschlechtern Verschlechterung Verschlechterungen verschlepp verschleppe verschleppen verschleppest verschleppet verschleppst verschleppt verschleppte verschleppten verschle</t>
  </si>
  <si>
    <t>Workbook Settings 69</t>
  </si>
  <si>
    <t>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wahnsinnigeren wahnsinnigerer wahnsinnigeres wahnsinniges wahnsinnigst wahnsinnigste wahnsinnigstem wahnsinnigsten wahnsinnigster wahnsinnigstes Wahnsinns wankelmütig wankelmütige wankelmütigem wankelmütigen wankelmütiger wanke</t>
  </si>
  <si>
    <t>Workbook Settings 70</t>
  </si>
  <si>
    <t>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zerstörerischeren zerstörerischerer zerstörerischeres zerstörerisches zerstörerischst zerstörerischste zerstörerischstem zerstörerischsten zerstörerischster zerstörerischstes zerstörest zerstöret zerstörst zerstört zerstört zerstör</t>
  </si>
  <si>
    <t>Workbook Settings 71</t>
  </si>
  <si>
    <t xml:space="preserve">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t>
  </si>
  <si>
    <t>Workbook Settings 72</t>
  </si>
  <si>
    <t>&lt;/setting&gt;
    &lt;/GraphMetricUserSettings&gt;
    &lt;AutomateTasksUserSettings&gt;
      &lt;setting name="FolderToAutomate" serializeAs="String"&gt;
        &lt;value /&gt;
      &lt;/setting&gt;
      &lt;setting name="TasksToRun" serializeAs="String"&gt;
        &lt;value&gt;CalculateGraphMetrics,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 /&gt;
      &lt;/setting&gt;
      &lt;setting name="EdgeAlphaSourceColumnName" serializeAs="String"&gt;
        &lt;value&gt;Value&lt;/value&gt;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 /&gt;
      &lt;/setting&gt;
      &lt;setting name="VertexShapeSourceColumnName" serializeAs="String"&gt;
        &lt;value /&gt;
      &lt;/setting&gt;
      &lt;setting name="EdgeStyleSourceColumnName" serializeAs="String"&gt;
        &lt;value /&gt;
      &lt;/setting&gt;
      &lt;setting name="EdgeColorSourceColumnName" serializeAs="String"&gt;
        &lt;value&gt;Value&lt;/value&gt;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9999 1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20 20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50 500 False False&lt;/value&gt;
      &lt;/setting&gt;
      &lt;setting name="VertexXDetails" serializeAs="String"&gt;
        &lt;value&gt;False False 0 0 0 9999 False False&lt;/value&gt;
      &lt;/setting&gt;
      &lt;setting name="EdgeColorDetails" serializeAs="String"&gt;
        &lt;value&gt;False False 0 0 Green 255, 128, 0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&lt;value&gt;Group&lt;/value&gt;
      &lt;/setting&gt;
      &lt;setting name="GroupLabelDetails" serializeAs="String"&gt;
        &lt;value&gt;False&lt;/value&gt;
      &lt;/setting&gt;
    &lt;/AutoFillUserSettings3&gt;
    &lt;LayoutUserSettings&gt;
      &lt;setting name="Layout" serializeAs="String"&gt;
        &lt;value&gt;Grid&lt;/value</t>
  </si>
  <si>
    <t>Workbook Settings 73</t>
  </si>
  <si>
    <t>&gt;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&lt;value&gt;Hide&lt;/value&gt;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Black 86 TopLeft Microsoft Sans Serif, 48pt Microsoft Sans Serif, 7.8pt&lt;/value&gt;
      &lt;/setting&gt;
      &lt;setting name="EdgeAlpha" serializeAs="String"&gt;
        &lt;value&gt;62&lt;/value&gt;
      &lt;/setting&gt;
      &lt;setting name="SelectedVertexColor" serializeAs="String"&gt;
        &lt;value&gt;Red&lt;/value&gt;
      &lt;/setting&gt;
      &lt;setting name="VertexColor" serializeAs="String"&gt;
        &lt;value&gt;Silver&lt;/value&gt;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&lt;value&gt;Silver&lt;/value&gt;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t>
  </si>
  <si>
    <t>Workbook Settings 74</t>
  </si>
  <si>
    <t>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</si>
  <si>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</si>
  <si>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</si>
  <si>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name="AutomatedGraphImageUserSettings"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&lt;AutomatedGraphImageUserSettings&gt;
      &lt;setting name="IncludeFooter" serializeAs="String"&gt;
        &lt;value&gt;True&lt;/value&gt;
      &lt;/setting&gt;
      &lt;setting name="ImageSizePx" serializeAs="String"&gt;
        &lt;value&gt;4096, 3072&lt;/value&gt;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name="FooterText" serializeAs="String"&gt;
        &lt;value&gt;Social network graph of Wikipedia disussions visualized with NodeXL Pro (smrfoundation.org)&lt;/value&gt;
      &lt;/setting&gt;
      &lt;setting name="ImageFormat" serializeAs="String"&gt;
        &lt;value&gt;Png&lt;/value&gt;
      &lt;/setting&gt;
    &lt;/AutomatedGraphImageUserSettings&gt;
    &lt;GraphImageUserSettings2&gt;
      &lt;setting name="ImageSize" serializeAs="String"&gt;
        &lt;value&gt;600, 400&lt;/value&gt;
      &lt;/setting&gt;
      &lt;setting name="UseControlSize" serializeAs="String"&gt;
        &lt;value&gt;True&lt;/value&gt;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name="IncludeFooter" serializeAs="String"&gt;
        &lt;value&gt;True&lt;/value&gt;
      &lt;/setting&gt;
      &lt;setting name="FooterText" serializeAs="String"&gt;
        &lt;value /&gt;
      &lt;/setting&gt;
    &lt;/GraphImageUserSettings2&gt;
    &lt;LayoutUserSettings&gt;
      &lt;setting name="FruchtermanReingoldIterations" serializeAs="String"&gt;
        &lt;value&gt;10&lt;/value&gt;
      &lt;/setting&gt;
      &lt;setting name="IntergroupEdgeStyle" serializeAs="String"&gt;
        &lt;value&gt;Show&lt;/value&gt;
      &lt;/setting&gt;
      &lt;setting name="FruchtermanReingoldC" serializeAs="String"&gt;
        &lt;value&gt;3&lt;/value&gt;
      &lt;/setting&gt;
      &lt;setting name="BoxLayoutAlgorithm" serializeAs="String"&gt;
        &lt;value&gt;Treemap&lt;/value&gt;
      &lt;/setting&gt;
      &lt;setting name="ImproveLayoutOfGroups" serializeAs="String"&gt;
        &lt;value&gt;False&lt;/value&gt;
      &lt;/setting&gt;
      &lt;setting name="LayoutStyle" serializeAs="String"&gt;
        &lt;value&gt;UseGroups&lt;/value&gt;
      &lt;/setting&gt;
      &lt;setting name="GroupRectanglePenWidth" serializeAs="String"&gt;</t>
  </si>
  <si>
    <t xml:space="preserve">
        &lt;value&gt;1&lt;/value&gt;
      &lt;/setting&gt;
      &lt;setting name="Margin" serializeAs="String"&gt;
        &lt;value&gt;6&lt;/value&gt;
      &lt;/setting&gt;
      &lt;setting name="Layout" serializeAs="String"&gt;
        &lt;value&gt;FruchtermanReingold&lt;/value&gt;
      &lt;/setting&gt;
    &lt;/LayoutUserSettings&gt;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name="WordMetricUserSettings" serializeAs="String"&gt;
        &lt;value&gt;CalculateSentiment░True▓TextColumnIsOnEdgeWorksheet░True▓TextColumnName░Edit Comment▓CountByGroup░True▓SkipSingleTerms░True▓WordsToSkip░0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t>
  </si>
  <si>
    <t>Autofill Workbook Results</t>
  </si>
  <si>
    <t>Graph History</t>
  </si>
  <si>
    <t>Relationship</t>
  </si>
  <si>
    <t>Edge Weight</t>
  </si>
  <si>
    <t>Edge Type</t>
  </si>
  <si>
    <t>Edit Comment</t>
  </si>
  <si>
    <t>Edit Size</t>
  </si>
  <si>
    <t>EdJohnston</t>
  </si>
  <si>
    <t>Saramcgo</t>
  </si>
  <si>
    <t>Dpm64</t>
  </si>
  <si>
    <t>HagermanBot</t>
  </si>
  <si>
    <t>222.155.173.208</t>
  </si>
  <si>
    <t>Spur</t>
  </si>
  <si>
    <t>Jdlasica</t>
  </si>
  <si>
    <t>Fish and karate</t>
  </si>
  <si>
    <t>Wakeyjamie</t>
  </si>
  <si>
    <t>Finin</t>
  </si>
  <si>
    <t>MichaelGray</t>
  </si>
  <si>
    <t>71.232.227.153</t>
  </si>
  <si>
    <t>SineBot</t>
  </si>
  <si>
    <t>Dpeck0404</t>
  </si>
  <si>
    <t>Evansdave</t>
  </si>
  <si>
    <t>24.91.192.6</t>
  </si>
  <si>
    <t>Sd ca</t>
  </si>
  <si>
    <t>Chrishambly</t>
  </si>
  <si>
    <t>Mystalic</t>
  </si>
  <si>
    <t>Gary</t>
  </si>
  <si>
    <t>76.174.197.152</t>
  </si>
  <si>
    <t>Spimeco</t>
  </si>
  <si>
    <t>Unstructured</t>
  </si>
  <si>
    <t>JohnScottDixon</t>
  </si>
  <si>
    <t>85.147.221.156</t>
  </si>
  <si>
    <t>Flowanda</t>
  </si>
  <si>
    <t>69.126.178.19</t>
  </si>
  <si>
    <t>Ms2ger</t>
  </si>
  <si>
    <t>Tecoates</t>
  </si>
  <si>
    <t>Nabeth</t>
  </si>
  <si>
    <t>Armin B. Wagner~enwiki</t>
  </si>
  <si>
    <t>Garyedgar</t>
  </si>
  <si>
    <t>Sabrina111</t>
  </si>
  <si>
    <t>Jonmrich</t>
  </si>
  <si>
    <t>THF</t>
  </si>
  <si>
    <t>Amordi</t>
  </si>
  <si>
    <t>Funandtrvl</t>
  </si>
  <si>
    <t>Sara-rockworth</t>
  </si>
  <si>
    <t>JBW</t>
  </si>
  <si>
    <t>A.Ward</t>
  </si>
  <si>
    <t>Rdjfraser</t>
  </si>
  <si>
    <t>SmackBot</t>
  </si>
  <si>
    <t>Psigrist</t>
  </si>
  <si>
    <t>Brian.Rainbow</t>
  </si>
  <si>
    <t>New World Tech Girl</t>
  </si>
  <si>
    <t>Austenten</t>
  </si>
  <si>
    <t>Elinruby</t>
  </si>
  <si>
    <t>Uberveritas</t>
  </si>
  <si>
    <t>Notreallydavid</t>
  </si>
  <si>
    <t>Piotrus</t>
  </si>
  <si>
    <t>Abdull</t>
  </si>
  <si>
    <t>Kencf0618</t>
  </si>
  <si>
    <t>69.79.116.140</t>
  </si>
  <si>
    <t>CommonsNotificationBot</t>
  </si>
  <si>
    <t>119.154.70.165</t>
  </si>
  <si>
    <t>Ekowus</t>
  </si>
  <si>
    <t>Tom Morris</t>
  </si>
  <si>
    <t>Rachelcgen</t>
  </si>
  <si>
    <t>Allethrin</t>
  </si>
  <si>
    <t>Debresser</t>
  </si>
  <si>
    <t>Groupuscule</t>
  </si>
  <si>
    <t>Alan Liefting</t>
  </si>
  <si>
    <t>Bonadea</t>
  </si>
  <si>
    <t>Linds e m</t>
  </si>
  <si>
    <t>Davefilms</t>
  </si>
  <si>
    <t>ErickS-NJITWILL</t>
  </si>
  <si>
    <t>JET theUFO</t>
  </si>
  <si>
    <t>Marsha49</t>
  </si>
  <si>
    <t>Briancarter73</t>
  </si>
  <si>
    <t>TwinsMetsFan</t>
  </si>
  <si>
    <t>68.123.236.177</t>
  </si>
  <si>
    <t>Jenks27</t>
  </si>
  <si>
    <t>Zalunardo8</t>
  </si>
  <si>
    <t>Geniac</t>
  </si>
  <si>
    <t>146.141.1.92</t>
  </si>
  <si>
    <t>Jduden</t>
  </si>
  <si>
    <t>Trivialist</t>
  </si>
  <si>
    <t>210.23.25.13</t>
  </si>
  <si>
    <t>Clhenderson99</t>
  </si>
  <si>
    <t>5.150.102.31</t>
  </si>
  <si>
    <t>ElKevbo</t>
  </si>
  <si>
    <t>92.24.201.188</t>
  </si>
  <si>
    <t>70.195.192.68</t>
  </si>
  <si>
    <t>YpnBot</t>
  </si>
  <si>
    <t>Stringybark</t>
  </si>
  <si>
    <t>Pregxi</t>
  </si>
  <si>
    <t>Morganglick</t>
  </si>
  <si>
    <t>Geekpie</t>
  </si>
  <si>
    <t>2604:2000:107E:407E:752E:3268:9074:E06</t>
  </si>
  <si>
    <t>180.215.137.233</t>
  </si>
  <si>
    <t>Lihaas</t>
  </si>
  <si>
    <t>Akmuslimeen</t>
  </si>
  <si>
    <t>John Broughton</t>
  </si>
  <si>
    <t>OwenBlacker</t>
  </si>
  <si>
    <t>117.201.70.18</t>
  </si>
  <si>
    <t>EChastain</t>
  </si>
  <si>
    <t>122.172.32.201</t>
  </si>
  <si>
    <t>80.44.106.42</t>
  </si>
  <si>
    <t>80.44.105.37</t>
  </si>
  <si>
    <t>General Ization</t>
  </si>
  <si>
    <t>78.150.48.114</t>
  </si>
  <si>
    <t>Fixuture</t>
  </si>
  <si>
    <t>Fayenatic london</t>
  </si>
  <si>
    <t>Valereee</t>
  </si>
  <si>
    <t>71.104.87.104</t>
  </si>
  <si>
    <t>Coin945</t>
  </si>
  <si>
    <t>104.172.111.184</t>
  </si>
  <si>
    <t>Tinaalimaa</t>
  </si>
  <si>
    <t>109.145.180.55</t>
  </si>
  <si>
    <t>DanielPenfield</t>
  </si>
  <si>
    <t>74.62.206.151</t>
  </si>
  <si>
    <t>Knhende2</t>
  </si>
  <si>
    <t>Jnunez96</t>
  </si>
  <si>
    <t>Eevans11</t>
  </si>
  <si>
    <t>LoeAsh</t>
  </si>
  <si>
    <t>78.171.130.160</t>
  </si>
  <si>
    <t>Jagrif02</t>
  </si>
  <si>
    <t>Sdcox004</t>
  </si>
  <si>
    <t>Eparedes97</t>
  </si>
  <si>
    <t>Danielleee g</t>
  </si>
  <si>
    <t>Hoffma51</t>
  </si>
  <si>
    <t>Yahya Abdal-Aziz</t>
  </si>
  <si>
    <t>Adam (Wiki Ed)</t>
  </si>
  <si>
    <t>77.234.44.145</t>
  </si>
  <si>
    <t>Prof.bgreg</t>
  </si>
  <si>
    <t>Hordaland</t>
  </si>
  <si>
    <t>209.51.93.165</t>
  </si>
  <si>
    <t>Kvng</t>
  </si>
  <si>
    <t>Kander9</t>
  </si>
  <si>
    <t>InternetArchiveBot</t>
  </si>
  <si>
    <t>Grlucas</t>
  </si>
  <si>
    <t>Sheldond51</t>
  </si>
  <si>
    <t>Saguaromelee</t>
  </si>
  <si>
    <t>199.216.220.2</t>
  </si>
  <si>
    <t>Ugion</t>
  </si>
  <si>
    <t>184.100.136.167</t>
  </si>
  <si>
    <t>Clepsydrae</t>
  </si>
  <si>
    <t>Wrixan</t>
  </si>
  <si>
    <t>Taylor.claytonn</t>
  </si>
  <si>
    <t>Ayc8110</t>
  </si>
  <si>
    <t>Christopher.R.Phillips</t>
  </si>
  <si>
    <t>Ivydellis</t>
  </si>
  <si>
    <t>Kamryngood</t>
  </si>
  <si>
    <t>Addisonronk</t>
  </si>
  <si>
    <t>Drkill</t>
  </si>
  <si>
    <t>Kaitlin.hurley</t>
  </si>
  <si>
    <t>Jtopf</t>
  </si>
  <si>
    <t>Kayleyrushin</t>
  </si>
  <si>
    <t>Romhilde</t>
  </si>
  <si>
    <t>Corriebertus</t>
  </si>
  <si>
    <t>Hannahnorred</t>
  </si>
  <si>
    <t>Chaheel Riens</t>
  </si>
  <si>
    <t>Eabenoit</t>
  </si>
  <si>
    <t>148.253.179.58</t>
  </si>
  <si>
    <t>RHcosm</t>
  </si>
  <si>
    <t>Kmcdavi</t>
  </si>
  <si>
    <t>Kseruntine</t>
  </si>
  <si>
    <t>Professorcravens</t>
  </si>
  <si>
    <t>SoMeGuRu</t>
  </si>
  <si>
    <t>Spintendo</t>
  </si>
  <si>
    <t>Psaltele</t>
  </si>
  <si>
    <t>Masonbeck17</t>
  </si>
  <si>
    <t>Jmiragha</t>
  </si>
  <si>
    <t>Kyaw.tony</t>
  </si>
  <si>
    <t>Renamed user 923716947x</t>
  </si>
  <si>
    <t>Jarble</t>
  </si>
  <si>
    <t>Tomeijam</t>
  </si>
  <si>
    <t>Shenshi0603</t>
  </si>
  <si>
    <t>Ishumemon</t>
  </si>
  <si>
    <t>2601:188:180:1481:65F5:930C:B0B2:CD63</t>
  </si>
  <si>
    <t>Alexisgoldye</t>
  </si>
  <si>
    <t>KateKeWu</t>
  </si>
  <si>
    <t>FULBERT</t>
  </si>
  <si>
    <t>Benjamin youngberg</t>
  </si>
  <si>
    <t>Sam Sailor</t>
  </si>
  <si>
    <t>Pcprice28</t>
  </si>
  <si>
    <t>SLS03</t>
  </si>
  <si>
    <t>Amsberry37</t>
  </si>
  <si>
    <t>Ahuet2019</t>
  </si>
  <si>
    <t>Avimanyu786</t>
  </si>
  <si>
    <t>Mensk123</t>
  </si>
  <si>
    <t>Patriciagardener</t>
  </si>
  <si>
    <t>GermanJoe</t>
  </si>
  <si>
    <t>Lowercase sigmabot III</t>
  </si>
  <si>
    <t>Grayfell</t>
  </si>
  <si>
    <t>Sdkb</t>
  </si>
  <si>
    <t>Steel1943</t>
  </si>
  <si>
    <t>Zikhundla125</t>
  </si>
  <si>
    <t>216.165.95.184</t>
  </si>
  <si>
    <t>Jaobar</t>
  </si>
  <si>
    <t>2001:818:E65B:5000:F17A:261D:71BE:622F</t>
  </si>
  <si>
    <t>Kuru</t>
  </si>
  <si>
    <t>Pragmatic2020</t>
  </si>
  <si>
    <t>Acforlando</t>
  </si>
  <si>
    <t>InaKamenova</t>
  </si>
  <si>
    <t>Aaishwar</t>
  </si>
  <si>
    <t>Ninatravassos</t>
  </si>
  <si>
    <t>Keneeso</t>
  </si>
  <si>
    <t>Kiatdd</t>
  </si>
  <si>
    <t>Daleylife</t>
  </si>
  <si>
    <t>Buffaboy</t>
  </si>
  <si>
    <t>Xyxyzyz</t>
  </si>
  <si>
    <t>Nep</t>
  </si>
  <si>
    <t>Mmeiser</t>
  </si>
  <si>
    <t>User-User</t>
  </si>
  <si>
    <t>Discussion</t>
  </si>
  <si>
    <t>Social Media': A marketing buzzword and a neologism (WP:NEO)</t>
  </si>
  <si>
    <t>/* 'Social Media': A marketing buzzword and a neologism (WP:NEO) */</t>
  </si>
  <si>
    <t>/* [[User:Dpm64]]'s improvement, and this article's adventures in the blogs */</t>
  </si>
  <si>
    <t>/* [[User:Dpm64]]'s improvement, and this article's adventures in the blogs */ Comment on WP's blog policy</t>
  </si>
  <si>
    <t>[[Special:Contributions/222.155.173.208|222.155.173.208]] didn't sign: "Miniclip citations"</t>
  </si>
  <si>
    <t>/* Miniclip citations */</t>
  </si>
  <si>
    <t>Miniclip citations</t>
  </si>
  <si>
    <t>Buzz word' Consideration</t>
  </si>
  <si>
    <t>A weak article that lacks reliable sources</t>
  </si>
  <si>
    <t>A valid term that describes a new phenomenon</t>
  </si>
  <si>
    <t>old AFD</t>
  </si>
  <si>
    <t>/* [[OneWorldTV */</t>
  </si>
  <si>
    <t>/* [[OneWorldTV]] */ OneWorldTV lacks general recognition, so it can't be considered a prominent example of social media</t>
  </si>
  <si>
    <t>/* External links */</t>
  </si>
  <si>
    <t>/* External links */ Add content, not links</t>
  </si>
  <si>
    <t>/* Comment by User:Dpeck0404 */ Yes, please, more sources</t>
  </si>
  <si>
    <t>Adding an expert opinion, in true social media fashion</t>
  </si>
  <si>
    <t>Dating comment by [[User:71.232.227.153|71.232.227.153]] - "Adding an expert opinion, in true social media fashion"</t>
  </si>
  <si>
    <t>/* Comment by User:Dpeck0404 */ Not convinced. What do others think?</t>
  </si>
  <si>
    <t>/* Comment by User:Dpeck0404 */</t>
  </si>
  <si>
    <t>/* Comment by User:Dpeck0404 */ Thanks for the quotations</t>
  </si>
  <si>
    <t>Moving some comments into chronological order</t>
  </si>
  <si>
    <t>Added my two cents to gauge consensus on where to go with this WP entry.</t>
  </si>
  <si>
    <t>linking to a short and accurate definition</t>
  </si>
  <si>
    <t>Affirming definition of Kevin Roberts</t>
  </si>
  <si>
    <t>/* Defining Social Media */</t>
  </si>
  <si>
    <t>Apologies if I've not discussed in correct format, I'm not an editor here.</t>
  </si>
  <si>
    <t>cleaning up</t>
  </si>
  <si>
    <t>reasons why current summary and citations should be removed and reverted to previous version</t>
  </si>
  <si>
    <t>edit comment for tone</t>
  </si>
  <si>
    <t>Replied to Mystalic's thoughts on definition</t>
  </si>
  <si>
    <t>Signing comment by [[User:Mystalic|Mystalic]] - ""</t>
  </si>
  <si>
    <t>/* Proposal for Definition/new first paragraph for Social Media */</t>
  </si>
  <si>
    <t>/* Redefining Social Media */</t>
  </si>
  <si>
    <t>/* New Content to Consider */ new section</t>
  </si>
  <si>
    <t>/* New Content to Consider */</t>
  </si>
  <si>
    <t>Signing comment by [[Special:Contributions/85.147.221.156|85.147.221.156]] - ""</t>
  </si>
  <si>
    <t>/* Social media is a buzz but also a change in media */</t>
  </si>
  <si>
    <t>/* Sources not meeting WP:RS */ new section</t>
  </si>
  <si>
    <t>Untag (wp dead)</t>
  </si>
  <si>
    <t>/* Sources not meeting WP:RS */</t>
  </si>
  <si>
    <t>/* List of Social media application */</t>
  </si>
  <si>
    <t>/* It's not that hard to define this term */</t>
  </si>
  <si>
    <t>/* List of Social media applications */</t>
  </si>
  <si>
    <t>/* Definition proposal */ new section</t>
  </si>
  <si>
    <t>Signing comment by [[User:Sabrina111|Sabrina111]] - "/* Definition proposal */ new section"</t>
  </si>
  <si>
    <t>/* Business use */ new section</t>
  </si>
  <si>
    <t>/* Business use */ comment on discussion topic</t>
  </si>
  <si>
    <t>/* Addition of  Section "Social Media Use in Business" */ responded to request-edit</t>
  </si>
  <si>
    <t>/* Social TV seen as emerging market by CES 2010  */ new section</t>
  </si>
  <si>
    <t>Signing comment by [[User:Amordi|Amordi]] - "/* Social TV seen as emerging market by CES 2010  */ new section"</t>
  </si>
  <si>
    <t>/* Addition of  Section "Social Media Use in Business"  */ new section</t>
  </si>
  <si>
    <t>/* Addition of  Section "Social Media Use in Business" */</t>
  </si>
  <si>
    <t>wp tags</t>
  </si>
  <si>
    <t>Another editor removed edits without discussion for reasons that don't make sense to me.</t>
  </si>
  <si>
    <t>/* Removal of Edits Without Discussion Claiming Poor Source? (PRJournal.org and European Journal on Social Pyschology) */</t>
  </si>
  <si>
    <t>/* Removal of Edits Without Discussion Claiming Poor Source? */  Removal does not seem justified</t>
  </si>
  <si>
    <t>/* Definition proposal */</t>
  </si>
  <si>
    <t>Signing comment by [[User:Rdjfraser|Rdjfraser]] - ""</t>
  </si>
  <si>
    <t>Subst: {{unsigned}}  (&amp; regularise templates)</t>
  </si>
  <si>
    <t>/* Definition proposal */ Adding second source for definition</t>
  </si>
  <si>
    <t>/* Keeping Examples of Tools Up to Date */</t>
  </si>
  <si>
    <t>Signing comment by [[User:Brian.Rainbow|Brian.Rainbow]] - "/* Keeping Examples of Tools Up to Date */"</t>
  </si>
  <si>
    <t>/* A weak article that lacks reliable sources */</t>
  </si>
  <si>
    <t>/* Maintaining a depth in this discussion of social media */</t>
  </si>
  <si>
    <t>/* Wiki Project classification */ new section</t>
  </si>
  <si>
    <t>/* User:Dpm64's improvement, and this article's adventures in the blogs */ added comment</t>
  </si>
  <si>
    <t>Signing comment by [[User:Elinruby|Elinruby]] - "/* User:Dpm64's improvement, and this article's adventures in the blogs */ added comment"</t>
  </si>
  <si>
    <t>/* Dubious */ new section</t>
  </si>
  <si>
    <t>/* Dubious */ Self-reference  &amp; social media.</t>
  </si>
  <si>
    <t>Notification of possible deletion of File:SocialMediaVennDiagram.jpg (Version [[User:CommonsNotificationBot/changelog|r82]])</t>
  </si>
  <si>
    <t>/* NIP by Dr Hassan Anjum Shahid */ new section</t>
  </si>
  <si>
    <t>Signing comment by [[Special:Contributions/119.154.70.165|119.154.70.165]] - "/* NIP by Dr Hassan Anjum Shahid */ new section"</t>
  </si>
  <si>
    <t>/* NIP by Dr Hassan Anjum Shahid */ removing irrelevant advert</t>
  </si>
  <si>
    <t>/* A proposal to fix buzzword bingo land */ new section</t>
  </si>
  <si>
    <t>/* A proposal to fix buzzword bingo land */ response</t>
  </si>
  <si>
    <t>/* A proposal to fix buzzword bingo land */</t>
  </si>
  <si>
    <t>/* A proposal to fix buzzword bingo land */ Agree.</t>
  </si>
  <si>
    <t>Notification of possible deletion of [[File:Social Web Share Buttons.png]] ([[User_talk:ErrantX|feedback]], Version [[User:CommonsNotificationBot/changelog|r97]])</t>
  </si>
  <si>
    <t>should social media loneliness get its own article?</t>
  </si>
  <si>
    <t>Signing comment by [[User:Groupuscule|Groupuscule]] - "should social media loneliness get its own article?"</t>
  </si>
  <si>
    <t>/* Notable influencers section may be biased? */ new section</t>
  </si>
  <si>
    <t>archiving. left all 2012 stuff.</t>
  </si>
  <si>
    <t>/* Notable influencers section may be biased? */ cmt</t>
  </si>
  <si>
    <t>/* Notable influencers section may be biased? */</t>
  </si>
  <si>
    <t>/* Inaccuracies/poor writing in the Mobile Social Media section */ new section</t>
  </si>
  <si>
    <t>/* Inaccuracies/poor writing in the Mobile Social Media section */</t>
  </si>
  <si>
    <t>Signing comment by [[User:Davefilms|Davefilms]] - "/* Inaccuracies/poor writing in the Mobile Social Media section */"</t>
  </si>
  <si>
    <t>/* Classification of Social Media */</t>
  </si>
  <si>
    <t>Signing comment by [[User:ErickS-NJITWILL|ErickS-NJITWILL]] - "/* Classification of Social Media */"</t>
  </si>
  <si>
    <t>/* Notes */</t>
  </si>
  <si>
    <t>/* Proposed Changes */</t>
  </si>
  <si>
    <t>correcting value of {{{term}}} per [[Template:WAP assignment/doc]] using [[Project:AWB|AWB]]</t>
  </si>
  <si>
    <t>Reverted [[WP:AGF|good faith]] edits by [[Special:Contributions/68.123.236.177|68.123.236.177]] ([[User talk:68.123.236.177|talk]]): Not a forum. ([[WP:TW|TW]])</t>
  </si>
  <si>
    <t>/* Inaccuracies/poor writing in the Mobile Social Media section */ trimmed long line to eliminate horizontal scrolling</t>
  </si>
  <si>
    <t>/* south african liberalism */ new section</t>
  </si>
  <si>
    <t>Reverted 1 edit by [[Special:Contributions/146.141.1.92|146.141.1.92]] ([[User talk:146.141.1.92|talk]]): [[WP:NOTAFORUM]]. ([[WP:TW|TW]])</t>
  </si>
  <si>
    <t>/* Reason for edits */ new section</t>
  </si>
  <si>
    <t>added phishing block</t>
  </si>
  <si>
    <t>/* phishing link in the footer */</t>
  </si>
  <si>
    <t>Reverted 3 edits by [[Special:Contributions/210.23.25.13|210.23.25.13]] ([[User talk:210.23.25.13|talk]]). ([[WP:TW|TW]])</t>
  </si>
  <si>
    <t>/* Adding infomation on Privacy and Employers */ new section</t>
  </si>
  <si>
    <t>/* Adding infomation on Privacy and Employers */</t>
  </si>
  <si>
    <t>Revert to revision 572669245 dated 2013-09-12 20:38:36 by Clhenderson99 using [[:en:Wikipedia:Tools/Navigation_popups|popups]]</t>
  </si>
  <si>
    <t>Reverted 1 edit by [[Special:Contributions/92.24.201.188|92.24.201.188]] ([[User talk:92.24.201.188|talk]]) to last revision by ElKevbo. ([[WP:TW|TW]])</t>
  </si>
  <si>
    <t>Signing comment by [[Special:Contributions/70.195.192.68|70.195.192.68]] - ""</t>
  </si>
  <si>
    <t>added {{[[Template:Vital article|Vital article]]}}</t>
  </si>
  <si>
    <t>/* Are moderated web forums and groups part of social media? */ new section</t>
  </si>
  <si>
    <t>/* Links */ request to delete</t>
  </si>
  <si>
    <t>/* Links */</t>
  </si>
  <si>
    <t>Signing comment by [[User:Geekpie|Geekpie]] - ""</t>
  </si>
  <si>
    <t>/* Social media definition */ added new post about including names in paragraph one of the definition.</t>
  </si>
  <si>
    <t>Signing comment by [[Special:Contributions/2604:2000:107E:407E:752E:3268:9074:E06|2604:2000:107E:407E:752E:3268:9074:E06]] - "/* Social media definition */ added new post about including names in paragraph one of the definition."</t>
  </si>
  <si>
    <t>/* nitin gadgare ka bayan */ new section</t>
  </si>
  <si>
    <t>Signing comment by [[Special:Contributions/180.215.137.233|180.215.137.233]] - ""</t>
  </si>
  <si>
    <t>/* Links */ new section</t>
  </si>
  <si>
    <t>Reverted to revision 604597234 by [[Special:Contributions/SineBot|SineBot]] ([[User talk:SineBot|talk]]): Rm unrelated commentary in (possibly) Hindi. ([[WP:TW|TW]])</t>
  </si>
  <si>
    <t>/* Ram Dev  */ new section</t>
  </si>
  <si>
    <t>Signing comment by [[User:Akmuslimeen|Akmuslimeen]] - "/* Ram Dev  */ new section"</t>
  </si>
  <si>
    <t>/* top */ Now "C" class</t>
  </si>
  <si>
    <t>Moved [[Template:Course assignment]] from article space</t>
  </si>
  <si>
    <t>/* Ram Dev */</t>
  </si>
  <si>
    <t>wproject</t>
  </si>
  <si>
    <t>/* Social media definition */</t>
  </si>
  <si>
    <t>/* Social media definition = */</t>
  </si>
  <si>
    <t>/*  Limits of  Free Speech - Not All Charlie Now? */ new section</t>
  </si>
  <si>
    <t>Signing comment by [[Special:Contributions/80.44.106.42|80.44.106.42]] - "/*  Limits of  Free Speech - Not All Charlie Now? */ new section"</t>
  </si>
  <si>
    <t>/* Social Media &amp; Loneliness */</t>
  </si>
  <si>
    <t>Signing comment by [[Special:Contributions/80.44.105.37|80.44.105.37]] - "/* Social Media &amp; Loneliness */"</t>
  </si>
  <si>
    <t>/* Limits of  Free Speech - Not All Charlie Now? */ rm, no obvious relevance to this article.  [[WP:NOTFORUM]]</t>
  </si>
  <si>
    <t>Assessment: +Internet culture: importance=Top, class=C ([[User:Kephir/gadgets/rater|assisted]])</t>
  </si>
  <si>
    <t>/* On October 2, 2013, the most common hashtag throughout the country was “#governmentshutdown,” */ reply</t>
  </si>
  <si>
    <t>/* Undue weight */ (passing the buck)</t>
  </si>
  <si>
    <t>/* Undue weight */ thx!</t>
  </si>
  <si>
    <t>/* Undue weight */ new section</t>
  </si>
  <si>
    <t>Just commenting on the inappropriate image at the top of the article, which should be updated.</t>
  </si>
  <si>
    <t>/* Proposed Changes */ re (and moved comment to the right place)</t>
  </si>
  <si>
    <t>/* wikipedia assignment: social media trustworthy */ new section</t>
  </si>
  <si>
    <t>Signing comment by [[Special:Contributions/104.172.111.184|104.172.111.184]] - "/* wikipedia assignment: social media trustworthy */ new section"</t>
  </si>
  <si>
    <t>/* Dopamine levels affected by social media  */ new section</t>
  </si>
  <si>
    <t>/* First use of term */ new section</t>
  </si>
  <si>
    <t>assess for [[WP:WikiProject Marketing &amp; Advertising]]</t>
  </si>
  <si>
    <t>oops</t>
  </si>
  <si>
    <t>Signing comment by [[Special:Contributions/74.62.206.151|74.62.206.151]] - ""</t>
  </si>
  <si>
    <t>/* History Section */ new section</t>
  </si>
  <si>
    <t>Signing comment by [[User:Knhende2|Knhende2]] - "/* History Section */ new section"</t>
  </si>
  <si>
    <t>Update [[Wikipedia:Wiki_Ed/Canisius_College/EDU122_(Spring_2016)|EDU122]] assignment details</t>
  </si>
  <si>
    <t>/* Social Media as a Alternate Reality */ new section</t>
  </si>
  <si>
    <t>/* Social Media as a Alternate Reality */</t>
  </si>
  <si>
    <t>/* Social Media as an Alternate Reality */ reply</t>
  </si>
  <si>
    <t>Update [[Wikipedia:Wiki_Ed/Salem_State_University/Media_Literacy_(Summer_2016)|Media Literacy]] assignment details</t>
  </si>
  <si>
    <t>/* Concentration */ new section</t>
  </si>
  <si>
    <t>Signing comment by [[Special:Contributions/78.171.130.160|78.171.130.160]] - "/* Concentration */ new section"</t>
  </si>
  <si>
    <t>Update [[Wikipedia:Wiki_Ed/Univ/Writing_in_Women's_and_Gender_Studies_(F)|Writing in Women's and Gender Studies]] assignment details</t>
  </si>
  <si>
    <t>Added a possible major contribution</t>
  </si>
  <si>
    <t>added sources</t>
  </si>
  <si>
    <t>what I'm changing</t>
  </si>
  <si>
    <t>formatting</t>
  </si>
  <si>
    <t>Signing comment by [[User:Hoffma51|Hoffma51]] - ""</t>
  </si>
  <si>
    <t>/* Updating definition */ - split out a section "Could be easier to understand"</t>
  </si>
  <si>
    <t>/* Could be easier to understand (was "Privacy") */ add a note.</t>
  </si>
  <si>
    <t>suggestion for editting</t>
  </si>
  <si>
    <t>/* "Privacy") */</t>
  </si>
  <si>
    <t>''Comment to Danielleee g'''</t>
  </si>
  <si>
    <t>Logged in to link comment to account</t>
  </si>
  <si>
    <t>/* Addition to Negative Effects */ added {reflist}</t>
  </si>
  <si>
    <t>use reflist-talk instead</t>
  </si>
  <si>
    <t>/* Higher resolution of the top image? */ new section</t>
  </si>
  <si>
    <t>Reliability of article published by David Publishing</t>
  </si>
  <si>
    <t>/* Why this wikipedia is work for my Argument Essay? */ new section</t>
  </si>
  <si>
    <t>Signing comment by [[Special:Contributions/209.51.93.165|209.51.93.165]] - "/* Why this wikipedia is work for my Argument Essay? */ new section"</t>
  </si>
  <si>
    <t>Assessment: Computing: importance=Mid; Internet: importance=High ([[User:Kephir/gadgets/rater|assisted]])</t>
  </si>
  <si>
    <t>/* User Talk: kander9 */ new section</t>
  </si>
  <si>
    <t>/* User Talk: kander9 */</t>
  </si>
  <si>
    <t>Notification of altered sources needing review #IABot (v1.4beta) ([[User:Josve05a|Josve05a]])</t>
  </si>
  <si>
    <t>Update [[Wikipedia:Wiki_Ed/Middle_Georgia_State_University/New_Media_(Fall_2017)|New Media]] assignment details</t>
  </si>
  <si>
    <t>Update [[Wikipedia:Wiki_Ed/Cornell_University/BIOG3500_Applied_Science_Communication_(Fall_2017)|BIOG3500 Applied Science Communication]] assignment details</t>
  </si>
  <si>
    <t>Reverted 1 edit by [[Special:Contributions/199.216.220.2|199.216.220.2]] ([[User talk:199.216.220.2|talk]]) to last revision by Sheldond51. ([[WP:TW|TW]])</t>
  </si>
  <si>
    <t>/* External links modified */</t>
  </si>
  <si>
    <t>Signing comment by [[Special:Contributions/184.100.136.167|184.100.136.167]] - "/* External links modified */"</t>
  </si>
  <si>
    <t>Notification of altered sources needing review #IABot (v1.6.2) ([[User:Balon Greyjoy|Balon Greyjoy]])</t>
  </si>
  <si>
    <t>/* History Section */</t>
  </si>
  <si>
    <t>simple statement of intent to start working on this article.</t>
  </si>
  <si>
    <t>/* Article Updates */</t>
  </si>
  <si>
    <t>/* Errant and wanton use of the "does not cite any sources" tag */</t>
  </si>
  <si>
    <t>Update [[Wikipedia:Wiki_Ed/University_of_Maryland/Digital_Rhetorics_(Spring_2018)|Digital Rhetorics]] assignment details</t>
  </si>
  <si>
    <t>Update [[Wikipedia:Wiki_Ed/Tulsa_Community_College/English_1213,_Section_621_(Spring_2018)|English 1213, Section 621]] assignment details</t>
  </si>
  <si>
    <t>/* Evaluation of the article */ new section</t>
  </si>
  <si>
    <t>Update [[Wikipedia:Wiki_Ed/Tulsa_Community_College/English_1213,_Section_642_(Spring_2018)|English 1213, Section 642]] assignment details</t>
  </si>
  <si>
    <t>/* Internet usage effects */</t>
  </si>
  <si>
    <t>I asked a question and left a note.</t>
  </si>
  <si>
    <t>Dating comment by [[User:Kaitlin.hurley|Kaitlin.hurley]] - "I asked a question and left a note."</t>
  </si>
  <si>
    <t>Signing comment by [[User:Jtopf|Jtopf]] - "/* Social media definition */"</t>
  </si>
  <si>
    <t>/* Evaluation of the article */</t>
  </si>
  <si>
    <t>/* Social Media &amp; Loneliness */ expressed agreement</t>
  </si>
  <si>
    <t>/* Major reorganization */ new section</t>
  </si>
  <si>
    <t>/* Merging 'social networking service' and 'social media' */</t>
  </si>
  <si>
    <t>/* Merging 'social networking service' and 'social media' */ Responded with clarification on earlier ideas</t>
  </si>
  <si>
    <t>Update [[Wikipedia:Wiki_Ed/Louisiana_State_University/Introduction_to_Information_and_Society_(Fall_2018)|Introduction to Information and Society]] assignment details</t>
  </si>
  <si>
    <t>let's get some order here.</t>
  </si>
  <si>
    <t>[[WP:AES|←]]Replaced content with 'g'</t>
  </si>
  <si>
    <t>Reverted edits by [[Special:Contribs/148.253.179.58|148.253.179.58]] ([[User talk:148.253.179.58|talk]]) to last version by Eabenoit</t>
  </si>
  <si>
    <t>Update [[Wikipedia:Wiki_Ed/Bowling_Green_State_University/Public_Opinion_and_Voting_Behavior_(Fall_2018)|Public Opinion and Voting Behavior]] assignment details</t>
  </si>
  <si>
    <t>/* Addition  */ new section</t>
  </si>
  <si>
    <t>/* Reply 31-OCT-2018 */</t>
  </si>
  <si>
    <t>COI edit request answered.</t>
  </si>
  <si>
    <t>/* Some proposed changes */ Suggestion</t>
  </si>
  <si>
    <t>/* Some proposed changes */</t>
  </si>
  <si>
    <t>Update [[Wikipedia:Wiki_Ed/George_Washington_University/AmWriting_Fall_2018_M_75_(Fall_2018)|AmWriting Fall 2018 M 75]] assignment details</t>
  </si>
  <si>
    <t>Update [[Wikipedia:Wiki_Ed/San_Diego_State_University/ED690_Methods_of_Inquiry_(Fall_2018)|ED690 Methods of Inquiry]] assignment details</t>
  </si>
  <si>
    <t>/* removal of tags */ new section</t>
  </si>
  <si>
    <t>/* Political Polarization */ new section</t>
  </si>
  <si>
    <t>/* Political Polarization */</t>
  </si>
  <si>
    <t>Suggestion of new page</t>
  </si>
  <si>
    <t>/* Suggestion for new page: Social Media Addiction */</t>
  </si>
  <si>
    <t>Update [[Wikipedia:Wiki_Ed/Palm_Beach_State_College/SPC_1017_Honors_(Spring)|SPC 1017 Honors]] assignment details</t>
  </si>
  <si>
    <t>Update [[Wikipedia:Wiki_Ed/New_York_University/Research_Process_and_Methodology_-_RPM_SP_1_2019_(Spring_1)|Research Process and Methodology - RPM SP 1 2019]] assignment details</t>
  </si>
  <si>
    <t>/* External links modified (January 2018) */</t>
  </si>
  <si>
    <t>Undid revision 889303306 by [[Special:Contributions/Ishumemon|Ishumemon]] ([[User talk:Ishumemon|talk]])</t>
  </si>
  <si>
    <t>Update [[Wikipedia:Wiki_Ed/Indiana_University_of_Pennsylvania/English_101,_Section_2_(Spring_2019)|English 101, Section 2]] assignment details</t>
  </si>
  <si>
    <t>Update [[Wikipedia:Wiki_Ed/New_York_University/Research_Process_and_Methodology_-_RPM_SP_2_2019_(Spring_2)|Research Process and Methodology - RPM SP 2 2019]] assignment details</t>
  </si>
  <si>
    <t>Update [[Wikipedia:Wiki_Ed/Rowan_College_at_Burlington_County/Society,_Ethics,_and_Technology_(Summer)|Society, Ethics, and Technology]] assignment details</t>
  </si>
  <si>
    <t>Setting up [[User:ClueBot III|ClueBot III]] to [[Help:Archiving a talk page|automatically archive this page]] per [[WP:TALKCOND]], modify as needed + {{[[Template:Oca|Oca]]}} + adding {{[[Template:Annual readership|Annual readership]]}}.</t>
  </si>
  <si>
    <t>Update [[Wikipedia:Wiki_Ed/California_State_University,_Fresno/Psych_244_-_Research_Methods_(Fall_2019)|Psych 244 - Research Methods]] assignment details</t>
  </si>
  <si>
    <t>Update [[Wikipedia:Wiki_Ed/Florida_Atlantic_University/Special_Topics_College_Writing_II_(Fall_2019)|Special Topics College Writing II]] assignment details</t>
  </si>
  <si>
    <t>/* Addition of an image for mental health effects */ new section</t>
  </si>
  <si>
    <t>Signing comment by [[User:Avimanyu786|Avimanyu786]] - "/* Addition of an image for mental health effects */ new section"</t>
  </si>
  <si>
    <t>/* Addition of an image for mental health effects */</t>
  </si>
  <si>
    <t>Update [[Wikipedia:Wiki_Ed/Hunter_College,_CUNY/Critical_and_feminist_methodologies_-_Editing_Wikipedia_(Fall_2019)|Critical and feminist methodologies - Editing Wikipedia]] assignment details</t>
  </si>
  <si>
    <t>spam</t>
  </si>
  <si>
    <t>/* Addition of an image for mental health effects */  re - some thoughts and background info for image usage</t>
  </si>
  <si>
    <t>chg - these archive settings do not work (for whatever reason), replacing them with functional settings from my own talkpage</t>
  </si>
  <si>
    <t>Archive failure: ceterach.exceptions.EditError: 'spamblacklist': CeterachError('Your edit was not saved because it contains a new external link to a [[Wikipedia:Spam blacklist|site registered on Wikipedia\'s blacklist]]. * \'\'\'To save your changes now\'\'\', you must go back and \'\'remove the blocked link\'\' (shown below), and then save. **Note that if you used a redirection link or [[URL shortening|URL shortener]] (like e.g. \'\'\'goo.gl\'\'\', \'\'\'t.co\'\'\', \'\'\'youtu.be\'\'\', \'\...</t>
  </si>
  <si>
    <t>Archiving 13 discussion(s) to [[Talk:Social media/Archive 2]]) (bot</t>
  </si>
  <si>
    <t>/* Adding infomation on Privacy and Employers */  Unsigned template for old comment</t>
  </si>
  <si>
    <t>[[User:Technical 13/1CA|OneClickArchiver]] archived [[Special:Diff/923212987|1 Adding infomation on Privacy and Employers]] to [[Talk:Social media/Archive 2#1 Adding infomation on Privacy and Employers|Talk:Social media/Archive 2]]</t>
  </si>
  <si>
    <t>/* Image for intro */ new section</t>
  </si>
  <si>
    <t>/* top */fix name of archiving bot, replaced: |bot=MiszaBot III → |bot=Lowercase sigmabot III</t>
  </si>
  <si>
    <t>/* Contributions */ new section</t>
  </si>
  <si>
    <t>/* Modification in Characteristics of Social Media */ new section</t>
  </si>
  <si>
    <t>Signing comment by [[Special:Contributions/216.165.95.184|216.165.95.184]] - "/* Modification in Characteristics of Social Media */ new section"</t>
  </si>
  <si>
    <t>/* Updating definition */ new section</t>
  </si>
  <si>
    <t>Archiving 2 discussion(s) to [[Talk:Social media/Archive 2]]) (bot</t>
  </si>
  <si>
    <t>O SACO DO GATO EU NUYgfhduysgdyIGYEUEGDYDGFYDGFHDGFHGDHFGHDGFHDGFHGDGFHGFHDGFHDGFHDGFHDGFHDGFHDGHFGHDGFHDGFHDGFHDGFHDGFHDGHFGDHFGHDGFHDGFGHDGFHDGFHDGFGDHFGDHGFHDGFHGDHFGDHGFDHGFHDGFHDGFHGHFGDHGFHDGFHO SACO DO GATO EU NUYgfhduysgdyIGYEUEGDYDGFYDGFHDGFHGDHFGHDGFHDGFHGDGFHGFHDGFHDGFHDGFHDGFHDGFHDGHFGHDGFHDGFHDGFHDGFHDGFHDGHFGDHFGHDGFHDGFGHDGFHDGFHDGFGDHFGDHGFHDGFHGDHFGDHGFDHGFHDGFHDGFHGHFGDHGFHDGFHO SACO DO GATO EU NUYgfhduysgdyIGYEUEGDYDGFYDGFHDGFHGDHFGHDGFHDGFHGDGFHGFHDGFHDGFHDGFHDGFHDGFHDGHFGHDG</t>
  </si>
  <si>
    <t>Reverted edits by [[Special:Contribs/2001:818:E65B:5000:F17A:261D:71BE:622F|2001:818:E65B:5000:F17A:261D:71BE:622F]] ([[User talk:2001:818:E65B:5000:F17A:261D:71BE:622F|talk]]) to last version by Jaobar</t>
  </si>
  <si>
    <t>Update [[Wikipedia:Wiki_Ed/University_of_Massachusetts_Lowell/Qualitative_Research_Advanced_Topics_(Spring_2020)|Qualitative Research Advanced Topics]] assignment details</t>
  </si>
  <si>
    <t>/* Modification in Characteristics of Social Media */</t>
  </si>
  <si>
    <t>Update [[Wikipedia:Wiki_Ed/Simon_Fraser_University/News_Media,_the_Public_and_Democracy_(Spring)|News Media, the Public and Democracy]] assignment details</t>
  </si>
  <si>
    <t>/* List of Social Media frauds? */ new section</t>
  </si>
  <si>
    <t>/* History of Social Media */ new section</t>
  </si>
  <si>
    <t>/* History of Social Media */</t>
  </si>
  <si>
    <t>/* Merge proposal */ new section</t>
  </si>
  <si>
    <t>/* Merge proposal */ sign</t>
  </si>
  <si>
    <t>/* Merge proposal */</t>
  </si>
  <si>
    <t>Social media injuries and deaths in Social impacts</t>
  </si>
  <si>
    <t>/* Social Impacts */ changed idea.</t>
  </si>
  <si>
    <t>Custom Menu Item Text</t>
  </si>
  <si>
    <t>Custom Menu Item Action</t>
  </si>
  <si>
    <t>Vertex Type</t>
  </si>
  <si>
    <t>Content</t>
  </si>
  <si>
    <t>Age</t>
  </si>
  <si>
    <t>Gini Coefficient</t>
  </si>
  <si>
    <t>Nr Revisions</t>
  </si>
  <si>
    <t>URL</t>
  </si>
  <si>
    <t>Open Wiki Page for This User</t>
  </si>
  <si>
    <t>http://en.wikipedia.org/wiki/User:Fish and karate</t>
  </si>
  <si>
    <t>http://en.wikipedia.org/wiki/User:Sd ca</t>
  </si>
  <si>
    <t>http://en.wikipedia.org/wiki/User:Armin B. Wagner~enwiki</t>
  </si>
  <si>
    <t>http://en.wikipedia.org/wiki/User:New World Tech Girl</t>
  </si>
  <si>
    <t>http://en.wikipedia.org/wiki/User:Tom Morris</t>
  </si>
  <si>
    <t>http://en.wikipedia.org/wiki/User:Alan Liefting</t>
  </si>
  <si>
    <t>http://en.wikipedia.org/wiki/User:Linds e m</t>
  </si>
  <si>
    <t>http://en.wikipedia.org/wiki/User:JET theUFO</t>
  </si>
  <si>
    <t>http://en.wikipedia.org/wiki/User:John Broughton</t>
  </si>
  <si>
    <t>http://en.wikipedia.org/wiki/User:General Ization</t>
  </si>
  <si>
    <t>http://en.wikipedia.org/wiki/User:Fayenatic london</t>
  </si>
  <si>
    <t>http://en.wikipedia.org/wiki/User:Danielleee g</t>
  </si>
  <si>
    <t>http://en.wikipedia.org/wiki/User:Yahya Abdal-Aziz</t>
  </si>
  <si>
    <t>http://en.wikipedia.org/wiki/User:Adam (Wiki Ed)</t>
  </si>
  <si>
    <t>http://en.wikipedia.org/wiki/User:Chaheel Riens</t>
  </si>
  <si>
    <t>http://en.wikipedia.org/wiki/User:Renamed user 923716947x</t>
  </si>
  <si>
    <t>http://en.wikipedia.org/wiki/User:Benjamin youngberg</t>
  </si>
  <si>
    <t>http://en.wikipedia.org/wiki/User:Sam Sailor</t>
  </si>
  <si>
    <t>http://en.wikipedia.org/wiki/User:Lowercase sigmabot III</t>
  </si>
  <si>
    <t>Editor</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</si>
  <si>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</si>
  <si>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</si>
  <si>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</si>
  <si>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</si>
  <si>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</si>
  <si>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</si>
  <si>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</si>
  <si>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</si>
  <si>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</si>
  <si>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</si>
  <si>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</si>
  <si>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</si>
  <si>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</si>
  <si>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</si>
  <si>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</si>
  <si>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</si>
  <si>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</si>
  <si>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</si>
  <si>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</si>
  <si>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</si>
  <si>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</si>
  <si>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</si>
  <si>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</si>
  <si>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</si>
  <si>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</si>
  <si>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</si>
  <si>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</si>
  <si>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</si>
  <si>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</si>
  <si>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</si>
  <si>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</si>
  <si>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</si>
  <si>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</si>
  <si>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</si>
  <si>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</si>
  <si>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</si>
  <si>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media</t>
  </si>
  <si>
    <t>social</t>
  </si>
  <si>
    <t>special</t>
  </si>
  <si>
    <t>'</t>
  </si>
  <si>
    <t>definition</t>
  </si>
  <si>
    <t>research</t>
  </si>
  <si>
    <t>buzzword</t>
  </si>
  <si>
    <t>reverted</t>
  </si>
  <si>
    <t>fall_2018</t>
  </si>
  <si>
    <t>'social</t>
  </si>
  <si>
    <t>fix</t>
  </si>
  <si>
    <t>changes</t>
  </si>
  <si>
    <t>addition</t>
  </si>
  <si>
    <t>sources</t>
  </si>
  <si>
    <t>topics</t>
  </si>
  <si>
    <t>image</t>
  </si>
  <si>
    <t>external</t>
  </si>
  <si>
    <t>fall_2019</t>
  </si>
  <si>
    <t>society</t>
  </si>
  <si>
    <t>bingo</t>
  </si>
  <si>
    <t>land</t>
  </si>
  <si>
    <t>public</t>
  </si>
  <si>
    <t>privacy</t>
  </si>
  <si>
    <t>writing</t>
  </si>
  <si>
    <t>media'</t>
  </si>
  <si>
    <t>term</t>
  </si>
  <si>
    <t>bot</t>
  </si>
  <si>
    <t>spring</t>
  </si>
  <si>
    <t>university_of_massachusetts_lowell</t>
  </si>
  <si>
    <t>qualitative_research_advanced_topics_</t>
  </si>
  <si>
    <t>spring_2020</t>
  </si>
  <si>
    <t>qualitative</t>
  </si>
  <si>
    <t>advanced</t>
  </si>
  <si>
    <t>165</t>
  </si>
  <si>
    <t>184</t>
  </si>
  <si>
    <t>template</t>
  </si>
  <si>
    <t>2018</t>
  </si>
  <si>
    <t>effects</t>
  </si>
  <si>
    <t>methods</t>
  </si>
  <si>
    <t>loneliness</t>
  </si>
  <si>
    <t>92</t>
  </si>
  <si>
    <t>poor</t>
  </si>
  <si>
    <t>history</t>
  </si>
  <si>
    <t>simon_fraser_university</t>
  </si>
  <si>
    <t>news_media</t>
  </si>
  <si>
    <t>_the_public_and_democracy_</t>
  </si>
  <si>
    <t>news</t>
  </si>
  <si>
    <t>democracy</t>
  </si>
  <si>
    <t>216</t>
  </si>
  <si>
    <t>13</t>
  </si>
  <si>
    <t>infomation</t>
  </si>
  <si>
    <t>employers</t>
  </si>
  <si>
    <t>modified</t>
  </si>
  <si>
    <t>revision</t>
  </si>
  <si>
    <t>spring_2018</t>
  </si>
  <si>
    <t>fall_2017</t>
  </si>
  <si>
    <t>68</t>
  </si>
  <si>
    <t>improvement</t>
  </si>
  <si>
    <t>article's</t>
  </si>
  <si>
    <t>adventures</t>
  </si>
  <si>
    <t>blogs</t>
  </si>
  <si>
    <t>business</t>
  </si>
  <si>
    <t>citations</t>
  </si>
  <si>
    <t>merge</t>
  </si>
  <si>
    <t>list</t>
  </si>
  <si>
    <t>iii</t>
  </si>
  <si>
    <t>note</t>
  </si>
  <si>
    <t>mental</t>
  </si>
  <si>
    <t>health</t>
  </si>
  <si>
    <t>california_state_university</t>
  </si>
  <si>
    <t>_fresno</t>
  </si>
  <si>
    <t>psych_244_</t>
  </si>
  <si>
    <t>_research_methods_</t>
  </si>
  <si>
    <t>psych</t>
  </si>
  <si>
    <t>244</t>
  </si>
  <si>
    <t>english</t>
  </si>
  <si>
    <t>removal</t>
  </si>
  <si>
    <t>merging</t>
  </si>
  <si>
    <t>networking</t>
  </si>
  <si>
    <t>service'</t>
  </si>
  <si>
    <t>opinion</t>
  </si>
  <si>
    <t>louisiana_state_university</t>
  </si>
  <si>
    <t>introduction_to_information_and_society_</t>
  </si>
  <si>
    <t>introduction</t>
  </si>
  <si>
    <t>information</t>
  </si>
  <si>
    <t>middle_georgia_state_university</t>
  </si>
  <si>
    <t>new_media_</t>
  </si>
  <si>
    <t>notification</t>
  </si>
  <si>
    <t>marketing</t>
  </si>
  <si>
    <t>80</t>
  </si>
  <si>
    <t>44</t>
  </si>
  <si>
    <t>paragraph</t>
  </si>
  <si>
    <t>classification</t>
  </si>
  <si>
    <t>70</t>
  </si>
  <si>
    <t>notable</t>
  </si>
  <si>
    <t>influencers</t>
  </si>
  <si>
    <t>biased</t>
  </si>
  <si>
    <t>inaccuracies</t>
  </si>
  <si>
    <t>mobile</t>
  </si>
  <si>
    <t>hard</t>
  </si>
  <si>
    <t>define</t>
  </si>
  <si>
    <t>buzz</t>
  </si>
  <si>
    <t>dpeck0404</t>
  </si>
  <si>
    <t>modification</t>
  </si>
  <si>
    <t>characteristics</t>
  </si>
  <si>
    <t>2001</t>
  </si>
  <si>
    <t>818</t>
  </si>
  <si>
    <t>e65b</t>
  </si>
  <si>
    <t>5000</t>
  </si>
  <si>
    <t>f17a</t>
  </si>
  <si>
    <t>261d</t>
  </si>
  <si>
    <t>71be</t>
  </si>
  <si>
    <t>622f</t>
  </si>
  <si>
    <t>saco</t>
  </si>
  <si>
    <t>gato</t>
  </si>
  <si>
    <t>eu</t>
  </si>
  <si>
    <t>'s</t>
  </si>
  <si>
    <t>january</t>
  </si>
  <si>
    <t>work</t>
  </si>
  <si>
    <t>new_york_university</t>
  </si>
  <si>
    <t>research_process_and_methodology_</t>
  </si>
  <si>
    <t>process</t>
  </si>
  <si>
    <t>methodology</t>
  </si>
  <si>
    <t>rpm</t>
  </si>
  <si>
    <t>sp</t>
  </si>
  <si>
    <t>2019</t>
  </si>
  <si>
    <t>ishumemon</t>
  </si>
  <si>
    <t>148</t>
  </si>
  <si>
    <t>253</t>
  </si>
  <si>
    <t>179</t>
  </si>
  <si>
    <t>58</t>
  </si>
  <si>
    <t>left</t>
  </si>
  <si>
    <t>internet</t>
  </si>
  <si>
    <t>tulsa_community_college</t>
  </si>
  <si>
    <t>english_1213</t>
  </si>
  <si>
    <t>1213</t>
  </si>
  <si>
    <t>updates</t>
  </si>
  <si>
    <t>199</t>
  </si>
  <si>
    <t>220</t>
  </si>
  <si>
    <t>importance</t>
  </si>
  <si>
    <t>alternate</t>
  </si>
  <si>
    <t>reality</t>
  </si>
  <si>
    <t>undue</t>
  </si>
  <si>
    <t>weight</t>
  </si>
  <si>
    <t>limits</t>
  </si>
  <si>
    <t>speech</t>
  </si>
  <si>
    <t>charlie</t>
  </si>
  <si>
    <t>ram</t>
  </si>
  <si>
    <t>dev</t>
  </si>
  <si>
    <t>24</t>
  </si>
  <si>
    <t>201</t>
  </si>
  <si>
    <t>188</t>
  </si>
  <si>
    <t>tools</t>
  </si>
  <si>
    <t>210</t>
  </si>
  <si>
    <t>23</t>
  </si>
  <si>
    <t>25</t>
  </si>
  <si>
    <t>146</t>
  </si>
  <si>
    <t>141</t>
  </si>
  <si>
    <t>123</t>
  </si>
  <si>
    <t>236</t>
  </si>
  <si>
    <t>177</t>
  </si>
  <si>
    <t>sinebot</t>
  </si>
  <si>
    <t>nip</t>
  </si>
  <si>
    <t>dr</t>
  </si>
  <si>
    <t>hassan</t>
  </si>
  <si>
    <t>anjum</t>
  </si>
  <si>
    <t>shahid</t>
  </si>
  <si>
    <t>neologism</t>
  </si>
  <si>
    <t>neo</t>
  </si>
  <si>
    <t>dpm64's</t>
  </si>
  <si>
    <t>lacks</t>
  </si>
  <si>
    <t>source</t>
  </si>
  <si>
    <t>removed</t>
  </si>
  <si>
    <t>reasons</t>
  </si>
  <si>
    <t>change</t>
  </si>
  <si>
    <t>oneworldtv</t>
  </si>
  <si>
    <t>miniclip</t>
  </si>
  <si>
    <t>impacts</t>
  </si>
  <si>
    <t>sign</t>
  </si>
  <si>
    <t>contribs</t>
  </si>
  <si>
    <t>nuygfhduysgdyigyeuegdydgfydgfhdgfhgdhfghdgfhdgfhgdgfhgfhdgfhdgfhdgfhdgfhdgfhdghfghdgfhdgfhdgfhdgfhdgfhdghfgdhfghdgfhdgfghdgfhdgfhdgfgdhfgdhgfhdgfhgdhfgdhgfdhgfhdgfhdgfhghfgdhgfhdgfho</t>
  </si>
  <si>
    <t>95</t>
  </si>
  <si>
    <t>replaced</t>
  </si>
  <si>
    <t>unsigned</t>
  </si>
  <si>
    <t>blacklist</t>
  </si>
  <si>
    <t>save</t>
  </si>
  <si>
    <t>hunter_college</t>
  </si>
  <si>
    <t>_cuny</t>
  </si>
  <si>
    <t>critical_and_feminist_methodologies_</t>
  </si>
  <si>
    <t>_editing_wikipedia_</t>
  </si>
  <si>
    <t>critical</t>
  </si>
  <si>
    <t>feminist</t>
  </si>
  <si>
    <t>methodologies</t>
  </si>
  <si>
    <t>editing</t>
  </si>
  <si>
    <t>settings</t>
  </si>
  <si>
    <t>reason</t>
  </si>
  <si>
    <t>usage</t>
  </si>
  <si>
    <t>florida_atlantic_university</t>
  </si>
  <si>
    <t>special_topics_college_writing_ii_</t>
  </si>
  <si>
    <t>college</t>
  </si>
  <si>
    <t>ii</t>
  </si>
  <si>
    <t>avimanyu786</t>
  </si>
  <si>
    <t>cluebot</t>
  </si>
  <si>
    <t>oca</t>
  </si>
  <si>
    <t>annual</t>
  </si>
  <si>
    <t>readership</t>
  </si>
  <si>
    <t>rowan_college_at_burlington_county</t>
  </si>
  <si>
    <t>_ethics</t>
  </si>
  <si>
    <t>_and_technology_</t>
  </si>
  <si>
    <t>summer</t>
  </si>
  <si>
    <t>ethics</t>
  </si>
  <si>
    <t>technology</t>
  </si>
  <si>
    <t>_rpm_sp_2_2019_</t>
  </si>
  <si>
    <t>spring_2</t>
  </si>
  <si>
    <t>addiction</t>
  </si>
  <si>
    <t>san_diego_state_university</t>
  </si>
  <si>
    <t>ed690_methods_of_inquiry_</t>
  </si>
  <si>
    <t>ed690</t>
  </si>
  <si>
    <t>inquiry</t>
  </si>
  <si>
    <t>tags</t>
  </si>
  <si>
    <t>george_washington_university</t>
  </si>
  <si>
    <t>amwriting_fall_2018_m_75_</t>
  </si>
  <si>
    <t>amwriting</t>
  </si>
  <si>
    <t>fall</t>
  </si>
  <si>
    <t>75</t>
  </si>
  <si>
    <t>political</t>
  </si>
  <si>
    <t>polarization</t>
  </si>
  <si>
    <t>bowling_green_state_university</t>
  </si>
  <si>
    <t>public_opinion_and_voting_behavior_</t>
  </si>
  <si>
    <t>voting</t>
  </si>
  <si>
    <t>behavior</t>
  </si>
  <si>
    <t>order</t>
  </si>
  <si>
    <t>responded</t>
  </si>
  <si>
    <t>major</t>
  </si>
  <si>
    <t>evaluation</t>
  </si>
  <si>
    <t>jtopf</t>
  </si>
  <si>
    <t>dating</t>
  </si>
  <si>
    <t>kaitlin</t>
  </si>
  <si>
    <t>hurley</t>
  </si>
  <si>
    <t>asked</t>
  </si>
  <si>
    <t>question</t>
  </si>
  <si>
    <t>university_of_maryland</t>
  </si>
  <si>
    <t>digital_rhetorics_</t>
  </si>
  <si>
    <t>digital</t>
  </si>
  <si>
    <t>rhetorics</t>
  </si>
  <si>
    <t>_section_642_</t>
  </si>
  <si>
    <t>642</t>
  </si>
  <si>
    <t>100</t>
  </si>
  <si>
    <t>136</t>
  </si>
  <si>
    <t>167</t>
  </si>
  <si>
    <t>altered</t>
  </si>
  <si>
    <t>review</t>
  </si>
  <si>
    <t>#iabot</t>
  </si>
  <si>
    <t>v1</t>
  </si>
  <si>
    <t>balon</t>
  </si>
  <si>
    <t>greyjoy</t>
  </si>
  <si>
    <t>josve05a</t>
  </si>
  <si>
    <t>kander9</t>
  </si>
  <si>
    <t>assessment</t>
  </si>
  <si>
    <t>kephir</t>
  </si>
  <si>
    <t>gadgets</t>
  </si>
  <si>
    <t>rater</t>
  </si>
  <si>
    <t>assisted</t>
  </si>
  <si>
    <t>209</t>
  </si>
  <si>
    <t>51</t>
  </si>
  <si>
    <t>93</t>
  </si>
  <si>
    <t>argument</t>
  </si>
  <si>
    <t>essay</t>
  </si>
  <si>
    <t>reflist</t>
  </si>
  <si>
    <t>updating</t>
  </si>
  <si>
    <t>easier</t>
  </si>
  <si>
    <t>understand</t>
  </si>
  <si>
    <t>hoffma51</t>
  </si>
  <si>
    <t>canisius_college</t>
  </si>
  <si>
    <t>edu122_</t>
  </si>
  <si>
    <t>spring_2016</t>
  </si>
  <si>
    <t>edu122</t>
  </si>
  <si>
    <t>78</t>
  </si>
  <si>
    <t>171</t>
  </si>
  <si>
    <t>130</t>
  </si>
  <si>
    <t>160</t>
  </si>
  <si>
    <t>concentration</t>
  </si>
  <si>
    <t>knhende2</t>
  </si>
  <si>
    <t>74</t>
  </si>
  <si>
    <t>62</t>
  </si>
  <si>
    <t>206</t>
  </si>
  <si>
    <t>151</t>
  </si>
  <si>
    <t>104</t>
  </si>
  <si>
    <t>172</t>
  </si>
  <si>
    <t>111</t>
  </si>
  <si>
    <t>trustworthy</t>
  </si>
  <si>
    <t>moved</t>
  </si>
  <si>
    <t>2013</t>
  </si>
  <si>
    <t>class</t>
  </si>
  <si>
    <t>rm</t>
  </si>
  <si>
    <t>105</t>
  </si>
  <si>
    <t>37</t>
  </si>
  <si>
    <t>106</t>
  </si>
  <si>
    <t>42</t>
  </si>
  <si>
    <t>akmuslimeen</t>
  </si>
  <si>
    <t>180</t>
  </si>
  <si>
    <t>215</t>
  </si>
  <si>
    <t>137</t>
  </si>
  <si>
    <t>233</t>
  </si>
  <si>
    <t>2604</t>
  </si>
  <si>
    <t>2000</t>
  </si>
  <si>
    <t>107e</t>
  </si>
  <si>
    <t>407e</t>
  </si>
  <si>
    <t>752e</t>
  </si>
  <si>
    <t>3268</t>
  </si>
  <si>
    <t>9074</t>
  </si>
  <si>
    <t>e06</t>
  </si>
  <si>
    <t>post</t>
  </si>
  <si>
    <t>including</t>
  </si>
  <si>
    <t>names</t>
  </si>
  <si>
    <t>geekpie</t>
  </si>
  <si>
    <t>vital</t>
  </si>
  <si>
    <t>195</t>
  </si>
  <si>
    <t>192</t>
  </si>
  <si>
    <t>phishing</t>
  </si>
  <si>
    <t>project</t>
  </si>
  <si>
    <t>awb</t>
  </si>
  <si>
    <t>ericks</t>
  </si>
  <si>
    <t>njitwill</t>
  </si>
  <si>
    <t>davefilms</t>
  </si>
  <si>
    <t>groupuscule</t>
  </si>
  <si>
    <t>deletion</t>
  </si>
  <si>
    <t>file</t>
  </si>
  <si>
    <t>commonsnotificationbot</t>
  </si>
  <si>
    <t>changelog</t>
  </si>
  <si>
    <t>119</t>
  </si>
  <si>
    <t>154</t>
  </si>
  <si>
    <t>dubious</t>
  </si>
  <si>
    <t>elinruby</t>
  </si>
  <si>
    <t>maintaining</t>
  </si>
  <si>
    <t>depth</t>
  </si>
  <si>
    <t>weak</t>
  </si>
  <si>
    <t>reliable</t>
  </si>
  <si>
    <t>brian</t>
  </si>
  <si>
    <t>rainbow</t>
  </si>
  <si>
    <t>keeping</t>
  </si>
  <si>
    <t>examples</t>
  </si>
  <si>
    <t>rdjfraser</t>
  </si>
  <si>
    <t>claiming</t>
  </si>
  <si>
    <t>editor</t>
  </si>
  <si>
    <t>amordi</t>
  </si>
  <si>
    <t>tv</t>
  </si>
  <si>
    <t>emerging</t>
  </si>
  <si>
    <t>market</t>
  </si>
  <si>
    <t>ces</t>
  </si>
  <si>
    <t>2010</t>
  </si>
  <si>
    <t>sabrina111</t>
  </si>
  <si>
    <t>applications</t>
  </si>
  <si>
    <t>meeting</t>
  </si>
  <si>
    <t>rs</t>
  </si>
  <si>
    <t>85</t>
  </si>
  <si>
    <t>147</t>
  </si>
  <si>
    <t>221</t>
  </si>
  <si>
    <t>156</t>
  </si>
  <si>
    <t>consider</t>
  </si>
  <si>
    <t>current</t>
  </si>
  <si>
    <t>summary</t>
  </si>
  <si>
    <t>previous</t>
  </si>
  <si>
    <t>mystalic</t>
  </si>
  <si>
    <t>71</t>
  </si>
  <si>
    <t>232</t>
  </si>
  <si>
    <t>227</t>
  </si>
  <si>
    <t>153</t>
  </si>
  <si>
    <t>expert</t>
  </si>
  <si>
    <t>true</t>
  </si>
  <si>
    <t>fashion</t>
  </si>
  <si>
    <t>222</t>
  </si>
  <si>
    <t>155</t>
  </si>
  <si>
    <t>173</t>
  </si>
  <si>
    <t>208</t>
  </si>
  <si>
    <t>dpm64</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</si>
  <si>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</si>
  <si>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</si>
  <si>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</si>
  <si>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</si>
  <si>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</si>
  <si>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</si>
  <si>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</si>
  <si>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</si>
  <si>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</si>
  <si>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</si>
  <si>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</si>
  <si>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</si>
  <si>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</si>
  <si>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</si>
  <si>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</si>
  <si>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</si>
  <si>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</si>
  <si>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</si>
  <si>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</si>
  <si>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</si>
  <si>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</si>
  <si>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</si>
  <si>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</si>
  <si>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</si>
  <si>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</si>
  <si>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</si>
  <si>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</si>
  <si>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</si>
  <si>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</si>
  <si>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</si>
  <si>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</si>
  <si>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</si>
  <si>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</si>
  <si>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</si>
  <si>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</si>
  <si>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</si>
  <si>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</si>
  <si>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</si>
  <si>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</si>
  <si>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</si>
  <si>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</si>
  <si>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</si>
  <si>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</si>
  <si>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</si>
  <si>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</si>
  <si>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</si>
  <si>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</si>
  <si>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</si>
  <si>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</si>
  <si>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</si>
  <si>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</si>
  <si>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</si>
  <si>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</si>
  <si>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</si>
  <si>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</si>
  <si>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Top 10 Vertices, Ranked by Betweenness Centrality</t>
  </si>
  <si>
    <t>Top Words in Edit Comment in Entire Graph</t>
  </si>
  <si>
    <t>Entire Graph Count</t>
  </si>
  <si>
    <t>Top Words in Edit Comment in G1</t>
  </si>
  <si>
    <t>Top Words in Edit Comment in G2</t>
  </si>
  <si>
    <t>G1 Count</t>
  </si>
  <si>
    <t>Top Words in Edit Comment in G3</t>
  </si>
  <si>
    <t>G2 Count</t>
  </si>
  <si>
    <t>Top Words in Edit Comment in G4</t>
  </si>
  <si>
    <t>G3 Count</t>
  </si>
  <si>
    <t>Top Words in Edit Comment in G5</t>
  </si>
  <si>
    <t>G4 Count</t>
  </si>
  <si>
    <t>Top Words in Edit Comment in G6</t>
  </si>
  <si>
    <t>G5 Count</t>
  </si>
  <si>
    <t>Top Words in Edit Comment in G7</t>
  </si>
  <si>
    <t>G6 Count</t>
  </si>
  <si>
    <t>Top Words in Edit Comment in G8</t>
  </si>
  <si>
    <t>G7 Count</t>
  </si>
  <si>
    <t>Top Words in Edit Comment in G9</t>
  </si>
  <si>
    <t>G8 Count</t>
  </si>
  <si>
    <t>Top Words in Edit Comment in G10</t>
  </si>
  <si>
    <t>G9 Count</t>
  </si>
  <si>
    <t>G10 Count</t>
  </si>
  <si>
    <t>Top Words in Edit Comment</t>
  </si>
  <si>
    <t>social media special definition 165 184 70 classification 80 44</t>
  </si>
  <si>
    <t>fall_2019 research methods image california_state_university _fresno psych_244_ _research_methods_ psych 244</t>
  </si>
  <si>
    <t>' media social bot university_of_massachusetts_lowell qualitative_research_advanced_topics_ spring_2020 qualitative research advanced</t>
  </si>
  <si>
    <t>media spring_2018 fall_2017 middle_georgia_state_university new_media_ tulsa_community_college english_1213 english 1213 updates</t>
  </si>
  <si>
    <t>fall_2018 'social merging networking service' media' louisiana_state_university introduction_to_information_and_society_ introduction information</t>
  </si>
  <si>
    <t>buzzword fix bingo land social media notification deletion file commonsnotificationbot</t>
  </si>
  <si>
    <t>media social alternate reality undue weight image changes</t>
  </si>
  <si>
    <t>privacy easier understand</t>
  </si>
  <si>
    <t>social media definition</t>
  </si>
  <si>
    <t>Top Word Pairs in Edit Comment in Entire Graph</t>
  </si>
  <si>
    <t>social,media</t>
  </si>
  <si>
    <t>','</t>
  </si>
  <si>
    <t>fix,buzzword</t>
  </si>
  <si>
    <t>buzzword,bingo</t>
  </si>
  <si>
    <t>bingo,land</t>
  </si>
  <si>
    <t>media,definition</t>
  </si>
  <si>
    <t>university_of_massachusetts_lowell,qualitative_research_advanced_topics_</t>
  </si>
  <si>
    <t>qualitative_research_advanced_topics_,spring_2020</t>
  </si>
  <si>
    <t>spring_2020,qualitative</t>
  </si>
  <si>
    <t>qualitative,research</t>
  </si>
  <si>
    <t>Top Word Pairs in Edit Comment in G1</t>
  </si>
  <si>
    <t>80,44</t>
  </si>
  <si>
    <t>dpm64's,improvement</t>
  </si>
  <si>
    <t>improvement,article's</t>
  </si>
  <si>
    <t>article's,adventures</t>
  </si>
  <si>
    <t>adventures,blogs</t>
  </si>
  <si>
    <t>media,loneliness</t>
  </si>
  <si>
    <t>inaccuracies,poor</t>
  </si>
  <si>
    <t>poor,writing</t>
  </si>
  <si>
    <t>Top Word Pairs in Edit Comment in G2</t>
  </si>
  <si>
    <t>miniclip,citations</t>
  </si>
  <si>
    <t>reasons,current</t>
  </si>
  <si>
    <t>current,summary</t>
  </si>
  <si>
    <t>summary,citations</t>
  </si>
  <si>
    <t>citations,removed</t>
  </si>
  <si>
    <t>removed,reverted</t>
  </si>
  <si>
    <t>reverted,previous</t>
  </si>
  <si>
    <t>media',marketing</t>
  </si>
  <si>
    <t>marketing,buzzword</t>
  </si>
  <si>
    <t>Top Word Pairs in Edit Comment in G3</t>
  </si>
  <si>
    <t>california_state_university,_fresno</t>
  </si>
  <si>
    <t>_fresno,psych_244_</t>
  </si>
  <si>
    <t>psych_244_,_research_methods_</t>
  </si>
  <si>
    <t>_research_methods_,fall_2019</t>
  </si>
  <si>
    <t>fall_2019,psych</t>
  </si>
  <si>
    <t>psych,244</t>
  </si>
  <si>
    <t>244,research</t>
  </si>
  <si>
    <t>research,methods</t>
  </si>
  <si>
    <t>addition,image</t>
  </si>
  <si>
    <t>image,mental</t>
  </si>
  <si>
    <t>Top Word Pairs in Edit Comment in G4</t>
  </si>
  <si>
    <t>reverted,special</t>
  </si>
  <si>
    <t>92,24</t>
  </si>
  <si>
    <t>24,201</t>
  </si>
  <si>
    <t>201,188</t>
  </si>
  <si>
    <t>68,123</t>
  </si>
  <si>
    <t>123,236</t>
  </si>
  <si>
    <t>236,177</t>
  </si>
  <si>
    <t>146,141</t>
  </si>
  <si>
    <t>Top Word Pairs in Edit Comment in G5</t>
  </si>
  <si>
    <t>research,advanced</t>
  </si>
  <si>
    <t>advanced,topics</t>
  </si>
  <si>
    <t>simon_fraser_university,news_media</t>
  </si>
  <si>
    <t>news_media,_the_public_and_democracy_</t>
  </si>
  <si>
    <t>Top Word Pairs in Edit Comment in G6</t>
  </si>
  <si>
    <t>middle_georgia_state_university,new_media_</t>
  </si>
  <si>
    <t>new_media_,fall_2017</t>
  </si>
  <si>
    <t>fall_2017,media</t>
  </si>
  <si>
    <t>tulsa_community_college,english_1213</t>
  </si>
  <si>
    <t>spring_2018,english</t>
  </si>
  <si>
    <t>english,1213</t>
  </si>
  <si>
    <t>199,216</t>
  </si>
  <si>
    <t>216,220</t>
  </si>
  <si>
    <t>university_of_maryland,digital_rhetorics_</t>
  </si>
  <si>
    <t>digital_rhetorics_,spring_2018</t>
  </si>
  <si>
    <t>Top Word Pairs in Edit Comment in G7</t>
  </si>
  <si>
    <t>merging,'social</t>
  </si>
  <si>
    <t>'social,networking</t>
  </si>
  <si>
    <t>networking,service'</t>
  </si>
  <si>
    <t>service','social</t>
  </si>
  <si>
    <t>'social,media'</t>
  </si>
  <si>
    <t>louisiana_state_university,introduction_to_information_and_society_</t>
  </si>
  <si>
    <t>introduction_to_information_and_society_,fall_2018</t>
  </si>
  <si>
    <t>fall_2018,introduction</t>
  </si>
  <si>
    <t>introduction,information</t>
  </si>
  <si>
    <t>information,society</t>
  </si>
  <si>
    <t>Top Word Pairs in Edit Comment in G8</t>
  </si>
  <si>
    <t>addition,social</t>
  </si>
  <si>
    <t>media,business</t>
  </si>
  <si>
    <t>list,social</t>
  </si>
  <si>
    <t>media,buzz</t>
  </si>
  <si>
    <t>buzz,change</t>
  </si>
  <si>
    <t>change,media</t>
  </si>
  <si>
    <t>removal,claiming</t>
  </si>
  <si>
    <t>claiming,poor</t>
  </si>
  <si>
    <t>poor,source</t>
  </si>
  <si>
    <t>Top Word Pairs in Edit Comment in G9</t>
  </si>
  <si>
    <t>notification,deletion</t>
  </si>
  <si>
    <t>deletion,file</t>
  </si>
  <si>
    <t>commonsnotificationbot,changelog</t>
  </si>
  <si>
    <t>nip,dr</t>
  </si>
  <si>
    <t>dr,hassan</t>
  </si>
  <si>
    <t>hassan,anjum</t>
  </si>
  <si>
    <t>Top Word Pairs in Edit Comment in G10</t>
  </si>
  <si>
    <t>media,alternate</t>
  </si>
  <si>
    <t>alternate,reality</t>
  </si>
  <si>
    <t>undue,weight</t>
  </si>
  <si>
    <t>Top Word Pairs in Edit Comment</t>
  </si>
  <si>
    <t>social,media  media,definition  80,44  dpm64's,improvement  improvement,article's  article's,adventures  adventures,blogs  media,loneliness  inaccuracies,poor  poor,writing</t>
  </si>
  <si>
    <t>social,media  miniclip,citations  reasons,current  current,summary  summary,citations  citations,removed  removed,reverted  reverted,previous  media',marketing  marketing,buzzword</t>
  </si>
  <si>
    <t>california_state_university,_fresno  _fresno,psych_244_  psych_244_,_research_methods_  _research_methods_,fall_2019  fall_2019,psych  psych,244  244,research  research,methods  addition,image  image,mental</t>
  </si>
  <si>
    <t>','  social,media  university_of_massachusetts_lowell,qualitative_research_advanced_topics_  qualitative_research_advanced_topics_,spring_2020  spring_2020,qualitative  qualitative,research  research,advanced  advanced,topics  simon_fraser_university,news_media  news_media,_the_public_and_democracy_</t>
  </si>
  <si>
    <t>middle_georgia_state_university,new_media_  new_media_,fall_2017  fall_2017,media  tulsa_community_college,english_1213  spring_2018,english  english,1213  199,216  216,220  university_of_maryland,digital_rhetorics_  digital_rhetorics_,spring_2018</t>
  </si>
  <si>
    <t>merging,'social  'social,networking  networking,service'  service','social  'social,media'  louisiana_state_university,introduction_to_information_and_society_  introduction_to_information_and_society_,fall_2018  fall_2018,introduction  introduction,information  information,society</t>
  </si>
  <si>
    <t>social,media  addition,social  media,business  list,social  media,buzz  buzz,change  change,media  removal,claiming  claiming,poor  poor,source</t>
  </si>
  <si>
    <t>fix,buzzword  buzzword,bingo  bingo,land  social,media  notification,deletion  deletion,file  commonsnotificationbot,changelog  nip,dr  dr,hassan  hassan,anjum</t>
  </si>
  <si>
    <t>social,media  media,alternate  alternate,reality  undue,weight</t>
  </si>
  <si>
    <t>easier,understand</t>
  </si>
  <si>
    <t>social,media  media,definition</t>
  </si>
  <si>
    <t>Top Words in Edit Comment by Count</t>
  </si>
  <si>
    <t/>
  </si>
  <si>
    <t>dpeck0404 sources oneworldtv lacks social quotations moving comments chronological order</t>
  </si>
  <si>
    <t>dpm64 's improvement article's adventures blogs 'social media' marketing buzzword</t>
  </si>
  <si>
    <t>222 155 173 208 special sign miniclip citations</t>
  </si>
  <si>
    <t>miniclip citations</t>
  </si>
  <si>
    <t>buzz word' consideration</t>
  </si>
  <si>
    <t>valid term describes phenomenon</t>
  </si>
  <si>
    <t>afd</t>
  </si>
  <si>
    <t>expert opinion true social media fashion</t>
  </si>
  <si>
    <t>special social media 165 184 definition 80 44 70 216</t>
  </si>
  <si>
    <t>social media definition paragraph defining redefining dpeck0404</t>
  </si>
  <si>
    <t>linking short accurate definition</t>
  </si>
  <si>
    <t>apologies discussed correct format editor</t>
  </si>
  <si>
    <t>cleaning</t>
  </si>
  <si>
    <t>tone reasons current summary citations removed reverted previous</t>
  </si>
  <si>
    <t>reasons current summary citations removed reverted previous</t>
  </si>
  <si>
    <t>mystalic's definition</t>
  </si>
  <si>
    <t>media social buzz change</t>
  </si>
  <si>
    <t>definition paragraph social media</t>
  </si>
  <si>
    <t>hard define term</t>
  </si>
  <si>
    <t>list social media applications</t>
  </si>
  <si>
    <t>business addition social media topic</t>
  </si>
  <si>
    <t>addition social media business responded</t>
  </si>
  <si>
    <t>social tv emerging market ces 2010</t>
  </si>
  <si>
    <t>removal claiming poor source prjournal org european journal social pyschology</t>
  </si>
  <si>
    <t>removal claiming poor source justified</t>
  </si>
  <si>
    <t>definition maintaining depth social media source hard define term project</t>
  </si>
  <si>
    <t>subst unsigned regularise templates</t>
  </si>
  <si>
    <t>keeping examples tools</t>
  </si>
  <si>
    <t>weak lacks reliable sources</t>
  </si>
  <si>
    <t>phishing block footer maintaining depth social media</t>
  </si>
  <si>
    <t>dpm64's improvement article's adventures blogs</t>
  </si>
  <si>
    <t>dubious reference social media</t>
  </si>
  <si>
    <t>notification deletion file commonsnotificationbot changelog social share buttons png user_talk</t>
  </si>
  <si>
    <t>nip dr hassan anjum shahid</t>
  </si>
  <si>
    <t>fix buzzword bingo land nip dr hassan anjum shahid removing</t>
  </si>
  <si>
    <t>fix buzzword bingo land response</t>
  </si>
  <si>
    <t>fix buzzword bingo land</t>
  </si>
  <si>
    <t>fix buzzword bingo land agree</t>
  </si>
  <si>
    <t>social media loneliness</t>
  </si>
  <si>
    <t>notable influencers biased left 2012 stuff</t>
  </si>
  <si>
    <t>inaccuracies poor writing mobile social media</t>
  </si>
  <si>
    <t>classification social media fix buzzword bingo land</t>
  </si>
  <si>
    <t>changes notes</t>
  </si>
  <si>
    <t>awb correcting value term template wap doc project</t>
  </si>
  <si>
    <t>inaccuracies poor writing mobile social media trimmed long line eliminate</t>
  </si>
  <si>
    <t>south african liberalism</t>
  </si>
  <si>
    <t>infomation privacy employers</t>
  </si>
  <si>
    <t>reliability published david publishing revert revision 572669245 dated 2013 09</t>
  </si>
  <si>
    <t>notable influencers biased</t>
  </si>
  <si>
    <t>vital template</t>
  </si>
  <si>
    <t>delete moderated forums groups part social media</t>
  </si>
  <si>
    <t>classification social media</t>
  </si>
  <si>
    <t>definition social media post including names paragraph</t>
  </si>
  <si>
    <t>nitin gadgare ka bayan</t>
  </si>
  <si>
    <t>ram dev</t>
  </si>
  <si>
    <t>moved template course space</t>
  </si>
  <si>
    <t>limits speech charlie fix buzzword bingo land</t>
  </si>
  <si>
    <t>reflist social media alternate reality changes moved right place higher</t>
  </si>
  <si>
    <t>october 2013 common hashtag country #governmentshutdown undue weight passing buck</t>
  </si>
  <si>
    <t>undue weight thx</t>
  </si>
  <si>
    <t>changes commenting inappropriate image updated</t>
  </si>
  <si>
    <t>social media trustworthy</t>
  </si>
  <si>
    <t>dopamine levels affected social media</t>
  </si>
  <si>
    <t>canisius_college edu122_ spring_2016 edu122</t>
  </si>
  <si>
    <t>social media alternate reality</t>
  </si>
  <si>
    <t>salem_state_university media_literacy_ summer_2016 media literacy</t>
  </si>
  <si>
    <t>univ writing_in_women's_and_gender_studies_ writing women's gender studies</t>
  </si>
  <si>
    <t>editting changing privacy</t>
  </si>
  <si>
    <t>sources formatting major</t>
  </si>
  <si>
    <t>updating definition split easier understand</t>
  </si>
  <si>
    <t>easier understand privacy add note</t>
  </si>
  <si>
    <t>merge modification characteristics social media updating definition</t>
  </si>
  <si>
    <t>''comment danielleee g'''</t>
  </si>
  <si>
    <t>logged account</t>
  </si>
  <si>
    <t>addition negative effects reflist</t>
  </si>
  <si>
    <t>work argument essay</t>
  </si>
  <si>
    <t>importance assessment computing mid internet high kephir gadgets rater assisted</t>
  </si>
  <si>
    <t>notification altered sources review #iabot v1 balon greyjoy josve05a 4beta</t>
  </si>
  <si>
    <t>middle_georgia_state_university new_media_ fall_2017 media</t>
  </si>
  <si>
    <t>cornell_university biog3500_applied_science_communication_ fall_2017 biog3500 applied science communication</t>
  </si>
  <si>
    <t>external modified</t>
  </si>
  <si>
    <t>updates errant wanton cite sources tag history</t>
  </si>
  <si>
    <t>simple statement intent start working</t>
  </si>
  <si>
    <t>university_of_maryland digital_rhetorics_ spring_2018 digital rhetorics</t>
  </si>
  <si>
    <t>evaluation tulsa_community_college english_1213 _section_621_ spring_2018 english 1213 621</t>
  </si>
  <si>
    <t>internet usage effects tulsa_community_college english_1213 _section_642_ spring_2018 english 1213 642</t>
  </si>
  <si>
    <t>social media loneliness tulsa_community_college english_1213 _section_642_ spring_2018 english 1213 642</t>
  </si>
  <si>
    <t>asked question left note</t>
  </si>
  <si>
    <t>'social merging networking service' media' responded clarification earlier ideas major</t>
  </si>
  <si>
    <t>'social merging networking service' media'</t>
  </si>
  <si>
    <t>louisiana_state_university introduction_to_information_and_society_ fall_2018 introduction information society</t>
  </si>
  <si>
    <t>removal tags order</t>
  </si>
  <si>
    <t>148 253 179 58 reverted special contribs eabenoit</t>
  </si>
  <si>
    <t>bowling_green_state_university public_opinion_and_voting_behavior_ fall_2018 public opinion voting behavior</t>
  </si>
  <si>
    <t>changes 31 oct 2018 addition</t>
  </si>
  <si>
    <t>changes coi answered</t>
  </si>
  <si>
    <t>george_washington_university amwriting_fall_2018_m_75_ fall_2018 amwriting fall 2018 75</t>
  </si>
  <si>
    <t>political polarization san_diego_state_university ed690_methods_of_inquiry_ fall_2018 ed690 methods inquiry</t>
  </si>
  <si>
    <t>san_diego_state_university ed690_methods_of_inquiry_ fall_2018 ed690 methods inquiry</t>
  </si>
  <si>
    <t>social media addiction</t>
  </si>
  <si>
    <t>palm_beach_state_college spc_1017_honors_ spring spc 1017 honors</t>
  </si>
  <si>
    <t>new_york_university research_process_and_methodology_ _rpm_sp_1_2019_ spring_1 research process methodology rpm sp 2019</t>
  </si>
  <si>
    <t>external modified january 2018</t>
  </si>
  <si>
    <t>ishumemon undid revision 889303306 special</t>
  </si>
  <si>
    <t>indiana_university_of_pennsylvania english_101 _section_2_ spring_2019 english 101</t>
  </si>
  <si>
    <t>new_york_university research_process_and_methodology_ _rpm_sp_2_2019_ spring_2 research process methodology rpm sp 2019</t>
  </si>
  <si>
    <t>society rowan_college_at_burlington_county _ethics _and_technology_ summer ethics technology</t>
  </si>
  <si>
    <t>california_state_university _fresno psych_244_ _research_methods_ fall_2019 psych 244 research methods</t>
  </si>
  <si>
    <t>florida_atlantic_university special_topics_college_writing_ii_ fall_2019 special topics college writing ii</t>
  </si>
  <si>
    <t>addition image mental health effects</t>
  </si>
  <si>
    <t>settings image spam chg work reason replacing functional talkpage addition</t>
  </si>
  <si>
    <t>hunter_college _cuny critical_and_feminist_methodologies_ _editing_wikipedia_ fall_2019 critical feminist methodologies editing</t>
  </si>
  <si>
    <t>' social media bot blacklist save 13 failure ceterach exceptions</t>
  </si>
  <si>
    <t>infomation privacy employers social media technical 13 1ca oneclickarchiver archived</t>
  </si>
  <si>
    <t>image intro</t>
  </si>
  <si>
    <t>bot iii fix replaced miszabot lowercase sigmabot</t>
  </si>
  <si>
    <t>modification characteristics social media</t>
  </si>
  <si>
    <t>saco gato eu nuygfhduysgdyigyeuegdydgfydgfhdgfhgdhfghdgfhdgfhgdgfhgfhdgfhdgfhdgfhdgfhdgfhdghfghdgfhdgfhdgfhdgfhdgfhdghfgdhfghdgfhdgfghdgfhdgfhdgfgdhfgdhgfhdgfhgdhfgdhgfdhgfhdgfhdgfhghfgdhgfhdgfho nuygfhduysgdyigyeuegdydgfydgfhdgfhgdhfghdgfhdgfhgdgfhgfhdgfhdgfhdgfhdgfhdgfhdghfghdg</t>
  </si>
  <si>
    <t>2001 818 e65b 5000 f17a 261d 71be 622f reverted special</t>
  </si>
  <si>
    <t>university_of_massachusetts_lowell qualitative_research_advanced_topics_ spring_2020 qualitative research advanced topics</t>
  </si>
  <si>
    <t>simon_fraser_university news_media _the_public_and_democracy_ spring news media public democracy</t>
  </si>
  <si>
    <t>list social media frauds</t>
  </si>
  <si>
    <t>history social media</t>
  </si>
  <si>
    <t>merge sign</t>
  </si>
  <si>
    <t>social impacts changed idea media injuries deaths</t>
  </si>
  <si>
    <t>Top Words in Edit Comment by Salience</t>
  </si>
  <si>
    <t>oneworldtv dpeck0404 sources lacks social quotations moving comments chronological order</t>
  </si>
  <si>
    <t>165 184 social special media 80 44 70 definition 216</t>
  </si>
  <si>
    <t>definition paragraph defining redefining dpeck0404 social media</t>
  </si>
  <si>
    <t>topic addition social media business</t>
  </si>
  <si>
    <t>block footer maintaining depth social media phishing</t>
  </si>
  <si>
    <t>social share buttons png user_talk errantx feedback r97 socialmediavenndiagram jpg</t>
  </si>
  <si>
    <t>left 2012 stuff notable influencers biased</t>
  </si>
  <si>
    <t>92 24 201 188 210 23 25 13 146 141</t>
  </si>
  <si>
    <t>thx undue weight</t>
  </si>
  <si>
    <t>balon greyjoy josve05a 4beta notification altered sources review #iabot v1</t>
  </si>
  <si>
    <t>san_diego_state_university ed690_methods_of_inquiry_ fall_2018 ed690 methods inquiry political polarization</t>
  </si>
  <si>
    <t>' blacklist save 13 failure ceterach exceptions editerror 'spamblacklist' ceteracherror</t>
  </si>
  <si>
    <t>social media technical 13 1ca oneclickarchiver archived special diff 923212987</t>
  </si>
  <si>
    <t>sign merge</t>
  </si>
  <si>
    <t>changed idea media injuries deaths social impacts</t>
  </si>
  <si>
    <t>Top Word Pairs in Edit Comment by Count</t>
  </si>
  <si>
    <t>dpeck0404,quotations  moving,comments  comments,chronological  chronological,order  dpeck0404,sources  external,add  oneworldtv,oneworldtv  oneworldtv,lacks  lacks,recognition  recognition,considered</t>
  </si>
  <si>
    <t>222,155  155,173  173,208  special,222  208,222  208,sign  sign,miniclip  miniclip,citations</t>
  </si>
  <si>
    <t>buzz,word'  word',consideration</t>
  </si>
  <si>
    <t>valid,term  term,describes  describes,phenomenon</t>
  </si>
  <si>
    <t>expert,opinion  opinion,true  true,social  social,media  media,fashion</t>
  </si>
  <si>
    <t>social,media  80,44  216,165  165,95  95,184  media,definition  kaitlin,hurley  184,100  100,136  136,167</t>
  </si>
  <si>
    <t>social,media  definition,paragraph  paragraph,social  defining,social  redefining,social</t>
  </si>
  <si>
    <t>linking,short  short,accurate  accurate,definition</t>
  </si>
  <si>
    <t>apologies,discussed  discussed,correct  correct,format  format,editor</t>
  </si>
  <si>
    <t>reasons,current  current,summary  summary,citations  citations,removed  removed,reverted  reverted,previous</t>
  </si>
  <si>
    <t>mystalic's,definition</t>
  </si>
  <si>
    <t>social,media  media,buzz  buzz,change  change,media</t>
  </si>
  <si>
    <t>definition,paragraph  paragraph,social  social,media</t>
  </si>
  <si>
    <t>hard,define  define,term</t>
  </si>
  <si>
    <t>list,social  social,media  media,applications</t>
  </si>
  <si>
    <t>addition,social  social,media  media,business  business,topic</t>
  </si>
  <si>
    <t>addition,social  social,media  media,business  business,responded</t>
  </si>
  <si>
    <t>social,tv  tv,emerging  emerging,market  market,ces  ces,2010</t>
  </si>
  <si>
    <t>removal,claiming  claiming,poor  poor,source  source,prjournal  prjournal,org  org,european  european,journal  journal,social  social,pyschology  editor,removed</t>
  </si>
  <si>
    <t>removal,claiming  claiming,poor  poor,source  source,removal  removal,justified</t>
  </si>
  <si>
    <t>maintaining,depth  depth,social  social,media  definition,source  source,definition  hard,define  define,term  project,classification</t>
  </si>
  <si>
    <t>subst,unsigned  unsigned,regularise  regularise,templates</t>
  </si>
  <si>
    <t>keeping,examples  examples,tools</t>
  </si>
  <si>
    <t>weak,lacks  lacks,reliable  reliable,sources</t>
  </si>
  <si>
    <t>phishing,block  phishing,footer  maintaining,depth  depth,social  social,media</t>
  </si>
  <si>
    <t>dpm64's,improvement  improvement,article's  article's,adventures  adventures,blogs</t>
  </si>
  <si>
    <t>dubious,reference  reference,social  social,media</t>
  </si>
  <si>
    <t>notification,deletion  deletion,file  commonsnotificationbot,changelog  file,social  social,share  share,buttons  buttons,png  png,user_talk  user_talk,errantx  errantx,feedback</t>
  </si>
  <si>
    <t>nip,dr  dr,hassan  hassan,anjum  anjum,shahid</t>
  </si>
  <si>
    <t>fix,buzzword  buzzword,bingo  bingo,land  nip,dr  dr,hassan  hassan,anjum  anjum,shahid  shahid,removing  removing,irrelevant  irrelevant,advert</t>
  </si>
  <si>
    <t>fix,buzzword  buzzword,bingo  bingo,land  land,response</t>
  </si>
  <si>
    <t>fix,buzzword  buzzword,bingo  bingo,land</t>
  </si>
  <si>
    <t>fix,buzzword  buzzword,bingo  bingo,land  land,agree</t>
  </si>
  <si>
    <t>social,media  media,loneliness</t>
  </si>
  <si>
    <t>notable,influencers  influencers,biased  left,2012  2012,stuff</t>
  </si>
  <si>
    <t>inaccuracies,poor  poor,writing  writing,mobile  mobile,social  social,media</t>
  </si>
  <si>
    <t>classification,social  social,media  fix,buzzword  buzzword,bingo  bingo,land</t>
  </si>
  <si>
    <t>correcting,value  value,term  term,template  template,wap  wap,doc  doc,project  project,awb  awb,awb</t>
  </si>
  <si>
    <t>inaccuracies,poor  poor,writing  writing,mobile  mobile,social  social,media  media,trimmed  trimmed,long  long,line  line,eliminate  eliminate,horizontal</t>
  </si>
  <si>
    <t>south,african  african,liberalism</t>
  </si>
  <si>
    <t>infomation,privacy  privacy,employers</t>
  </si>
  <si>
    <t>reliability,published  published,david  david,publishing  revert,revision  revision,572669245  572669245,dated  dated,2013  2013,09  09,12  12,20</t>
  </si>
  <si>
    <t>notable,influencers  influencers,biased</t>
  </si>
  <si>
    <t>template,vital  vital,vital</t>
  </si>
  <si>
    <t>moderated,forums  forums,groups  groups,part  part,social  social,media</t>
  </si>
  <si>
    <t>classification,social  social,media</t>
  </si>
  <si>
    <t>social,media  media,definition  definition,post  post,including  including,names  names,paragraph  paragraph,definition</t>
  </si>
  <si>
    <t>nitin,gadgare  gadgare,ka  ka,bayan</t>
  </si>
  <si>
    <t>ram,dev</t>
  </si>
  <si>
    <t>moved,template  template,course  course,space</t>
  </si>
  <si>
    <t>limits,speech  speech,charlie  fix,buzzword  buzzword,bingo  bingo,land</t>
  </si>
  <si>
    <t>social,media  media,alternate  alternate,reality  changes,moved  moved,right  right,place  higher,resolution  resolution,image  assessment,internet  internet,culture</t>
  </si>
  <si>
    <t>october,2013  2013,common  common,hashtag  hashtag,country  country,#governmentshutdown  undue,weight  weight,passing  passing,buck</t>
  </si>
  <si>
    <t>undue,weight  weight,thx</t>
  </si>
  <si>
    <t>commenting,inappropriate  inappropriate,image  image,updated</t>
  </si>
  <si>
    <t>social,media  media,trustworthy</t>
  </si>
  <si>
    <t>dopamine,levels  levels,affected  affected,social  social,media</t>
  </si>
  <si>
    <t>canisius_college,edu122_  edu122_,spring_2016  spring_2016,edu122</t>
  </si>
  <si>
    <t>social,media  media,alternate  alternate,reality</t>
  </si>
  <si>
    <t>salem_state_university,media_literacy_  media_literacy_,summer_2016  summer_2016,media  media,literacy</t>
  </si>
  <si>
    <t>univ,writing_in_women's_and_gender_studies_  writing_in_women's_and_gender_studies_,writing  writing,women's  women's,gender  gender,studies</t>
  </si>
  <si>
    <t>updating,definition  definition,split  split,easier  easier,understand</t>
  </si>
  <si>
    <t>easier,understand  understand,privacy  privacy,add  add,note</t>
  </si>
  <si>
    <t>modification,characteristics  characteristics,social  social,media  updating,definition</t>
  </si>
  <si>
    <t>''comment,danielleee  danielleee,g'''</t>
  </si>
  <si>
    <t>logged,account</t>
  </si>
  <si>
    <t>addition,negative  negative,effects  effects,reflist</t>
  </si>
  <si>
    <t>work,argument  argument,essay</t>
  </si>
  <si>
    <t>assessment,computing  computing,importance  importance,mid  mid,internet  internet,importance  importance,high  high,kephir  kephir,gadgets  gadgets,rater  rater,assisted</t>
  </si>
  <si>
    <t>notification,altered  altered,sources  sources,review  review,#iabot  #iabot,v1  balon,greyjoy  v1,balon  greyjoy,balon  v1,4beta  4beta,josve05a</t>
  </si>
  <si>
    <t>middle_georgia_state_university,new_media_  new_media_,fall_2017  fall_2017,media</t>
  </si>
  <si>
    <t>cornell_university,biog3500_applied_science_communication_  biog3500_applied_science_communication_,fall_2017  fall_2017,biog3500  biog3500,applied  applied,science  science,communication</t>
  </si>
  <si>
    <t>external,modified</t>
  </si>
  <si>
    <t>errant,wanton  wanton,cite  cite,sources  sources,tag</t>
  </si>
  <si>
    <t>simple,statement  statement,intent  intent,start  start,working</t>
  </si>
  <si>
    <t>university_of_maryland,digital_rhetorics_  digital_rhetorics_,spring_2018  spring_2018,digital  digital,rhetorics</t>
  </si>
  <si>
    <t>tulsa_community_college,english_1213  english_1213,_section_621_  _section_621_,spring_2018  spring_2018,english  english,1213  1213,621</t>
  </si>
  <si>
    <t>internet,usage  usage,effects  tulsa_community_college,english_1213  english_1213,_section_642_  _section_642_,spring_2018  spring_2018,english  english,1213  1213,642</t>
  </si>
  <si>
    <t>social,media  media,loneliness  tulsa_community_college,english_1213  english_1213,_section_642_  _section_642_,spring_2018  spring_2018,english  english,1213  1213,642</t>
  </si>
  <si>
    <t>asked,question  question,left  left,note</t>
  </si>
  <si>
    <t>merging,'social  'social,networking  networking,service'  service','social  'social,media'  media',responded  responded,clarification  clarification,earlier  earlier,ideas  major,reorganization</t>
  </si>
  <si>
    <t>merging,'social  'social,networking  networking,service'  service','social  'social,media'</t>
  </si>
  <si>
    <t>louisiana_state_university,introduction_to_information_and_society_  introduction_to_information_and_society_,fall_2018  fall_2018,introduction  introduction,information  information,society</t>
  </si>
  <si>
    <t>removal,tags</t>
  </si>
  <si>
    <t>148,253  253,179  179,58  58,148  reverted,special  special,contribs  contribs,148  58,eabenoit</t>
  </si>
  <si>
    <t>bowling_green_state_university,public_opinion_and_voting_behavior_  public_opinion_and_voting_behavior_,fall_2018  fall_2018,public  public,opinion  opinion,voting  voting,behavior</t>
  </si>
  <si>
    <t>31,oct  oct,2018</t>
  </si>
  <si>
    <t>coi,answered</t>
  </si>
  <si>
    <t>george_washington_university,amwriting_fall_2018_m_75_  amwriting_fall_2018_m_75_,fall_2018  fall_2018,amwriting  amwriting,fall  fall,2018  2018,75</t>
  </si>
  <si>
    <t>political,polarization  san_diego_state_university,ed690_methods_of_inquiry_  ed690_methods_of_inquiry_,fall_2018  fall_2018,ed690  ed690,methods  methods,inquiry</t>
  </si>
  <si>
    <t>san_diego_state_university,ed690_methods_of_inquiry_  ed690_methods_of_inquiry_,fall_2018  fall_2018,ed690  ed690,methods  methods,inquiry</t>
  </si>
  <si>
    <t>social,media  media,addiction</t>
  </si>
  <si>
    <t>palm_beach_state_college,spc_1017_honors_  spc_1017_honors_,spring  spring,spc  spc,1017  1017,honors</t>
  </si>
  <si>
    <t>new_york_university,research_process_and_methodology_  research_process_and_methodology_,_rpm_sp_1_2019_  _rpm_sp_1_2019_,spring_1  spring_1,research  research,process  process,methodology  methodology,rpm  rpm,sp  sp,2019</t>
  </si>
  <si>
    <t>external,modified  modified,january  january,2018</t>
  </si>
  <si>
    <t>ishumemon,ishumemon  undid,revision  revision,889303306  889303306,special  special,ishumemon</t>
  </si>
  <si>
    <t>indiana_university_of_pennsylvania,english_101  english_101,_section_2_  _section_2_,spring_2019  spring_2019,english  english,101</t>
  </si>
  <si>
    <t>new_york_university,research_process_and_methodology_  research_process_and_methodology_,_rpm_sp_2_2019_  _rpm_sp_2_2019_,spring_2  spring_2,research  research,process  process,methodology  methodology,rpm  rpm,sp  sp,2019</t>
  </si>
  <si>
    <t>rowan_college_at_burlington_county,society  society,_ethics  _ethics,_and_technology_  _and_technology_,summer  summer,society  society,ethics  ethics,technology</t>
  </si>
  <si>
    <t>california_state_university,_fresno  _fresno,psych_244_  psych_244_,_research_methods_  _research_methods_,fall_2019  fall_2019,psych  psych,244  244,research  research,methods</t>
  </si>
  <si>
    <t>florida_atlantic_university,special_topics_college_writing_ii_  special_topics_college_writing_ii_,fall_2019  fall_2019,special  special,topics  topics,college  college,writing  writing,ii</t>
  </si>
  <si>
    <t>addition,image  image,mental  mental,health  health,effects</t>
  </si>
  <si>
    <t>chg,settings  settings,work  work,reason  reason,replacing  replacing,functional  functional,settings  settings,talkpage  addition,image  image,mental  mental,health</t>
  </si>
  <si>
    <t>hunter_college,_cuny  _cuny,critical_and_feminist_methodologies_  critical_and_feminist_methodologies_,_editing_wikipedia_  _editing_wikipedia_,fall_2019  fall_2019,critical  critical,feminist  feminist,methodologies  methodologies,editing</t>
  </si>
  <si>
    <t>','  social,media  media,bot  13,social  failure,ceterach  ceterach,exceptions  exceptions,editerror  editerror,'spamblacklist'  'spamblacklist',ceteracherror  ceteracherror,'your</t>
  </si>
  <si>
    <t>infomation,privacy  privacy,employers  employers,social  social,media  technical,13  13,1ca  1ca,oneclickarchiver  oneclickarchiver,archived  archived,special  special,diff</t>
  </si>
  <si>
    <t>image,intro</t>
  </si>
  <si>
    <t>fix,bot  bot,replaced  replaced,bot  bot,miszabot  miszabot,iii  iii,bot  bot,lowercase  lowercase,sigmabot  sigmabot,iii</t>
  </si>
  <si>
    <t>modification,characteristics  characteristics,social  social,media</t>
  </si>
  <si>
    <t>saco,gato  gato,eu  eu,nuygfhduysgdyigyeuegdydgfydgfhdgfhgdhfghdgfhdgfhgdgfhgfhdgfhdgfhdgfhdgfhdgfhdghfghdgfhdgfhdgfhdgfhdgfhdghfgdhfghdgfhdgfghdgfhdgfhdgfgdhfgdhgfhdgfhgdhfgdhgfdhgfhdgfhdgfhghfgdhgfhdgfho  nuygfhduysgdyigyeuegdydgfydgfhdgfhgdhfghdgfhdgfhgdgfhgfhdgfhdgfhdgfhdgfhdgfhdghfghdgfhdgfhdgfhdgfhdgfhdghfgdhfghdgfhdgfghdgfhdgfhdgfgdhfgdhgfhdgfhgdhfgdhgfdhgfhdgfhdgfhghfgdhgfhdgfho,saco  eu,nuygfhduysgdyigyeuegdydgfydgfhdgfhgdhfghdgfhdgfhgdgfhgfhdgfhdgfhdgfhdgfhdgfhdghfghdg</t>
  </si>
  <si>
    <t>2001,818  818,e65b  e65b,5000  5000,f17a  f17a,261d  261d,71be  71be,622f  622f,2001  reverted,special  special,contribs</t>
  </si>
  <si>
    <t>university_of_massachusetts_lowell,qualitative_research_advanced_topics_  qualitative_research_advanced_topics_,spring_2020  spring_2020,qualitative  qualitative,research  research,advanced  advanced,topics</t>
  </si>
  <si>
    <t>simon_fraser_university,news_media  news_media,_the_public_and_democracy_  _the_public_and_democracy_,spring  spring,news  news,media  media,public  public,democracy</t>
  </si>
  <si>
    <t>list,social  social,media  media,frauds</t>
  </si>
  <si>
    <t>history,social  social,media</t>
  </si>
  <si>
    <t>merge,sign</t>
  </si>
  <si>
    <t>social,impacts  impacts,changed  changed,idea  social,media  media,injuries  injuries,deaths  deaths,social</t>
  </si>
  <si>
    <t>Top Word Pairs in Edit Comment by Salience</t>
  </si>
  <si>
    <t>social,media  80,44  216,165  165,95  95,184  kaitlin,hurley  184,100  100,136  136,167  209,51</t>
  </si>
  <si>
    <t>definition,paragraph  paragraph,social  defining,social  redefining,social  social,media</t>
  </si>
  <si>
    <t>business,topic  addition,social  social,media  media,business</t>
  </si>
  <si>
    <t>file,social  social,share  share,buttons  buttons,png  png,user_talk  user_talk,errantx  errantx,feedback  feedback,commonsnotificationbot  changelog,r97  file,socialmediavenndiagram</t>
  </si>
  <si>
    <t>left,2012  2012,stuff  notable,influencers  influencers,biased</t>
  </si>
  <si>
    <t>92,24  24,201  201,188  210,23  23,25  25,13  146,141  141,92  68,123  123,236</t>
  </si>
  <si>
    <t>weight,thx  undue,weight</t>
  </si>
  <si>
    <t>balon,greyjoy  v1,balon  greyjoy,balon  v1,4beta  4beta,josve05a  josve05a,josve05a  notification,altered  altered,sources  sources,review  review,#iabot</t>
  </si>
  <si>
    <t>san_diego_state_university,ed690_methods_of_inquiry_  ed690_methods_of_inquiry_,fall_2018  fall_2018,ed690  ed690,methods  methods,inquiry  political,polarization</t>
  </si>
  <si>
    <t>','  13,social  failure,ceterach  ceterach,exceptions  exceptions,editerror  editerror,'spamblacklist'  'spamblacklist',ceteracherror  ceteracherror,'your  'your,saved  saved,external</t>
  </si>
  <si>
    <t>employers,social  social,media  technical,13  13,1ca  1ca,oneclickarchiver  oneclickarchiver,archived  archived,special  special,diff  diff,923212987  923212987,infomation</t>
  </si>
  <si>
    <t>impacts,changed  changed,idea  social,media  media,injuries  injuries,deaths  deaths,social  social,impacts</t>
  </si>
  <si>
    <t>192, 192, 192</t>
  </si>
  <si>
    <t>255, 128, 0</t>
  </si>
  <si>
    <t>G1: social media special definition 165 184 70 classification 80 44</t>
  </si>
  <si>
    <t>G3: fall_2019 research methods image california_state_university _fresno psych_244_ _research_methods_ psych 244</t>
  </si>
  <si>
    <t>G5: media social bot university_of_massachusetts_lowell qualitative_research_advanced_topics_ spring_2020 qualitative research advanced</t>
  </si>
  <si>
    <t>G6: media spring_2018 fall_2017 middle_georgia_state_university new_media_ tulsa_community_college english_1213 english 1213 updates</t>
  </si>
  <si>
    <t>G7: fall_2018 'social merging networking service' media' louisiana_state_university introduction_to_information_and_society_ introduction information</t>
  </si>
  <si>
    <t>G9: buzzword fix bingo land social media notification deletion file commonsnotificationbot</t>
  </si>
  <si>
    <t>G10: media social alternate reality undue weight image changes</t>
  </si>
  <si>
    <t>G11: privacy easier understand</t>
  </si>
  <si>
    <t>G12: social media definition</t>
  </si>
  <si>
    <t>Edge Weight▓1▓2▓0▓True▓Silver▓255, 128, 0▓▓Edge Weight▓1▓2▓0▓3▓10▓False▓Edge Weight▓1▓2▓0▓70▓40▓False▓▓0▓0▓0▓True▓Black▓Black▓▓Betweenness Centrality▓0▓3166.72619▓3▓50▓200▓False▓▓0▓0▓0▓0▓0▓False▓▓0▓0▓0▓0▓0▓False▓▓0▓0▓0▓0▓0▓False</t>
  </si>
  <si>
    <t>GraphSource░MediaWiki▓GraphTerm░Social_media▓ImportDescription░The graph represents the User-User Discussions network of the "Social_media" seed article in en.wikipedia.org MediaWiki domain.  The network was obtained from MediaWiki on Friday, 11 September 2020 at 10:15 UTC.
The 1000 most recent revisions are being analyzed.▓ImportSuggestedTitle░MediaWiki Map for "Social_media" article▓ImportSuggestedFileNameNoExtension░2020-09-11 10-12-18 NodeXL MediaWiki Social_media▓GroupingDescription░The graph's vertices were grouped by cluster using the Clauset-Newman-Moore cluster algorithm.▓LayoutAlgorithm░The graph was laid out using the Fruchterman-Reingold layout algorithm.▓GraphDirectedness░The graph is directed.</t>
  </si>
  <si>
    <t>MediaWiki</t>
  </si>
  <si>
    <t>Social_media</t>
  </si>
  <si>
    <t>The graph represents the User-User Discussions network of the "Social_media" seed article in en.wikipedia.org MediaWiki domain.  The network was obtained from MediaWiki on Friday, 11 September 2020 at 10:15 UTC.
The 1000 most recent revisions are being analyzed.</t>
  </si>
  <si>
    <t>The graph was laid out using the Fruchterman-Reingold layout algorithm.</t>
  </si>
  <si>
    <t>The graph's vertices were grouped by cluster using the Clauset-Newman-Moore cluster algorithm.</t>
  </si>
  <si>
    <t>a ye year years yes yet yo you you'd you'll you're you've youd youll your youre yours yourself yourselves youve yu z
add added adding archive archiving article assignment category comment content contribution contributions details discussion edit edited edits link links page proposal propose proposed protected replied reply replying request requested requesting section semi shortening sidbar signing suggestion suggestions table talk tw update user version wiki wiki_ed wikipedia wp▓SentimentList1Name░List1▓SentimentList2Name░List2▓SentimentList3Name░List3▓SentimentList1FriendlyName░Positive▓SentimentList2FriendlyName░Negative▓SentimentList3FriendlyName░(Add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t>
  </si>
  <si>
    <t>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
  </si>
  <si>
    <t>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t>
  </si>
  <si>
    <t>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t>
  </si>
  <si>
    <t>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t>
  </si>
  <si>
    <t>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t>
  </si>
  <si>
    <t>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t>
  </si>
  <si>
    <t>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t>
  </si>
  <si>
    <t>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t>
  </si>
  <si>
    <t>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t>
  </si>
  <si>
    <t>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&lt;IsEdgeColumn&gt;true&lt;/IsEdgeColumn&gt;
            &lt;StatusColumnName&gt;Edit Comment&lt;/StatusColumnName&gt;
            &lt;TopTweetersMentionedRepliedTo&gt;false&lt;/TopTweetersMentionedRepliedTo&gt;
            &lt;NetworkTopItemsUserSettingsToCalculate /&gt;
          &lt;/NetworkTopItemsListUserSettings&gt;
        &lt;/value&gt;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&lt;/GraphMetricUserSettings&gt;
    &lt;GroupUserSettings&gt;
      &lt;setting name="ReadGroups" serializeAs="String"</t>
  </si>
  <si>
    <t>&gt;
        &lt;value&gt;True&lt;/value&gt;
      &lt;/setting&gt;
    &lt;/GroupUserSettings&gt;
    &lt;ColumnGroupUserSettings&gt;
      &lt;setting name="ColumnGroupsToShow" serializeAs="String"&gt;
        &lt;value&gt;EdgeDoNotHide, EdgeGraphMetrics, EdgeOtherColumns, VertexDoNotHide, VertexGraphMetrics, VertexOtherColumns, GroupDoNotHide, GroupGraphMetrics, GroupEdgeDoNotHide, GroupEdgeGraphMetrics&lt;/value&gt;
      &lt;/setting&gt;
    &lt;/ColumnGroupUserSettings&gt;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&lt;/AutomateTasksUserSettings&gt;
    &lt;AutoFillUserSettings3&gt;
      &lt;setting name="EdgeWidthSourceColumnName" serializeAs="String"&gt;
        &lt;value&gt;Edge Weight&lt;/value&gt;
      &lt;/setting&gt;
      &lt;setting name="VertexLayoutOrderSourceColumnName" serializeAs="String"&gt;
        &lt;value&gt;Betweenness Centrality&lt;/value&gt;
      &lt;/setting&gt;
      &lt;setting name="VertexLabelFillColorSourceColumnName" serializeAs="String"&gt;
        &lt;value /&gt;
      &lt;/setting&gt;
      &lt;setting name="VertexPolarRSourceColumnName" serializeAs="String"&gt;
        &lt;value /&gt;
      &lt;/setting&gt;
      &lt;setting name="EdgeStyleSourceColumnName" serializeAs="String"&gt;
        &lt;value /&gt;
      &lt;/setting&gt;
      &lt;setting name="VertexToolTipSourceColumnName" serializeAs="String"&gt;
        &lt;value&gt;Vertex&lt;/value&gt;
      &lt;/setting&gt;
      &lt;setting name="GroupCollapsedSourceColumnName" serializeAs="String"&gt;
        &lt;value /&gt;
      &lt;/setting&gt;
      &lt;setting name="VertexShapeSourceColumnName" serializeAs="String"&gt;
        &lt;value /&gt;
      &lt;/setting&gt;
      &lt;setting name="VertexYSourceColumnName" serializeAs="String"&gt;
        &lt;value /&gt;
      &lt;/setting&gt;
      &lt;setting name="VertexColorSourceColumnName" serializeAs="String"&gt;
        &lt;value /&gt;
      &lt;/setting&gt;
      &lt;setting name="VertexLabelPositionSourceColumnName" serializeAs="String"&gt;
        &lt;value /&gt;
      &lt;/setting&gt;
      &lt;setting name="EdgeVisibilitySourceColumnName" serializeAs="String"&gt;
        &lt;value /&gt;
      &lt;/setting&gt;
      &lt;setting name="EdgeLabelSourceColumnName" serializeAs="String"&gt;
        &lt;value /&gt;
      &lt;/setting&gt;
      &lt;setting name="VertexVisibilitySourceColumnName" serializeAs="String"&gt;
        &lt;value /&gt;
      &lt;/setting&gt;
      &lt;setting name="GroupLabelSourceColumnName" serializeAs="String"&gt;
        &lt;value&gt;Top Words in Edit Comment&lt;/value&gt;
      &lt;/setting&gt;
      &lt;setting name="VertexAlphaSourceColumnName" serializeAs="String"&gt;
        &lt;value /&gt;
      &lt;/setting&gt;
      &lt;setting name="VertexRadiusSourceColumnName" serializeAs="String"&gt;
        &lt;value&gt;Betweenness Centrality&lt;/value&gt;
      &lt;/setting&gt;
      &lt;setting name="EdgeColorSourceColumnName" serializeAs="String"&gt;
        &lt;value&gt;Edge Weight&lt;/value&gt;
      &lt;/setting&gt;
      &lt;setting name="VertexLabelSourceColumnName" serializeAs="String"&gt;
        &lt;value&gt;Vertex&lt;/value&gt;
      &lt;/setting&gt;
      &lt;setting name="VertexPolarAngleSourceColumnName" serializeAs="String"&gt;
        &lt;value /&gt;
      &lt;/setting&gt;
      &lt;setting name="EdgeAlphaSourceColumnName" serializeAs="String"&gt;
        &lt;value&gt;Edge Weight&lt;/value&gt;
      &lt;/setting&gt;
      &lt;setting name="VertexXSourceColumnName" serializeAs="String"&gt;
        &lt;value /&gt;
      &lt;/setting&gt;
      &lt;setting name="EdgeColorDetails" serializeAs="String"&gt;
        &lt;value&gt;False False 0 0 Silver 255, 128, 0 True False True&lt;/value&gt;
      &lt;/setting&gt;
      &lt;setting name="EdgeWidthDetails" serializeAs="String"&gt;
        &lt;value&gt;False False 0 0 3 10 True False&lt;/value&gt;
      &lt;/setting&gt;
      &lt;setting name="VertexColorDetails" serializeAs="String"&gt;
        &lt;value&gt;False False 0 10 241, 137, 4 46, 7, 195 False False True&lt;/value&gt;
      &lt;/setting&gt;
      &lt;setting name="VertexLabelFillColorDetails" serializeAs="String"&gt;
        &lt;value&gt;False False 0 10 241, 137, 4 46, 7, 195 False False True&lt;/value&gt;
      &lt;/setting&gt;
      &lt;setting name="EdgeVisibilityDetails" serializeAs="String"&gt;
        &lt;value&gt;GreaterThan 0 Show Skip&lt;/value&gt;
      &lt;/setting&gt;
      &lt;setting name="VertexAlphaDetails" serializeAs="String"&gt;
        &lt;value&gt;False False 0 100 10 100 False False&lt;/value&gt;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name="VertexPolarRDetails" serializeAs="String"&gt;
        &lt;value&gt;False False 0 0 0 1 False False&lt;/value&gt;
      &lt;/setting&gt;
      &lt;setting name="EdgeStyleDetails" serializeAs="String"&gt;
        &lt;value&gt;GreaterThan 0 Solid Dash&lt;/value&gt;
      &lt;/setting&gt;
      &lt;setting name="VertexPolarAngleDetails" serializeAs="String"&gt;
        &lt;value&gt;False False 0 0 0 359 False False&lt;/value&gt;
      &lt;/setting&gt;
      &lt;setting name="VertexRadiusDetails" serializeAs="String"&gt;
        &lt;value&gt;False False 0 0 50 200 True False&lt;/value&gt;
      &lt;/setting&gt;
      &lt;setting name="VertexXDetails" serializeAs="String"&gt;
        &lt;value&gt;False False 0 0 0 9999 False False&lt;/value&gt;
      &lt;/setting&gt;
      &lt;setting name="EdgeAlphaDetails" serializeAs="String"&gt;
        &lt;value&gt;False False 0 0 70 40 True False&lt;/value&gt;
      &lt;/setting&gt;
      &lt;setting name="VertexLayoutOrderDetails" serializeAs="String"&gt;
        &lt;value&gt;False False 0 0 1 9999 False False&lt;/value&gt;
      &lt;/setting&gt;
      &lt;setting name="VertexVisibilityDetails" serializeAs="String"&gt;
        &lt;value&gt;GreaterThan 0 Show if in an Edge Sk</t>
  </si>
  <si>
    <t>social media citations definition dpeck0404 oneworldtv miniclip reasons current summary</t>
  </si>
  <si>
    <t>92 reverted special revision 24 201 188 sinebot 68 123</t>
  </si>
  <si>
    <t>media social business removal addition list buzz change claiming poor</t>
  </si>
  <si>
    <t>141,92</t>
  </si>
  <si>
    <t>210,23</t>
  </si>
  <si>
    <t>reverted,special  92,24  24,201  201,188  68,123  123,236  236,177  146,141  141,92  210,23</t>
  </si>
  <si>
    <t>affirming definition kevin roberts cents gauge consensus entry</t>
  </si>
  <si>
    <t>business sources meeting rs</t>
  </si>
  <si>
    <t>untag dead</t>
  </si>
  <si>
    <t>list social media application sources meeting rs</t>
  </si>
  <si>
    <t>'social media' marketing buzzword neologism neo</t>
  </si>
  <si>
    <t>92 reverted special 24 201 188 210 23 25 13</t>
  </si>
  <si>
    <t>limits speech charlie rm obvious relevance notforum</t>
  </si>
  <si>
    <t>oops assess wikiproject marketing advertising</t>
  </si>
  <si>
    <t>199 216 220 reverted special revision sheldond51</t>
  </si>
  <si>
    <t>aes replaced 'g'</t>
  </si>
  <si>
    <t>cluebot iii template oca annual readership setting help automatically talkcond</t>
  </si>
  <si>
    <t>dpm64,'s  's,improvement  improvement,article's  article's,adventures  adventures,blogs  'social,media'  media',marketing  marketing,buzzword  buzzword,neologism  neologism,neo</t>
  </si>
  <si>
    <t>affirming,definition  definition,kevin  kevin,roberts  cents,gauge  gauge,consensus  consensus,entry</t>
  </si>
  <si>
    <t>sources,meeting  meeting,rs</t>
  </si>
  <si>
    <t>untag,dead</t>
  </si>
  <si>
    <t>list,social  social,media  media,application  sources,meeting  meeting,rs</t>
  </si>
  <si>
    <t>'social,media'  media',marketing  marketing,buzzword  buzzword,neologism  neologism,neo</t>
  </si>
  <si>
    <t>reverted,special  92,24  24,201  201,188  210,23  23,25  25,13  146,141  141,92  68,123</t>
  </si>
  <si>
    <t>limits,speech  speech,charlie  charlie,rm  rm,obvious  obvious,relevance  relevance,notforum</t>
  </si>
  <si>
    <t>assess,wikiproject  wikiproject,marketing  marketing,advertising</t>
  </si>
  <si>
    <t>199,216  216,220  220,199  reverted,special  special,199  220,revision  revision,sheldond51</t>
  </si>
  <si>
    <t>aes,replaced  replaced,'g'</t>
  </si>
  <si>
    <t>cluebot,iii  annual,readership  setting,cluebot  iii,cluebot  iii,help  help,automatically  automatically,talkcond  talkcond,modify  modify,template  template,oca</t>
  </si>
  <si>
    <t>G2: social media citations definition dpeck0404 oneworldtv miniclip reasons current summary</t>
  </si>
  <si>
    <t>G4: 92 reverted special revision 24 201 188 sinebot 68 123</t>
  </si>
  <si>
    <t>G8: media social business removal addition list buzz change claiming poor</t>
  </si>
  <si>
    <t>https://nodexlgraphgallery.org/Pages/Graph.aspx?graphID=234959</t>
  </si>
  <si>
    <t>ip&lt;/value&gt;
      &lt;/setting&gt;
      &lt;setting name="VertexYDetails" serializeAs="String"&gt;
        &lt;value&gt;False False 0 0 0 9999 False False&lt;/value&gt;
      &lt;/setting&gt;
      &lt;setting name="GroupLabelDetails" serializeAs="String"&gt;
        &lt;value&gt;True&lt;/value&gt;
      &lt;/setting&gt;
    &lt;/AutoFillUserSettings3&gt;
    &lt;ImportDataUserSettings&gt;
      &lt;setting name="SaveImportDescription" serializeAs="String"&gt;
        &lt;value&gt;True&lt;/value&gt;
      &lt;/setting&gt;
      &lt;setting name="AutomateAfterImport" serializeAs="String"&gt;
        &lt;value&gt;False&lt;/value&gt;
      &lt;/setting&gt;
      &lt;setting name="ClearTablesBeforeImport" serializeAs="String"&gt;
        &lt;value&gt;True&lt;/value&gt;
      &lt;/setting&gt;
    &lt;/ImportDataUserSettings&gt;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name="NewWorkbookGraphDirectedness" serializeAs="String"&gt;
        &lt;value&gt;Directed&lt;/value&gt;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24pt White BottomCenter 2147483647 2147483647 Black True 418 Black 86 TopLeft Microsoft Sans Serif, 8.25pt Microsoft Sans Serif, 9pt&lt;/value&gt;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&lt;value&gt;Disk&lt;/value&gt;
      &lt;/setting&gt;
      &lt;setting name="EdgeCurveStyle" serializeAs="String"&gt;
        &lt;value&gt;Bezier&lt;/value&gt;
      &lt;/setting&gt;
    &lt;/GeneralUserSettings4&gt;
    &lt;AutoScaleUserSettings&gt;
      &lt;setting name="AutoScale" serializeAs="String"&gt;
        &lt;value&gt;True&lt;/value&gt;
      &lt;/setting&gt;
    &lt;/AutoScaleUserSettings&gt;
    &lt;GraphZoomAndScaleUserSettings&gt;
      &lt;setting name="GraphScale" serializeAs="String"&gt;
        &lt;value&gt;0.25&lt;/value&gt;
      &lt;/setting&gt;
    &lt;/GraphZoomAndScaleUserSettings&gt;
    &lt;PlugInUserSettings&gt;
      &lt;setting name="PlugInFolderPath" serializeAs="String"&gt;
        &lt;value /&gt;
      &lt;/setting&gt;
    &lt;/PlugInUserSettings&gt;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</si>
</sst>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0" borderId="0" xfId="28"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Alignment="1" quotePrefix="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49" fontId="6" fillId="5" borderId="1" xfId="25" applyNumberFormat="1" quotePrefix="1"/>
    <xf numFmtId="0" fontId="0" fillId="0" borderId="0" xfId="0" applyAlignment="1" quotePrefix="1">
      <alignment wrapText="1"/>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32">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31"/>
      <tableStyleElement type="headerRow" dxfId="230"/>
    </tableStyle>
    <tableStyle name="NodeXL Table" pivot="0" count="1">
      <tableStyleElement type="headerRow" dxfId="22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6696720"/>
        <c:axId val="17617297"/>
      </c:barChart>
      <c:catAx>
        <c:axId val="466967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617297"/>
        <c:crosses val="autoZero"/>
        <c:auto val="1"/>
        <c:lblOffset val="100"/>
        <c:noMultiLvlLbl val="0"/>
      </c:catAx>
      <c:valAx>
        <c:axId val="176172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967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4337946"/>
        <c:axId val="17714923"/>
      </c:barChart>
      <c:catAx>
        <c:axId val="243379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714923"/>
        <c:crosses val="autoZero"/>
        <c:auto val="1"/>
        <c:lblOffset val="100"/>
        <c:noMultiLvlLbl val="0"/>
      </c:catAx>
      <c:valAx>
        <c:axId val="177149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379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5216580"/>
        <c:axId val="25622629"/>
      </c:barChart>
      <c:catAx>
        <c:axId val="2521658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622629"/>
        <c:crosses val="autoZero"/>
        <c:auto val="1"/>
        <c:lblOffset val="100"/>
        <c:noMultiLvlLbl val="0"/>
      </c:catAx>
      <c:valAx>
        <c:axId val="256226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165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9277070"/>
        <c:axId val="62167039"/>
      </c:barChart>
      <c:catAx>
        <c:axId val="292770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167039"/>
        <c:crosses val="autoZero"/>
        <c:auto val="1"/>
        <c:lblOffset val="100"/>
        <c:noMultiLvlLbl val="0"/>
      </c:catAx>
      <c:valAx>
        <c:axId val="621670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770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2632440"/>
        <c:axId val="2365369"/>
      </c:barChart>
      <c:catAx>
        <c:axId val="2263244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65369"/>
        <c:crosses val="autoZero"/>
        <c:auto val="1"/>
        <c:lblOffset val="100"/>
        <c:noMultiLvlLbl val="0"/>
      </c:catAx>
      <c:valAx>
        <c:axId val="23653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6324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1288322"/>
        <c:axId val="57377171"/>
      </c:barChart>
      <c:catAx>
        <c:axId val="2128832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377171"/>
        <c:crosses val="autoZero"/>
        <c:auto val="1"/>
        <c:lblOffset val="100"/>
        <c:noMultiLvlLbl val="0"/>
      </c:catAx>
      <c:valAx>
        <c:axId val="573771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2883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6632492"/>
        <c:axId val="17039245"/>
      </c:barChart>
      <c:catAx>
        <c:axId val="4663249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039245"/>
        <c:crosses val="autoZero"/>
        <c:auto val="1"/>
        <c:lblOffset val="100"/>
        <c:noMultiLvlLbl val="0"/>
      </c:catAx>
      <c:valAx>
        <c:axId val="170392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324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9135478"/>
        <c:axId val="38001575"/>
      </c:barChart>
      <c:catAx>
        <c:axId val="191354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001575"/>
        <c:crosses val="autoZero"/>
        <c:auto val="1"/>
        <c:lblOffset val="100"/>
        <c:noMultiLvlLbl val="0"/>
      </c:catAx>
      <c:valAx>
        <c:axId val="38001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354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469856"/>
        <c:axId val="58228705"/>
      </c:barChart>
      <c:catAx>
        <c:axId val="6469856"/>
        <c:scaling>
          <c:orientation val="minMax"/>
        </c:scaling>
        <c:axPos val="b"/>
        <c:delete val="1"/>
        <c:majorTickMark val="out"/>
        <c:minorTickMark val="none"/>
        <c:tickLblPos val="none"/>
        <c:crossAx val="58228705"/>
        <c:crosses val="autoZero"/>
        <c:auto val="1"/>
        <c:lblOffset val="100"/>
        <c:noMultiLvlLbl val="0"/>
      </c:catAx>
      <c:valAx>
        <c:axId val="58228705"/>
        <c:scaling>
          <c:orientation val="minMax"/>
        </c:scaling>
        <c:axPos val="l"/>
        <c:delete val="1"/>
        <c:majorTickMark val="out"/>
        <c:minorTickMark val="none"/>
        <c:tickLblPos val="none"/>
        <c:crossAx val="646985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668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335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0993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641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317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8984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309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632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D361" totalsRowShown="0" headerRowDxfId="228" dataDxfId="192">
  <autoFilter ref="A2:AD361"/>
  <tableColumns count="30">
    <tableColumn id="1" name="Vertex 1" dataDxfId="177"/>
    <tableColumn id="2" name="Vertex 2" dataDxfId="175"/>
    <tableColumn id="3" name="Color" dataDxfId="176"/>
    <tableColumn id="4" name="Width" dataDxfId="201"/>
    <tableColumn id="11" name="Style" dataDxfId="200"/>
    <tableColumn id="5" name="Opacity" dataDxfId="199"/>
    <tableColumn id="6" name="Visibility" dataDxfId="198"/>
    <tableColumn id="10" name="Label" dataDxfId="197"/>
    <tableColumn id="12" name="Label Text Color" dataDxfId="196"/>
    <tableColumn id="13" name="Label Font Size" dataDxfId="195"/>
    <tableColumn id="14" name="Reciprocated?" dataDxfId="123"/>
    <tableColumn id="7" name="ID" dataDxfId="194"/>
    <tableColumn id="9" name="Dynamic Filter" dataDxfId="193"/>
    <tableColumn id="8" name="Add Your Own Columns Here" dataDxfId="174"/>
    <tableColumn id="15" name="Relationship" dataDxfId="173"/>
    <tableColumn id="16" name="Edge Weight" dataDxfId="172"/>
    <tableColumn id="17" name="Edge Type" dataDxfId="171"/>
    <tableColumn id="18" name="Edit Comment" dataDxfId="170"/>
    <tableColumn id="19" name="Edit Size" dataDxfId="139"/>
    <tableColumn id="20" name="Vertex 1 Group" dataDxfId="138">
      <calculatedColumnFormula>REPLACE(INDEX(GroupVertices[Group], MATCH(Edges[[#This Row],[Vertex 1]],GroupVertices[Vertex],0)),1,1,"")</calculatedColumnFormula>
    </tableColumn>
    <tableColumn id="21" name="Vertex 2 Group" dataDxfId="103">
      <calculatedColumnFormula>REPLACE(INDEX(GroupVertices[Group], MATCH(Edges[[#This Row],[Vertex 2]],GroupVertices[Vertex],0)),1,1,"")</calculatedColumnFormula>
    </tableColumn>
    <tableColumn id="22" name="Sentiment List #1: List1 Word Count" dataDxfId="102"/>
    <tableColumn id="23" name="Sentiment List #1: List1 Word Percentage (%)" dataDxfId="101"/>
    <tableColumn id="24" name="Sentiment List #2: List2 Word Count" dataDxfId="100"/>
    <tableColumn id="25" name="Sentiment List #2: List2 Word Percentage (%)" dataDxfId="99"/>
    <tableColumn id="26" name="Sentiment List #3: List3 Word Count" dataDxfId="98"/>
    <tableColumn id="27" name="Sentiment List #3: List3 Word Percentage (%)" dataDxfId="97"/>
    <tableColumn id="28" name="Non-categorized Word Count" dataDxfId="96"/>
    <tableColumn id="29" name="Non-categorized Word Percentage (%)" dataDxfId="95"/>
    <tableColumn id="30" name="Edge Content Word Count" dataDxfId="9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63" totalsRowShown="0" headerRowDxfId="155" dataDxfId="154">
  <autoFilter ref="A1:G763"/>
  <tableColumns count="7">
    <tableColumn id="1" name="Word" dataDxfId="122"/>
    <tableColumn id="2" name="Count" dataDxfId="121"/>
    <tableColumn id="3" name="Salience" dataDxfId="120"/>
    <tableColumn id="4" name="Group" dataDxfId="119"/>
    <tableColumn id="5" name="Word on Sentiment List #1: List1" dataDxfId="118"/>
    <tableColumn id="6" name="Word on Sentiment List #2: List2" dataDxfId="117"/>
    <tableColumn id="7" name="Word on Sentiment List #3: List3" dataDxfId="11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84" totalsRowShown="0" headerRowDxfId="153" dataDxfId="152">
  <autoFilter ref="A1:L584"/>
  <tableColumns count="12">
    <tableColumn id="1" name="Word 1" dataDxfId="115"/>
    <tableColumn id="2" name="Word 2" dataDxfId="114"/>
    <tableColumn id="3" name="Count" dataDxfId="113"/>
    <tableColumn id="4" name="Salience" dataDxfId="112"/>
    <tableColumn id="5" name="Mutual Information" dataDxfId="111"/>
    <tableColumn id="6" name="Group" dataDxfId="110"/>
    <tableColumn id="7" name="Word1 on Sentiment List #1: List1" dataDxfId="109"/>
    <tableColumn id="8" name="Word1 on Sentiment List #2: List2" dataDxfId="108"/>
    <tableColumn id="9" name="Word1 on Sentiment List #3: List3" dataDxfId="107"/>
    <tableColumn id="10" name="Word2 on Sentiment List #1: List1" dataDxfId="106"/>
    <tableColumn id="11" name="Word2 on Sentiment List #2: List2" dataDxfId="105"/>
    <tableColumn id="12" name="Word2 on Sentiment List #3: List3" dataDxfId="104"/>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41" totalsRowShown="0" headerRowDxfId="151" dataDxfId="150">
  <autoFilter ref="A2:C41"/>
  <tableColumns count="3">
    <tableColumn id="1" name="Group 1" dataDxfId="75"/>
    <tableColumn id="2" name="Group 2" dataDxfId="74"/>
    <tableColumn id="3" name="Edges" dataDxfId="73"/>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149" dataDxfId="148">
  <autoFilter ref="A1:B7"/>
  <tableColumns count="2">
    <tableColumn id="1" name="Key" dataDxfId="57"/>
    <tableColumn id="2" name="Value" dataDxfId="56"/>
  </tableColumns>
  <tableStyleInfo name="NodeXL Table" showFirstColumn="0" showLastColumn="0" showRowStripes="1" showColumnStripes="0"/>
</table>
</file>

<file path=xl/tables/table15.xml><?xml version="1.0" encoding="utf-8"?>
<table xmlns="http://schemas.openxmlformats.org/spreadsheetml/2006/main" id="18" name="TopItems_1" displayName="TopItems_1" ref="A1:B11" totalsRowShown="0" headerRowDxfId="61" dataDxfId="60">
  <autoFilter ref="A1:B11"/>
  <tableColumns count="2">
    <tableColumn id="1" name="Top 10 Vertices, Ranked by Betweenness Centrality" dataDxfId="59"/>
    <tableColumn id="2" name="Betweenness Centrality" dataDxfId="58"/>
  </tableColumns>
  <tableStyleInfo name="NodeXL Table" showFirstColumn="0" showLastColumn="0" showRowStripes="1" showColumnStripes="0"/>
</table>
</file>

<file path=xl/tables/table16.xml><?xml version="1.0" encoding="utf-8"?>
<table xmlns="http://schemas.openxmlformats.org/spreadsheetml/2006/main" id="19" name="NetworkTopItems_1" displayName="NetworkTopItems_1" ref="A1:V11" totalsRowShown="0" headerRowDxfId="55" dataDxfId="54">
  <autoFilter ref="A1:V11"/>
  <tableColumns count="22">
    <tableColumn id="1" name="Top Words in Edit Comment in Entire Graph" dataDxfId="53"/>
    <tableColumn id="2" name="Entire Graph Count" dataDxfId="52"/>
    <tableColumn id="3" name="Top Words in Edit Comment in G1" dataDxfId="51"/>
    <tableColumn id="4" name="G1 Count" dataDxfId="50"/>
    <tableColumn id="5" name="Top Words in Edit Comment in G2" dataDxfId="49"/>
    <tableColumn id="6" name="G2 Count" dataDxfId="48"/>
    <tableColumn id="7" name="Top Words in Edit Comment in G3" dataDxfId="47"/>
    <tableColumn id="8" name="G3 Count" dataDxfId="46"/>
    <tableColumn id="9" name="Top Words in Edit Comment in G4" dataDxfId="45"/>
    <tableColumn id="10" name="G4 Count" dataDxfId="44"/>
    <tableColumn id="11" name="Top Words in Edit Comment in G5" dataDxfId="43"/>
    <tableColumn id="12" name="G5 Count" dataDxfId="42"/>
    <tableColumn id="13" name="Top Words in Edit Comment in G6" dataDxfId="41"/>
    <tableColumn id="14" name="G6 Count" dataDxfId="40"/>
    <tableColumn id="15" name="Top Words in Edit Comment in G7" dataDxfId="39"/>
    <tableColumn id="16" name="G7 Count" dataDxfId="38"/>
    <tableColumn id="17" name="Top Words in Edit Comment in G8" dataDxfId="37"/>
    <tableColumn id="18" name="G8 Count" dataDxfId="36"/>
    <tableColumn id="19" name="Top Words in Edit Comment in G9" dataDxfId="35"/>
    <tableColumn id="20" name="G9 Count" dataDxfId="34"/>
    <tableColumn id="21" name="Top Words in Edit Comment in G10" dataDxfId="33"/>
    <tableColumn id="22" name="G10 Count" dataDxfId="32"/>
  </tableColumns>
  <tableStyleInfo name="NodeXL Table" showFirstColumn="0" showLastColumn="0" showRowStripes="1" showColumnStripes="0"/>
</table>
</file>

<file path=xl/tables/table17.xml><?xml version="1.0" encoding="utf-8"?>
<table xmlns="http://schemas.openxmlformats.org/spreadsheetml/2006/main" id="20" name="NetworkTopItems_2" displayName="NetworkTopItems_2" ref="A14:V24" totalsRowShown="0" headerRowDxfId="30" dataDxfId="29">
  <autoFilter ref="A14:V24"/>
  <tableColumns count="22">
    <tableColumn id="1" name="Top Word Pairs in Edit Comment in Entire Graph" dataDxfId="28"/>
    <tableColumn id="2" name="Entire Graph Count" dataDxfId="27"/>
    <tableColumn id="3" name="Top Word Pairs in Edit Comment in G1" dataDxfId="26"/>
    <tableColumn id="4" name="G1 Count" dataDxfId="25"/>
    <tableColumn id="5" name="Top Word Pairs in Edit Comment in G2" dataDxfId="24"/>
    <tableColumn id="6" name="G2 Count" dataDxfId="23"/>
    <tableColumn id="7" name="Top Word Pairs in Edit Comment in G3" dataDxfId="22"/>
    <tableColumn id="8" name="G3 Count" dataDxfId="21"/>
    <tableColumn id="9" name="Top Word Pairs in Edit Comment in G4" dataDxfId="20"/>
    <tableColumn id="10" name="G4 Count" dataDxfId="19"/>
    <tableColumn id="11" name="Top Word Pairs in Edit Comment in G5" dataDxfId="18"/>
    <tableColumn id="12" name="G5 Count" dataDxfId="17"/>
    <tableColumn id="13" name="Top Word Pairs in Edit Comment in G6" dataDxfId="16"/>
    <tableColumn id="14" name="G6 Count" dataDxfId="15"/>
    <tableColumn id="15" name="Top Word Pairs in Edit Comment in G7" dataDxfId="14"/>
    <tableColumn id="16" name="G7 Count" dataDxfId="13"/>
    <tableColumn id="17" name="Top Word Pairs in Edit Comment in G8" dataDxfId="12"/>
    <tableColumn id="18" name="G8 Count" dataDxfId="11"/>
    <tableColumn id="19" name="Top Word Pairs in Edit Comment in G9" dataDxfId="10"/>
    <tableColumn id="20" name="G9 Count" dataDxfId="9"/>
    <tableColumn id="21" name="Top Word Pairs in Edit Comment in G10" dataDxfId="8"/>
    <tableColumn id="22" name="G10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Y206" totalsRowShown="0" headerRowDxfId="227" dataDxfId="178">
  <autoFilter ref="A2:AY206"/>
  <tableColumns count="51">
    <tableColumn id="1" name="Vertex" dataDxfId="191"/>
    <tableColumn id="2" name="Color" dataDxfId="190"/>
    <tableColumn id="5" name="Shape" dataDxfId="189"/>
    <tableColumn id="6" name="Size" dataDxfId="188"/>
    <tableColumn id="4" name="Opacity" dataDxfId="169"/>
    <tableColumn id="7" name="Image File" dataDxfId="167"/>
    <tableColumn id="3" name="Visibility" dataDxfId="168"/>
    <tableColumn id="10" name="Label" dataDxfId="187"/>
    <tableColumn id="16" name="Label Fill Color" dataDxfId="186"/>
    <tableColumn id="9" name="Label Position" dataDxfId="164"/>
    <tableColumn id="8" name="Tooltip" dataDxfId="162"/>
    <tableColumn id="18" name="Layout Order" dataDxfId="163"/>
    <tableColumn id="13" name="X" dataDxfId="185"/>
    <tableColumn id="14" name="Y" dataDxfId="184"/>
    <tableColumn id="12" name="Locked?" dataDxfId="183"/>
    <tableColumn id="19" name="Polar R" dataDxfId="182"/>
    <tableColumn id="20" name="Polar Angle" dataDxfId="181"/>
    <tableColumn id="21" name="Degree" dataDxfId="68"/>
    <tableColumn id="22" name="In-Degree" dataDxfId="67"/>
    <tableColumn id="23" name="Out-Degree" dataDxfId="65"/>
    <tableColumn id="24" name="Betweenness Centrality" dataDxfId="66"/>
    <tableColumn id="25" name="Closeness Centrality" dataDxfId="70"/>
    <tableColumn id="26" name="Eigenvector Centrality" dataDxfId="69"/>
    <tableColumn id="15" name="PageRank" dataDxfId="64"/>
    <tableColumn id="27" name="Clustering Coefficient" dataDxfId="62"/>
    <tableColumn id="29" name="Reciprocated Vertex Pair Ratio" dataDxfId="63"/>
    <tableColumn id="11" name="ID" dataDxfId="180"/>
    <tableColumn id="28" name="Dynamic Filter" dataDxfId="179"/>
    <tableColumn id="17" name="Add Your Own Columns Here" dataDxfId="166"/>
    <tableColumn id="30" name="Custom Menu Item Text" dataDxfId="165"/>
    <tableColumn id="31" name="Custom Menu Item Action" dataDxfId="161"/>
    <tableColumn id="32" name="Vertex Type" dataDxfId="158"/>
    <tableColumn id="33" name="Content" dataDxfId="156"/>
    <tableColumn id="34" name="Age" dataDxfId="157"/>
    <tableColumn id="35" name="Gini Coefficient" dataDxfId="160"/>
    <tableColumn id="36" name="Nr Revisions" dataDxfId="159"/>
    <tableColumn id="37" name="URL" dataDxfId="140"/>
    <tableColumn id="38" name="Vertex Group" dataDxfId="93">
      <calculatedColumnFormula>REPLACE(INDEX(GroupVertices[Group], MATCH(Vertices[[#This Row],[Vertex]],GroupVertices[Vertex],0)),1,1,"")</calculatedColumnFormula>
    </tableColumn>
    <tableColumn id="39" name="Sentiment List #1: List1 Word Count" dataDxfId="92"/>
    <tableColumn id="40" name="Sentiment List #1: List1 Word Percentage (%)" dataDxfId="91"/>
    <tableColumn id="41" name="Sentiment List #2: List2 Word Count" dataDxfId="90"/>
    <tableColumn id="42" name="Sentiment List #2: List2 Word Percentage (%)" dataDxfId="89"/>
    <tableColumn id="43" name="Sentiment List #3: List3 Word Count" dataDxfId="88"/>
    <tableColumn id="44" name="Sentiment List #3: List3 Word Percentage (%)" dataDxfId="87"/>
    <tableColumn id="45" name="Non-categorized Word Count" dataDxfId="86"/>
    <tableColumn id="46" name="Non-categorized Word Percentage (%)" dataDxfId="85"/>
    <tableColumn id="47" name="Vertex Content Word Count" dataDxfId="4"/>
    <tableColumn id="48" name="Top Words in Edit Comment by Count" dataDxfId="3"/>
    <tableColumn id="49" name="Top Words in Edit Comment by Salience" dataDxfId="2"/>
    <tableColumn id="50" name="Top Word Pairs in Edit Comment by Count" dataDxfId="1"/>
    <tableColumn id="51" name="Top Word Pairs in Edit Comment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14" totalsRowShown="0" headerRowDxfId="226">
  <autoFilter ref="A2:AI14"/>
  <tableColumns count="35">
    <tableColumn id="1" name="Group" dataDxfId="147"/>
    <tableColumn id="2" name="Vertex Color" dataDxfId="146"/>
    <tableColumn id="3" name="Vertex Shape" dataDxfId="144"/>
    <tableColumn id="22" name="Visibility" dataDxfId="145"/>
    <tableColumn id="4" name="Collapsed?"/>
    <tableColumn id="18" name="Label" dataDxfId="225"/>
    <tableColumn id="20" name="Collapsed X"/>
    <tableColumn id="21" name="Collapsed Y"/>
    <tableColumn id="6" name="ID" dataDxfId="224"/>
    <tableColumn id="19" name="Collapsed Properties" dataDxfId="137"/>
    <tableColumn id="5" name="Vertices" dataDxfId="136"/>
    <tableColumn id="7" name="Unique Edges" dataDxfId="135"/>
    <tableColumn id="8" name="Edges With Duplicates" dataDxfId="134"/>
    <tableColumn id="9" name="Total Edges" dataDxfId="133"/>
    <tableColumn id="10" name="Self-Loops" dataDxfId="132"/>
    <tableColumn id="24" name="Reciprocated Vertex Pair Ratio" dataDxfId="131"/>
    <tableColumn id="25" name="Reciprocated Edge Ratio" dataDxfId="130"/>
    <tableColumn id="11" name="Connected Components" dataDxfId="129"/>
    <tableColumn id="12" name="Single-Vertex Connected Components" dataDxfId="128"/>
    <tableColumn id="13" name="Maximum Vertices in a Connected Component" dataDxfId="127"/>
    <tableColumn id="14" name="Maximum Edges in a Connected Component" dataDxfId="126"/>
    <tableColumn id="15" name="Maximum Geodesic Distance (Diameter)" dataDxfId="125"/>
    <tableColumn id="16" name="Average Geodesic Distance" dataDxfId="124"/>
    <tableColumn id="17" name="Graph Density" dataDxfId="84"/>
    <tableColumn id="23" name="Sentiment List #1: List1 Word Count" dataDxfId="83"/>
    <tableColumn id="26" name="Sentiment List #1: List1 Word Percentage (%)" dataDxfId="82"/>
    <tableColumn id="27" name="Sentiment List #2: List2 Word Count" dataDxfId="81"/>
    <tableColumn id="28" name="Sentiment List #2: List2 Word Percentage (%)" dataDxfId="80"/>
    <tableColumn id="29" name="Sentiment List #3: List3 Word Count" dataDxfId="79"/>
    <tableColumn id="30" name="Sentiment List #3: List3 Word Percentage (%)" dataDxfId="78"/>
    <tableColumn id="31" name="Non-categorized Word Count" dataDxfId="77"/>
    <tableColumn id="32" name="Non-categorized Word Percentage (%)" dataDxfId="76"/>
    <tableColumn id="33" name="Group Content Word Count" dataDxfId="31"/>
    <tableColumn id="34" name="Top Words in Edit Comment" dataDxfId="6"/>
    <tableColumn id="35" name="Top Word Pairs in Edit Comment"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5" totalsRowShown="0" headerRowDxfId="223" dataDxfId="222">
  <autoFilter ref="A1:C205"/>
  <tableColumns count="3">
    <tableColumn id="1" name="Group" dataDxfId="143"/>
    <tableColumn id="2" name="Vertex" dataDxfId="142"/>
    <tableColumn id="3" name="Vertex ID" dataDxfId="14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72"/>
    <tableColumn id="2" name="Value" dataDxfId="7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21"/>
    <tableColumn id="2" name="Degree Frequency" dataDxfId="220">
      <calculatedColumnFormula>COUNTIF(Vertices[Degree], "&gt;= " &amp; D2) - COUNTIF(Vertices[Degree], "&gt;=" &amp; D3)</calculatedColumnFormula>
    </tableColumn>
    <tableColumn id="3" name="In-Degree Bin" dataDxfId="219"/>
    <tableColumn id="4" name="In-Degree Frequency" dataDxfId="218">
      <calculatedColumnFormula>COUNTIF(Vertices[In-Degree], "&gt;= " &amp; F2) - COUNTIF(Vertices[In-Degree], "&gt;=" &amp; F3)</calculatedColumnFormula>
    </tableColumn>
    <tableColumn id="5" name="Out-Degree Bin" dataDxfId="217"/>
    <tableColumn id="6" name="Out-Degree Frequency" dataDxfId="216">
      <calculatedColumnFormula>COUNTIF(Vertices[Out-Degree], "&gt;= " &amp; H2) - COUNTIF(Vertices[Out-Degree], "&gt;=" &amp; H3)</calculatedColumnFormula>
    </tableColumn>
    <tableColumn id="7" name="Betweenness Centrality Bin" dataDxfId="215"/>
    <tableColumn id="8" name="Betweenness Centrality Frequency" dataDxfId="214">
      <calculatedColumnFormula>COUNTIF(Vertices[Betweenness Centrality], "&gt;= " &amp; J2) - COUNTIF(Vertices[Betweenness Centrality], "&gt;=" &amp; J3)</calculatedColumnFormula>
    </tableColumn>
    <tableColumn id="9" name="Closeness Centrality Bin" dataDxfId="213"/>
    <tableColumn id="10" name="Closeness Centrality Frequency" dataDxfId="212">
      <calculatedColumnFormula>COUNTIF(Vertices[Closeness Centrality], "&gt;= " &amp; L2) - COUNTIF(Vertices[Closeness Centrality], "&gt;=" &amp; L3)</calculatedColumnFormula>
    </tableColumn>
    <tableColumn id="11" name="Eigenvector Centrality Bin" dataDxfId="211"/>
    <tableColumn id="12" name="Eigenvector Centrality Frequency" dataDxfId="210">
      <calculatedColumnFormula>COUNTIF(Vertices[Eigenvector Centrality], "&gt;= " &amp; N2) - COUNTIF(Vertices[Eigenvector Centrality], "&gt;=" &amp; N3)</calculatedColumnFormula>
    </tableColumn>
    <tableColumn id="18" name="PageRank Bin" dataDxfId="209"/>
    <tableColumn id="17" name="PageRank Frequency" dataDxfId="208">
      <calculatedColumnFormula>COUNTIF(Vertices[Eigenvector Centrality], "&gt;= " &amp; P2) - COUNTIF(Vertices[Eigenvector Centrality], "&gt;=" &amp; P3)</calculatedColumnFormula>
    </tableColumn>
    <tableColumn id="13" name="Clustering Coefficient Bin" dataDxfId="207"/>
    <tableColumn id="14" name="Clustering Coefficient Frequency" dataDxfId="206">
      <calculatedColumnFormula>COUNTIF(Vertices[Clustering Coefficient], "&gt;= " &amp; R2) - COUNTIF(Vertices[Clustering Coefficient], "&gt;=" &amp; R3)</calculatedColumnFormula>
    </tableColumn>
    <tableColumn id="15" name="Dynamic Filter Bin" dataDxfId="205"/>
    <tableColumn id="16" name="Dynamic Filter Frequency" dataDxfId="20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203">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 Id="rId2" Type="http://schemas.openxmlformats.org/officeDocument/2006/relationships/table" Target="../tables/table17.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361"/>
  <sheetViews>
    <sheetView workbookViewId="0" topLeftCell="A1">
      <pane xSplit="2" ySplit="2" topLeftCell="C179" activePane="bottomRight" state="frozen"/>
      <selection pane="topRight" activeCell="C1" sqref="C1"/>
      <selection pane="bottomLeft" activeCell="A3" sqref="A3"/>
      <selection pane="bottomRight" activeCell="A2" sqref="A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9.7109375" style="0" bestFit="1" customWidth="1"/>
    <col min="17" max="17" width="7.57421875" style="0" bestFit="1" customWidth="1"/>
    <col min="18" max="18" width="12.00390625" style="0" bestFit="1" customWidth="1"/>
    <col min="19" max="21" width="10.7109375" style="0" bestFit="1" customWidth="1"/>
    <col min="22" max="22" width="19.140625" style="0" bestFit="1" customWidth="1"/>
    <col min="23" max="23" width="23.8515625" style="0" bestFit="1" customWidth="1"/>
    <col min="24" max="24" width="19.140625" style="0" bestFit="1" customWidth="1"/>
    <col min="25" max="25" width="23.8515625" style="0" bestFit="1" customWidth="1"/>
    <col min="26" max="26" width="19.140625" style="0" bestFit="1" customWidth="1"/>
    <col min="27" max="27" width="23.8515625" style="0" bestFit="1" customWidth="1"/>
    <col min="28" max="28" width="18.140625" style="0" bestFit="1" customWidth="1"/>
    <col min="29" max="29" width="22.28125" style="0" bestFit="1" customWidth="1"/>
    <col min="30" max="30" width="15.140625" style="0" bestFit="1" customWidth="1"/>
  </cols>
  <sheetData>
    <row r="1" spans="3:14" ht="15">
      <c r="C1" s="17" t="s">
        <v>39</v>
      </c>
      <c r="D1" s="18"/>
      <c r="E1" s="18"/>
      <c r="F1" s="18"/>
      <c r="G1" s="17"/>
      <c r="H1" s="15" t="s">
        <v>43</v>
      </c>
      <c r="I1" s="52"/>
      <c r="J1" s="52"/>
      <c r="K1" s="34" t="s">
        <v>42</v>
      </c>
      <c r="L1" s="19" t="s">
        <v>40</v>
      </c>
      <c r="M1" s="19"/>
      <c r="N1" s="16" t="s">
        <v>41</v>
      </c>
    </row>
    <row r="2" spans="1:30"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311</v>
      </c>
      <c r="P2" s="13" t="s">
        <v>312</v>
      </c>
      <c r="Q2" s="13" t="s">
        <v>313</v>
      </c>
      <c r="R2" s="13" t="s">
        <v>314</v>
      </c>
      <c r="S2" s="13" t="s">
        <v>315</v>
      </c>
      <c r="T2" s="13" t="s">
        <v>832</v>
      </c>
      <c r="U2" s="13" t="s">
        <v>833</v>
      </c>
      <c r="V2" s="54" t="s">
        <v>1237</v>
      </c>
      <c r="W2" s="54" t="s">
        <v>1238</v>
      </c>
      <c r="X2" s="54" t="s">
        <v>1239</v>
      </c>
      <c r="Y2" s="54" t="s">
        <v>1240</v>
      </c>
      <c r="Z2" s="54" t="s">
        <v>1241</v>
      </c>
      <c r="AA2" s="54" t="s">
        <v>1242</v>
      </c>
      <c r="AB2" s="54" t="s">
        <v>1243</v>
      </c>
      <c r="AC2" s="54" t="s">
        <v>1244</v>
      </c>
      <c r="AD2" s="54" t="s">
        <v>1245</v>
      </c>
    </row>
    <row r="3" spans="1:30" ht="15" customHeight="1">
      <c r="A3" s="68" t="s">
        <v>518</v>
      </c>
      <c r="B3" s="68" t="s">
        <v>519</v>
      </c>
      <c r="C3" s="69" t="s">
        <v>1691</v>
      </c>
      <c r="D3" s="70">
        <v>3</v>
      </c>
      <c r="E3" s="71"/>
      <c r="F3" s="72">
        <v>70</v>
      </c>
      <c r="G3" s="69"/>
      <c r="H3" s="73"/>
      <c r="I3" s="74"/>
      <c r="J3" s="74"/>
      <c r="K3" s="35" t="s">
        <v>65</v>
      </c>
      <c r="L3" s="75">
        <v>3</v>
      </c>
      <c r="M3" s="75"/>
      <c r="N3" s="76"/>
      <c r="O3" s="82" t="s">
        <v>520</v>
      </c>
      <c r="P3" s="82">
        <v>1</v>
      </c>
      <c r="Q3" s="82" t="s">
        <v>521</v>
      </c>
      <c r="R3" s="82"/>
      <c r="S3" s="82">
        <v>907</v>
      </c>
      <c r="T3" s="82" t="str">
        <f>REPLACE(INDEX(GroupVertices[Group],MATCH(Edges[[#This Row],[Vertex 1]],GroupVertices[Vertex],0)),1,1,"")</f>
        <v>2</v>
      </c>
      <c r="U3" s="82" t="str">
        <f>REPLACE(INDEX(GroupVertices[Group],MATCH(Edges[[#This Row],[Vertex 2]],GroupVertices[Vertex],0)),1,1,"")</f>
        <v>2</v>
      </c>
      <c r="V3" s="49"/>
      <c r="W3" s="50"/>
      <c r="X3" s="49"/>
      <c r="Y3" s="50"/>
      <c r="Z3" s="49"/>
      <c r="AA3" s="50"/>
      <c r="AB3" s="49"/>
      <c r="AC3" s="50"/>
      <c r="AD3" s="49"/>
    </row>
    <row r="4" spans="1:30" ht="15" customHeight="1">
      <c r="A4" s="68" t="s">
        <v>316</v>
      </c>
      <c r="B4" s="68" t="s">
        <v>518</v>
      </c>
      <c r="C4" s="69" t="s">
        <v>1691</v>
      </c>
      <c r="D4" s="70">
        <v>3</v>
      </c>
      <c r="E4" s="71"/>
      <c r="F4" s="72">
        <v>70</v>
      </c>
      <c r="G4" s="69"/>
      <c r="H4" s="73"/>
      <c r="I4" s="74"/>
      <c r="J4" s="74"/>
      <c r="K4" s="35" t="s">
        <v>65</v>
      </c>
      <c r="L4" s="81">
        <v>4</v>
      </c>
      <c r="M4" s="81"/>
      <c r="N4" s="76"/>
      <c r="O4" s="83" t="s">
        <v>520</v>
      </c>
      <c r="P4" s="83">
        <v>1</v>
      </c>
      <c r="Q4" s="83" t="s">
        <v>521</v>
      </c>
      <c r="R4" s="84" t="s">
        <v>522</v>
      </c>
      <c r="S4" s="83">
        <v>1563</v>
      </c>
      <c r="T4" s="82" t="str">
        <f>REPLACE(INDEX(GroupVertices[Group],MATCH(Edges[[#This Row],[Vertex 1]],GroupVertices[Vertex],0)),1,1,"")</f>
        <v>2</v>
      </c>
      <c r="U4" s="82" t="str">
        <f>REPLACE(INDEX(GroupVertices[Group],MATCH(Edges[[#This Row],[Vertex 2]],GroupVertices[Vertex],0)),1,1,"")</f>
        <v>2</v>
      </c>
      <c r="V4" s="49">
        <v>0</v>
      </c>
      <c r="W4" s="50">
        <v>0</v>
      </c>
      <c r="X4" s="49">
        <v>0</v>
      </c>
      <c r="Y4" s="50">
        <v>0</v>
      </c>
      <c r="Z4" s="49">
        <v>0</v>
      </c>
      <c r="AA4" s="50">
        <v>0</v>
      </c>
      <c r="AB4" s="49">
        <v>10</v>
      </c>
      <c r="AC4" s="50">
        <v>100</v>
      </c>
      <c r="AD4" s="49">
        <v>10</v>
      </c>
    </row>
    <row r="5" spans="1:30" ht="15">
      <c r="A5" s="68" t="s">
        <v>317</v>
      </c>
      <c r="B5" s="68" t="s">
        <v>316</v>
      </c>
      <c r="C5" s="69" t="s">
        <v>1691</v>
      </c>
      <c r="D5" s="70">
        <v>3</v>
      </c>
      <c r="E5" s="71"/>
      <c r="F5" s="72">
        <v>70</v>
      </c>
      <c r="G5" s="69"/>
      <c r="H5" s="73"/>
      <c r="I5" s="74"/>
      <c r="J5" s="74"/>
      <c r="K5" s="35" t="s">
        <v>65</v>
      </c>
      <c r="L5" s="81">
        <v>5</v>
      </c>
      <c r="M5" s="81"/>
      <c r="N5" s="76"/>
      <c r="O5" s="83" t="s">
        <v>520</v>
      </c>
      <c r="P5" s="83">
        <v>1</v>
      </c>
      <c r="Q5" s="83" t="s">
        <v>521</v>
      </c>
      <c r="R5" s="83"/>
      <c r="S5" s="83">
        <v>2558</v>
      </c>
      <c r="T5" s="82" t="str">
        <f>REPLACE(INDEX(GroupVertices[Group],MATCH(Edges[[#This Row],[Vertex 1]],GroupVertices[Vertex],0)),1,1,"")</f>
        <v>2</v>
      </c>
      <c r="U5" s="82" t="str">
        <f>REPLACE(INDEX(GroupVertices[Group],MATCH(Edges[[#This Row],[Vertex 2]],GroupVertices[Vertex],0)),1,1,"")</f>
        <v>2</v>
      </c>
      <c r="V5" s="49"/>
      <c r="W5" s="50"/>
      <c r="X5" s="49"/>
      <c r="Y5" s="50"/>
      <c r="Z5" s="49"/>
      <c r="AA5" s="50"/>
      <c r="AB5" s="49"/>
      <c r="AC5" s="50"/>
      <c r="AD5" s="49"/>
    </row>
    <row r="6" spans="1:30" ht="15">
      <c r="A6" s="68" t="s">
        <v>318</v>
      </c>
      <c r="B6" s="68" t="s">
        <v>317</v>
      </c>
      <c r="C6" s="69" t="s">
        <v>1691</v>
      </c>
      <c r="D6" s="70">
        <v>3</v>
      </c>
      <c r="E6" s="71"/>
      <c r="F6" s="72">
        <v>70</v>
      </c>
      <c r="G6" s="69"/>
      <c r="H6" s="73"/>
      <c r="I6" s="74"/>
      <c r="J6" s="74"/>
      <c r="K6" s="35" t="s">
        <v>65</v>
      </c>
      <c r="L6" s="81">
        <v>6</v>
      </c>
      <c r="M6" s="81"/>
      <c r="N6" s="76"/>
      <c r="O6" s="83" t="s">
        <v>520</v>
      </c>
      <c r="P6" s="83">
        <v>1</v>
      </c>
      <c r="Q6" s="83" t="s">
        <v>521</v>
      </c>
      <c r="R6" s="83" t="s">
        <v>523</v>
      </c>
      <c r="S6" s="83">
        <v>3053</v>
      </c>
      <c r="T6" s="82" t="str">
        <f>REPLACE(INDEX(GroupVertices[Group],MATCH(Edges[[#This Row],[Vertex 1]],GroupVertices[Vertex],0)),1,1,"")</f>
        <v>2</v>
      </c>
      <c r="U6" s="82" t="str">
        <f>REPLACE(INDEX(GroupVertices[Group],MATCH(Edges[[#This Row],[Vertex 2]],GroupVertices[Vertex],0)),1,1,"")</f>
        <v>2</v>
      </c>
      <c r="V6" s="49">
        <v>0</v>
      </c>
      <c r="W6" s="50">
        <v>0</v>
      </c>
      <c r="X6" s="49">
        <v>0</v>
      </c>
      <c r="Y6" s="50">
        <v>0</v>
      </c>
      <c r="Z6" s="49">
        <v>0</v>
      </c>
      <c r="AA6" s="50">
        <v>0</v>
      </c>
      <c r="AB6" s="49">
        <v>10</v>
      </c>
      <c r="AC6" s="50">
        <v>100</v>
      </c>
      <c r="AD6" s="49">
        <v>10</v>
      </c>
    </row>
    <row r="7" spans="1:30" ht="15">
      <c r="A7" s="68" t="s">
        <v>318</v>
      </c>
      <c r="B7" s="68" t="s">
        <v>316</v>
      </c>
      <c r="C7" s="69" t="s">
        <v>1691</v>
      </c>
      <c r="D7" s="70">
        <v>3</v>
      </c>
      <c r="E7" s="71"/>
      <c r="F7" s="72">
        <v>70</v>
      </c>
      <c r="G7" s="69"/>
      <c r="H7" s="73"/>
      <c r="I7" s="74"/>
      <c r="J7" s="74"/>
      <c r="K7" s="35" t="s">
        <v>66</v>
      </c>
      <c r="L7" s="81">
        <v>7</v>
      </c>
      <c r="M7" s="81"/>
      <c r="N7" s="76"/>
      <c r="O7" s="83" t="s">
        <v>520</v>
      </c>
      <c r="P7" s="83">
        <v>1</v>
      </c>
      <c r="Q7" s="83" t="s">
        <v>521</v>
      </c>
      <c r="R7" s="83" t="s">
        <v>524</v>
      </c>
      <c r="S7" s="83">
        <v>5798</v>
      </c>
      <c r="T7" s="82" t="str">
        <f>REPLACE(INDEX(GroupVertices[Group],MATCH(Edges[[#This Row],[Vertex 1]],GroupVertices[Vertex],0)),1,1,"")</f>
        <v>2</v>
      </c>
      <c r="U7" s="82" t="str">
        <f>REPLACE(INDEX(GroupVertices[Group],MATCH(Edges[[#This Row],[Vertex 2]],GroupVertices[Vertex],0)),1,1,"")</f>
        <v>2</v>
      </c>
      <c r="V7" s="49">
        <v>1</v>
      </c>
      <c r="W7" s="50">
        <v>9.090909090909092</v>
      </c>
      <c r="X7" s="49">
        <v>0</v>
      </c>
      <c r="Y7" s="50">
        <v>0</v>
      </c>
      <c r="Z7" s="49">
        <v>0</v>
      </c>
      <c r="AA7" s="50">
        <v>0</v>
      </c>
      <c r="AB7" s="49">
        <v>10</v>
      </c>
      <c r="AC7" s="50">
        <v>90.9090909090909</v>
      </c>
      <c r="AD7" s="49">
        <v>11</v>
      </c>
    </row>
    <row r="8" spans="1:30" ht="15">
      <c r="A8" s="68" t="s">
        <v>316</v>
      </c>
      <c r="B8" s="68" t="s">
        <v>318</v>
      </c>
      <c r="C8" s="69" t="s">
        <v>1692</v>
      </c>
      <c r="D8" s="70">
        <v>10</v>
      </c>
      <c r="E8" s="71"/>
      <c r="F8" s="72">
        <v>40</v>
      </c>
      <c r="G8" s="69"/>
      <c r="H8" s="73"/>
      <c r="I8" s="74"/>
      <c r="J8" s="74"/>
      <c r="K8" s="35" t="s">
        <v>66</v>
      </c>
      <c r="L8" s="81">
        <v>8</v>
      </c>
      <c r="M8" s="81"/>
      <c r="N8" s="76"/>
      <c r="O8" s="83" t="s">
        <v>520</v>
      </c>
      <c r="P8" s="83">
        <v>2</v>
      </c>
      <c r="Q8" s="83" t="s">
        <v>521</v>
      </c>
      <c r="R8" s="83" t="s">
        <v>525</v>
      </c>
      <c r="S8" s="83">
        <v>6468</v>
      </c>
      <c r="T8" s="82" t="str">
        <f>REPLACE(INDEX(GroupVertices[Group],MATCH(Edges[[#This Row],[Vertex 1]],GroupVertices[Vertex],0)),1,1,"")</f>
        <v>2</v>
      </c>
      <c r="U8" s="82" t="str">
        <f>REPLACE(INDEX(GroupVertices[Group],MATCH(Edges[[#This Row],[Vertex 2]],GroupVertices[Vertex],0)),1,1,"")</f>
        <v>2</v>
      </c>
      <c r="V8" s="49">
        <v>1</v>
      </c>
      <c r="W8" s="50">
        <v>6.25</v>
      </c>
      <c r="X8" s="49">
        <v>0</v>
      </c>
      <c r="Y8" s="50">
        <v>0</v>
      </c>
      <c r="Z8" s="49">
        <v>0</v>
      </c>
      <c r="AA8" s="50">
        <v>0</v>
      </c>
      <c r="AB8" s="49">
        <v>15</v>
      </c>
      <c r="AC8" s="50">
        <v>93.75</v>
      </c>
      <c r="AD8" s="49">
        <v>16</v>
      </c>
    </row>
    <row r="9" spans="1:30" ht="15">
      <c r="A9" s="68" t="s">
        <v>319</v>
      </c>
      <c r="B9" s="68" t="s">
        <v>320</v>
      </c>
      <c r="C9" s="69" t="s">
        <v>1691</v>
      </c>
      <c r="D9" s="70">
        <v>3</v>
      </c>
      <c r="E9" s="71"/>
      <c r="F9" s="72">
        <v>70</v>
      </c>
      <c r="G9" s="69"/>
      <c r="H9" s="73"/>
      <c r="I9" s="74"/>
      <c r="J9" s="74"/>
      <c r="K9" s="35" t="s">
        <v>66</v>
      </c>
      <c r="L9" s="81">
        <v>9</v>
      </c>
      <c r="M9" s="81"/>
      <c r="N9" s="76"/>
      <c r="O9" s="83" t="s">
        <v>520</v>
      </c>
      <c r="P9" s="83">
        <v>1</v>
      </c>
      <c r="Q9" s="83" t="s">
        <v>521</v>
      </c>
      <c r="R9" s="83" t="s">
        <v>526</v>
      </c>
      <c r="S9" s="83">
        <v>7950</v>
      </c>
      <c r="T9" s="82" t="str">
        <f>REPLACE(INDEX(GroupVertices[Group],MATCH(Edges[[#This Row],[Vertex 1]],GroupVertices[Vertex],0)),1,1,"")</f>
        <v>2</v>
      </c>
      <c r="U9" s="82" t="str">
        <f>REPLACE(INDEX(GroupVertices[Group],MATCH(Edges[[#This Row],[Vertex 2]],GroupVertices[Vertex],0)),1,1,"")</f>
        <v>2</v>
      </c>
      <c r="V9" s="49">
        <v>0</v>
      </c>
      <c r="W9" s="50">
        <v>0</v>
      </c>
      <c r="X9" s="49">
        <v>0</v>
      </c>
      <c r="Y9" s="50">
        <v>0</v>
      </c>
      <c r="Z9" s="49">
        <v>0</v>
      </c>
      <c r="AA9" s="50">
        <v>0</v>
      </c>
      <c r="AB9" s="49">
        <v>14</v>
      </c>
      <c r="AC9" s="50">
        <v>100</v>
      </c>
      <c r="AD9" s="49">
        <v>14</v>
      </c>
    </row>
    <row r="10" spans="1:30" ht="15">
      <c r="A10" s="68" t="s">
        <v>320</v>
      </c>
      <c r="B10" s="68" t="s">
        <v>319</v>
      </c>
      <c r="C10" s="69" t="s">
        <v>1691</v>
      </c>
      <c r="D10" s="70">
        <v>3</v>
      </c>
      <c r="E10" s="71"/>
      <c r="F10" s="72">
        <v>70</v>
      </c>
      <c r="G10" s="69"/>
      <c r="H10" s="73"/>
      <c r="I10" s="74"/>
      <c r="J10" s="74"/>
      <c r="K10" s="35" t="s">
        <v>66</v>
      </c>
      <c r="L10" s="81">
        <v>10</v>
      </c>
      <c r="M10" s="81"/>
      <c r="N10" s="76"/>
      <c r="O10" s="83" t="s">
        <v>520</v>
      </c>
      <c r="P10" s="83">
        <v>1</v>
      </c>
      <c r="Q10" s="83" t="s">
        <v>521</v>
      </c>
      <c r="R10" s="83" t="s">
        <v>527</v>
      </c>
      <c r="S10" s="83">
        <v>8192</v>
      </c>
      <c r="T10" s="82" t="str">
        <f>REPLACE(INDEX(GroupVertices[Group],MATCH(Edges[[#This Row],[Vertex 1]],GroupVertices[Vertex],0)),1,1,"")</f>
        <v>2</v>
      </c>
      <c r="U10" s="82" t="str">
        <f>REPLACE(INDEX(GroupVertices[Group],MATCH(Edges[[#This Row],[Vertex 2]],GroupVertices[Vertex],0)),1,1,"")</f>
        <v>2</v>
      </c>
      <c r="V10" s="49">
        <v>0</v>
      </c>
      <c r="W10" s="50">
        <v>0</v>
      </c>
      <c r="X10" s="49">
        <v>0</v>
      </c>
      <c r="Y10" s="50">
        <v>0</v>
      </c>
      <c r="Z10" s="49">
        <v>0</v>
      </c>
      <c r="AA10" s="50">
        <v>0</v>
      </c>
      <c r="AB10" s="49">
        <v>2</v>
      </c>
      <c r="AC10" s="50">
        <v>100</v>
      </c>
      <c r="AD10" s="49">
        <v>2</v>
      </c>
    </row>
    <row r="11" spans="1:30" ht="15">
      <c r="A11" s="68" t="s">
        <v>320</v>
      </c>
      <c r="B11" s="68" t="s">
        <v>316</v>
      </c>
      <c r="C11" s="69" t="s">
        <v>1691</v>
      </c>
      <c r="D11" s="70">
        <v>3</v>
      </c>
      <c r="E11" s="71"/>
      <c r="F11" s="72">
        <v>70</v>
      </c>
      <c r="G11" s="69"/>
      <c r="H11" s="73"/>
      <c r="I11" s="74"/>
      <c r="J11" s="74"/>
      <c r="K11" s="35" t="s">
        <v>65</v>
      </c>
      <c r="L11" s="81">
        <v>11</v>
      </c>
      <c r="M11" s="81"/>
      <c r="N11" s="76"/>
      <c r="O11" s="83" t="s">
        <v>520</v>
      </c>
      <c r="P11" s="83">
        <v>1</v>
      </c>
      <c r="Q11" s="83" t="s">
        <v>521</v>
      </c>
      <c r="R11" s="83" t="s">
        <v>528</v>
      </c>
      <c r="S11" s="83">
        <v>7684</v>
      </c>
      <c r="T11" s="82" t="str">
        <f>REPLACE(INDEX(GroupVertices[Group],MATCH(Edges[[#This Row],[Vertex 1]],GroupVertices[Vertex],0)),1,1,"")</f>
        <v>2</v>
      </c>
      <c r="U11" s="82" t="str">
        <f>REPLACE(INDEX(GroupVertices[Group],MATCH(Edges[[#This Row],[Vertex 2]],GroupVertices[Vertex],0)),1,1,"")</f>
        <v>2</v>
      </c>
      <c r="V11" s="49">
        <v>0</v>
      </c>
      <c r="W11" s="50">
        <v>0</v>
      </c>
      <c r="X11" s="49">
        <v>0</v>
      </c>
      <c r="Y11" s="50">
        <v>0</v>
      </c>
      <c r="Z11" s="49">
        <v>0</v>
      </c>
      <c r="AA11" s="50">
        <v>0</v>
      </c>
      <c r="AB11" s="49">
        <v>2</v>
      </c>
      <c r="AC11" s="50">
        <v>100</v>
      </c>
      <c r="AD11" s="49">
        <v>2</v>
      </c>
    </row>
    <row r="12" spans="1:30" ht="15">
      <c r="A12" s="68" t="s">
        <v>321</v>
      </c>
      <c r="B12" s="68" t="s">
        <v>320</v>
      </c>
      <c r="C12" s="69" t="s">
        <v>1691</v>
      </c>
      <c r="D12" s="70">
        <v>3</v>
      </c>
      <c r="E12" s="71"/>
      <c r="F12" s="72">
        <v>70</v>
      </c>
      <c r="G12" s="69"/>
      <c r="H12" s="73"/>
      <c r="I12" s="74"/>
      <c r="J12" s="74"/>
      <c r="K12" s="35" t="s">
        <v>65</v>
      </c>
      <c r="L12" s="81">
        <v>12</v>
      </c>
      <c r="M12" s="81"/>
      <c r="N12" s="76"/>
      <c r="O12" s="83" t="s">
        <v>520</v>
      </c>
      <c r="P12" s="83">
        <v>1</v>
      </c>
      <c r="Q12" s="83" t="s">
        <v>521</v>
      </c>
      <c r="R12" s="84" t="s">
        <v>529</v>
      </c>
      <c r="S12" s="83">
        <v>8888</v>
      </c>
      <c r="T12" s="82" t="str">
        <f>REPLACE(INDEX(GroupVertices[Group],MATCH(Edges[[#This Row],[Vertex 1]],GroupVertices[Vertex],0)),1,1,"")</f>
        <v>2</v>
      </c>
      <c r="U12" s="82" t="str">
        <f>REPLACE(INDEX(GroupVertices[Group],MATCH(Edges[[#This Row],[Vertex 2]],GroupVertices[Vertex],0)),1,1,"")</f>
        <v>2</v>
      </c>
      <c r="V12" s="49">
        <v>0</v>
      </c>
      <c r="W12" s="50">
        <v>0</v>
      </c>
      <c r="X12" s="49">
        <v>0</v>
      </c>
      <c r="Y12" s="50">
        <v>0</v>
      </c>
      <c r="Z12" s="49">
        <v>0</v>
      </c>
      <c r="AA12" s="50">
        <v>0</v>
      </c>
      <c r="AB12" s="49">
        <v>3</v>
      </c>
      <c r="AC12" s="50">
        <v>100</v>
      </c>
      <c r="AD12" s="49">
        <v>3</v>
      </c>
    </row>
    <row r="13" spans="1:30" ht="15">
      <c r="A13" s="68" t="s">
        <v>316</v>
      </c>
      <c r="B13" s="68" t="s">
        <v>321</v>
      </c>
      <c r="C13" s="69" t="s">
        <v>1691</v>
      </c>
      <c r="D13" s="70">
        <v>3</v>
      </c>
      <c r="E13" s="71"/>
      <c r="F13" s="72">
        <v>70</v>
      </c>
      <c r="G13" s="69"/>
      <c r="H13" s="73"/>
      <c r="I13" s="74"/>
      <c r="J13" s="74"/>
      <c r="K13" s="35" t="s">
        <v>65</v>
      </c>
      <c r="L13" s="81">
        <v>13</v>
      </c>
      <c r="M13" s="81"/>
      <c r="N13" s="76"/>
      <c r="O13" s="83" t="s">
        <v>520</v>
      </c>
      <c r="P13" s="83">
        <v>1</v>
      </c>
      <c r="Q13" s="83" t="s">
        <v>521</v>
      </c>
      <c r="R13" s="83" t="s">
        <v>530</v>
      </c>
      <c r="S13" s="83">
        <v>9852</v>
      </c>
      <c r="T13" s="82" t="str">
        <f>REPLACE(INDEX(GroupVertices[Group],MATCH(Edges[[#This Row],[Vertex 1]],GroupVertices[Vertex],0)),1,1,"")</f>
        <v>2</v>
      </c>
      <c r="U13" s="82" t="str">
        <f>REPLACE(INDEX(GroupVertices[Group],MATCH(Edges[[#This Row],[Vertex 2]],GroupVertices[Vertex],0)),1,1,"")</f>
        <v>2</v>
      </c>
      <c r="V13" s="49">
        <v>1</v>
      </c>
      <c r="W13" s="50">
        <v>14.285714285714286</v>
      </c>
      <c r="X13" s="49">
        <v>2</v>
      </c>
      <c r="Y13" s="50">
        <v>28.571428571428573</v>
      </c>
      <c r="Z13" s="49">
        <v>0</v>
      </c>
      <c r="AA13" s="50">
        <v>0</v>
      </c>
      <c r="AB13" s="49">
        <v>4</v>
      </c>
      <c r="AC13" s="50">
        <v>57.142857142857146</v>
      </c>
      <c r="AD13" s="49">
        <v>7</v>
      </c>
    </row>
    <row r="14" spans="1:30" ht="15">
      <c r="A14" s="68" t="s">
        <v>322</v>
      </c>
      <c r="B14" s="68" t="s">
        <v>316</v>
      </c>
      <c r="C14" s="69" t="s">
        <v>1691</v>
      </c>
      <c r="D14" s="70">
        <v>3</v>
      </c>
      <c r="E14" s="71"/>
      <c r="F14" s="72">
        <v>70</v>
      </c>
      <c r="G14" s="69"/>
      <c r="H14" s="73"/>
      <c r="I14" s="74"/>
      <c r="J14" s="74"/>
      <c r="K14" s="35" t="s">
        <v>65</v>
      </c>
      <c r="L14" s="81">
        <v>14</v>
      </c>
      <c r="M14" s="81"/>
      <c r="N14" s="76"/>
      <c r="O14" s="83" t="s">
        <v>520</v>
      </c>
      <c r="P14" s="83">
        <v>1</v>
      </c>
      <c r="Q14" s="83" t="s">
        <v>521</v>
      </c>
      <c r="R14" s="83" t="s">
        <v>531</v>
      </c>
      <c r="S14" s="83">
        <v>10395</v>
      </c>
      <c r="T14" s="82" t="str">
        <f>REPLACE(INDEX(GroupVertices[Group],MATCH(Edges[[#This Row],[Vertex 1]],GroupVertices[Vertex],0)),1,1,"")</f>
        <v>2</v>
      </c>
      <c r="U14" s="82" t="str">
        <f>REPLACE(INDEX(GroupVertices[Group],MATCH(Edges[[#This Row],[Vertex 2]],GroupVertices[Vertex],0)),1,1,"")</f>
        <v>2</v>
      </c>
      <c r="V14" s="49">
        <v>0</v>
      </c>
      <c r="W14" s="50">
        <v>0</v>
      </c>
      <c r="X14" s="49">
        <v>0</v>
      </c>
      <c r="Y14" s="50">
        <v>0</v>
      </c>
      <c r="Z14" s="49">
        <v>0</v>
      </c>
      <c r="AA14" s="50">
        <v>0</v>
      </c>
      <c r="AB14" s="49">
        <v>8</v>
      </c>
      <c r="AC14" s="50">
        <v>100</v>
      </c>
      <c r="AD14" s="49">
        <v>8</v>
      </c>
    </row>
    <row r="15" spans="1:30" ht="15">
      <c r="A15" s="68" t="s">
        <v>322</v>
      </c>
      <c r="B15" s="68" t="s">
        <v>322</v>
      </c>
      <c r="C15" s="69" t="s">
        <v>1691</v>
      </c>
      <c r="D15" s="70">
        <v>3</v>
      </c>
      <c r="E15" s="71"/>
      <c r="F15" s="72">
        <v>70</v>
      </c>
      <c r="G15" s="69"/>
      <c r="H15" s="73"/>
      <c r="I15" s="74"/>
      <c r="J15" s="74"/>
      <c r="K15" s="35" t="s">
        <v>65</v>
      </c>
      <c r="L15" s="81">
        <v>15</v>
      </c>
      <c r="M15" s="81"/>
      <c r="N15" s="76"/>
      <c r="O15" s="83" t="s">
        <v>520</v>
      </c>
      <c r="P15" s="83">
        <v>1</v>
      </c>
      <c r="Q15" s="83" t="s">
        <v>521</v>
      </c>
      <c r="R15" s="83"/>
      <c r="S15" s="83">
        <v>10421</v>
      </c>
      <c r="T15" s="82" t="str">
        <f>REPLACE(INDEX(GroupVertices[Group],MATCH(Edges[[#This Row],[Vertex 1]],GroupVertices[Vertex],0)),1,1,"")</f>
        <v>2</v>
      </c>
      <c r="U15" s="82" t="str">
        <f>REPLACE(INDEX(GroupVertices[Group],MATCH(Edges[[#This Row],[Vertex 2]],GroupVertices[Vertex],0)),1,1,"")</f>
        <v>2</v>
      </c>
      <c r="V15" s="49"/>
      <c r="W15" s="50"/>
      <c r="X15" s="49"/>
      <c r="Y15" s="50"/>
      <c r="Z15" s="49"/>
      <c r="AA15" s="50"/>
      <c r="AB15" s="49"/>
      <c r="AC15" s="50"/>
      <c r="AD15" s="49"/>
    </row>
    <row r="16" spans="1:30" ht="15">
      <c r="A16" s="68" t="s">
        <v>323</v>
      </c>
      <c r="B16" s="68" t="s">
        <v>322</v>
      </c>
      <c r="C16" s="69" t="s">
        <v>1691</v>
      </c>
      <c r="D16" s="70">
        <v>3</v>
      </c>
      <c r="E16" s="71"/>
      <c r="F16" s="72">
        <v>70</v>
      </c>
      <c r="G16" s="69"/>
      <c r="H16" s="73"/>
      <c r="I16" s="74"/>
      <c r="J16" s="74"/>
      <c r="K16" s="35" t="s">
        <v>65</v>
      </c>
      <c r="L16" s="81">
        <v>16</v>
      </c>
      <c r="M16" s="81"/>
      <c r="N16" s="76"/>
      <c r="O16" s="83" t="s">
        <v>520</v>
      </c>
      <c r="P16" s="83">
        <v>1</v>
      </c>
      <c r="Q16" s="83" t="s">
        <v>521</v>
      </c>
      <c r="R16" s="83" t="s">
        <v>532</v>
      </c>
      <c r="S16" s="83">
        <v>10521</v>
      </c>
      <c r="T16" s="82" t="str">
        <f>REPLACE(INDEX(GroupVertices[Group],MATCH(Edges[[#This Row],[Vertex 1]],GroupVertices[Vertex],0)),1,1,"")</f>
        <v>2</v>
      </c>
      <c r="U16" s="82" t="str">
        <f>REPLACE(INDEX(GroupVertices[Group],MATCH(Edges[[#This Row],[Vertex 2]],GroupVertices[Vertex],0)),1,1,"")</f>
        <v>2</v>
      </c>
      <c r="V16" s="49">
        <v>0</v>
      </c>
      <c r="W16" s="50">
        <v>0</v>
      </c>
      <c r="X16" s="49">
        <v>0</v>
      </c>
      <c r="Y16" s="50">
        <v>0</v>
      </c>
      <c r="Z16" s="49">
        <v>0</v>
      </c>
      <c r="AA16" s="50">
        <v>0</v>
      </c>
      <c r="AB16" s="49">
        <v>2</v>
      </c>
      <c r="AC16" s="50">
        <v>100</v>
      </c>
      <c r="AD16" s="49">
        <v>2</v>
      </c>
    </row>
    <row r="17" spans="1:30" ht="15">
      <c r="A17" s="68" t="s">
        <v>324</v>
      </c>
      <c r="B17" s="68" t="s">
        <v>323</v>
      </c>
      <c r="C17" s="69" t="s">
        <v>1691</v>
      </c>
      <c r="D17" s="70">
        <v>3</v>
      </c>
      <c r="E17" s="71"/>
      <c r="F17" s="72">
        <v>70</v>
      </c>
      <c r="G17" s="69"/>
      <c r="H17" s="73"/>
      <c r="I17" s="74"/>
      <c r="J17" s="74"/>
      <c r="K17" s="35" t="s">
        <v>65</v>
      </c>
      <c r="L17" s="81">
        <v>17</v>
      </c>
      <c r="M17" s="81"/>
      <c r="N17" s="76"/>
      <c r="O17" s="83" t="s">
        <v>520</v>
      </c>
      <c r="P17" s="83">
        <v>1</v>
      </c>
      <c r="Q17" s="83" t="s">
        <v>521</v>
      </c>
      <c r="R17" s="83"/>
      <c r="S17" s="83">
        <v>10722</v>
      </c>
      <c r="T17" s="82" t="str">
        <f>REPLACE(INDEX(GroupVertices[Group],MATCH(Edges[[#This Row],[Vertex 1]],GroupVertices[Vertex],0)),1,1,"")</f>
        <v>2</v>
      </c>
      <c r="U17" s="82" t="str">
        <f>REPLACE(INDEX(GroupVertices[Group],MATCH(Edges[[#This Row],[Vertex 2]],GroupVertices[Vertex],0)),1,1,"")</f>
        <v>2</v>
      </c>
      <c r="V17" s="49"/>
      <c r="W17" s="50"/>
      <c r="X17" s="49"/>
      <c r="Y17" s="50"/>
      <c r="Z17" s="49"/>
      <c r="AA17" s="50"/>
      <c r="AB17" s="49"/>
      <c r="AC17" s="50"/>
      <c r="AD17" s="49"/>
    </row>
    <row r="18" spans="1:30" ht="15">
      <c r="A18" s="68" t="s">
        <v>324</v>
      </c>
      <c r="B18" s="68" t="s">
        <v>324</v>
      </c>
      <c r="C18" s="69" t="s">
        <v>1692</v>
      </c>
      <c r="D18" s="70">
        <v>10</v>
      </c>
      <c r="E18" s="71"/>
      <c r="F18" s="72">
        <v>40</v>
      </c>
      <c r="G18" s="69"/>
      <c r="H18" s="73"/>
      <c r="I18" s="74"/>
      <c r="J18" s="74"/>
      <c r="K18" s="35" t="s">
        <v>65</v>
      </c>
      <c r="L18" s="81">
        <v>18</v>
      </c>
      <c r="M18" s="81"/>
      <c r="N18" s="76"/>
      <c r="O18" s="83" t="s">
        <v>520</v>
      </c>
      <c r="P18" s="83">
        <v>2</v>
      </c>
      <c r="Q18" s="83" t="s">
        <v>521</v>
      </c>
      <c r="R18" s="83" t="s">
        <v>533</v>
      </c>
      <c r="S18" s="83">
        <v>10742</v>
      </c>
      <c r="T18" s="82" t="str">
        <f>REPLACE(INDEX(GroupVertices[Group],MATCH(Edges[[#This Row],[Vertex 1]],GroupVertices[Vertex],0)),1,1,"")</f>
        <v>2</v>
      </c>
      <c r="U18" s="82" t="str">
        <f>REPLACE(INDEX(GroupVertices[Group],MATCH(Edges[[#This Row],[Vertex 2]],GroupVertices[Vertex],0)),1,1,"")</f>
        <v>2</v>
      </c>
      <c r="V18" s="49">
        <v>0</v>
      </c>
      <c r="W18" s="50">
        <v>0</v>
      </c>
      <c r="X18" s="49">
        <v>0</v>
      </c>
      <c r="Y18" s="50">
        <v>0</v>
      </c>
      <c r="Z18" s="49">
        <v>0</v>
      </c>
      <c r="AA18" s="50">
        <v>0</v>
      </c>
      <c r="AB18" s="49">
        <v>1</v>
      </c>
      <c r="AC18" s="50">
        <v>100</v>
      </c>
      <c r="AD18" s="49">
        <v>1</v>
      </c>
    </row>
    <row r="19" spans="1:30" ht="15">
      <c r="A19" s="68" t="s">
        <v>316</v>
      </c>
      <c r="B19" s="68" t="s">
        <v>324</v>
      </c>
      <c r="C19" s="69" t="s">
        <v>1691</v>
      </c>
      <c r="D19" s="70">
        <v>3</v>
      </c>
      <c r="E19" s="71"/>
      <c r="F19" s="72">
        <v>70</v>
      </c>
      <c r="G19" s="69"/>
      <c r="H19" s="73"/>
      <c r="I19" s="74"/>
      <c r="J19" s="74"/>
      <c r="K19" s="35" t="s">
        <v>65</v>
      </c>
      <c r="L19" s="81">
        <v>19</v>
      </c>
      <c r="M19" s="81"/>
      <c r="N19" s="76"/>
      <c r="O19" s="83" t="s">
        <v>520</v>
      </c>
      <c r="P19" s="83">
        <v>1</v>
      </c>
      <c r="Q19" s="83" t="s">
        <v>521</v>
      </c>
      <c r="R19" s="83" t="s">
        <v>534</v>
      </c>
      <c r="S19" s="83">
        <v>11414</v>
      </c>
      <c r="T19" s="82" t="str">
        <f>REPLACE(INDEX(GroupVertices[Group],MATCH(Edges[[#This Row],[Vertex 1]],GroupVertices[Vertex],0)),1,1,"")</f>
        <v>2</v>
      </c>
      <c r="U19" s="82" t="str">
        <f>REPLACE(INDEX(GroupVertices[Group],MATCH(Edges[[#This Row],[Vertex 2]],GroupVertices[Vertex],0)),1,1,"")</f>
        <v>2</v>
      </c>
      <c r="V19" s="49">
        <v>1</v>
      </c>
      <c r="W19" s="50">
        <v>6.25</v>
      </c>
      <c r="X19" s="49">
        <v>1</v>
      </c>
      <c r="Y19" s="50">
        <v>6.25</v>
      </c>
      <c r="Z19" s="49">
        <v>0</v>
      </c>
      <c r="AA19" s="50">
        <v>0</v>
      </c>
      <c r="AB19" s="49">
        <v>14</v>
      </c>
      <c r="AC19" s="50">
        <v>87.5</v>
      </c>
      <c r="AD19" s="49">
        <v>16</v>
      </c>
    </row>
    <row r="20" spans="1:30" ht="15">
      <c r="A20" s="68" t="s">
        <v>325</v>
      </c>
      <c r="B20" s="68" t="s">
        <v>316</v>
      </c>
      <c r="C20" s="69" t="s">
        <v>1692</v>
      </c>
      <c r="D20" s="70">
        <v>10</v>
      </c>
      <c r="E20" s="71"/>
      <c r="F20" s="72">
        <v>40</v>
      </c>
      <c r="G20" s="69"/>
      <c r="H20" s="73"/>
      <c r="I20" s="74"/>
      <c r="J20" s="74"/>
      <c r="K20" s="35" t="s">
        <v>66</v>
      </c>
      <c r="L20" s="81">
        <v>20</v>
      </c>
      <c r="M20" s="81"/>
      <c r="N20" s="76"/>
      <c r="O20" s="83" t="s">
        <v>520</v>
      </c>
      <c r="P20" s="83">
        <v>2</v>
      </c>
      <c r="Q20" s="83" t="s">
        <v>521</v>
      </c>
      <c r="R20" s="83" t="s">
        <v>535</v>
      </c>
      <c r="S20" s="83">
        <v>13107</v>
      </c>
      <c r="T20" s="82" t="str">
        <f>REPLACE(INDEX(GroupVertices[Group],MATCH(Edges[[#This Row],[Vertex 1]],GroupVertices[Vertex],0)),1,1,"")</f>
        <v>2</v>
      </c>
      <c r="U20" s="82" t="str">
        <f>REPLACE(INDEX(GroupVertices[Group],MATCH(Edges[[#This Row],[Vertex 2]],GroupVertices[Vertex],0)),1,1,"")</f>
        <v>2</v>
      </c>
      <c r="V20" s="49">
        <v>0</v>
      </c>
      <c r="W20" s="50">
        <v>0</v>
      </c>
      <c r="X20" s="49">
        <v>0</v>
      </c>
      <c r="Y20" s="50">
        <v>0</v>
      </c>
      <c r="Z20" s="49">
        <v>0</v>
      </c>
      <c r="AA20" s="50">
        <v>0</v>
      </c>
      <c r="AB20" s="49">
        <v>2</v>
      </c>
      <c r="AC20" s="50">
        <v>100</v>
      </c>
      <c r="AD20" s="49">
        <v>2</v>
      </c>
    </row>
    <row r="21" spans="1:30" ht="15">
      <c r="A21" s="68" t="s">
        <v>316</v>
      </c>
      <c r="B21" s="68" t="s">
        <v>325</v>
      </c>
      <c r="C21" s="69" t="s">
        <v>1692</v>
      </c>
      <c r="D21" s="70">
        <v>10</v>
      </c>
      <c r="E21" s="71"/>
      <c r="F21" s="72">
        <v>40</v>
      </c>
      <c r="G21" s="69"/>
      <c r="H21" s="73"/>
      <c r="I21" s="74"/>
      <c r="J21" s="74"/>
      <c r="K21" s="35" t="s">
        <v>66</v>
      </c>
      <c r="L21" s="81">
        <v>21</v>
      </c>
      <c r="M21" s="81"/>
      <c r="N21" s="76"/>
      <c r="O21" s="83" t="s">
        <v>520</v>
      </c>
      <c r="P21" s="83">
        <v>2</v>
      </c>
      <c r="Q21" s="83" t="s">
        <v>521</v>
      </c>
      <c r="R21" s="83" t="s">
        <v>536</v>
      </c>
      <c r="S21" s="83">
        <v>13711</v>
      </c>
      <c r="T21" s="82" t="str">
        <f>REPLACE(INDEX(GroupVertices[Group],MATCH(Edges[[#This Row],[Vertex 1]],GroupVertices[Vertex],0)),1,1,"")</f>
        <v>2</v>
      </c>
      <c r="U21" s="82" t="str">
        <f>REPLACE(INDEX(GroupVertices[Group],MATCH(Edges[[#This Row],[Vertex 2]],GroupVertices[Vertex],0)),1,1,"")</f>
        <v>2</v>
      </c>
      <c r="V21" s="49">
        <v>0</v>
      </c>
      <c r="W21" s="50">
        <v>0</v>
      </c>
      <c r="X21" s="49">
        <v>0</v>
      </c>
      <c r="Y21" s="50">
        <v>0</v>
      </c>
      <c r="Z21" s="49">
        <v>0</v>
      </c>
      <c r="AA21" s="50">
        <v>0</v>
      </c>
      <c r="AB21" s="49">
        <v>6</v>
      </c>
      <c r="AC21" s="50">
        <v>100</v>
      </c>
      <c r="AD21" s="49">
        <v>6</v>
      </c>
    </row>
    <row r="22" spans="1:30" ht="15">
      <c r="A22" s="68" t="s">
        <v>326</v>
      </c>
      <c r="B22" s="68" t="s">
        <v>316</v>
      </c>
      <c r="C22" s="69" t="s">
        <v>1691</v>
      </c>
      <c r="D22" s="70">
        <v>3</v>
      </c>
      <c r="E22" s="71"/>
      <c r="F22" s="72">
        <v>70</v>
      </c>
      <c r="G22" s="69"/>
      <c r="H22" s="73"/>
      <c r="I22" s="74"/>
      <c r="J22" s="74"/>
      <c r="K22" s="35" t="s">
        <v>66</v>
      </c>
      <c r="L22" s="81">
        <v>22</v>
      </c>
      <c r="M22" s="81"/>
      <c r="N22" s="76"/>
      <c r="O22" s="83" t="s">
        <v>520</v>
      </c>
      <c r="P22" s="83">
        <v>1</v>
      </c>
      <c r="Q22" s="83" t="s">
        <v>521</v>
      </c>
      <c r="R22" s="83"/>
      <c r="S22" s="83">
        <v>19478</v>
      </c>
      <c r="T22" s="82" t="str">
        <f>REPLACE(INDEX(GroupVertices[Group],MATCH(Edges[[#This Row],[Vertex 1]],GroupVertices[Vertex],0)),1,1,"")</f>
        <v>2</v>
      </c>
      <c r="U22" s="82" t="str">
        <f>REPLACE(INDEX(GroupVertices[Group],MATCH(Edges[[#This Row],[Vertex 2]],GroupVertices[Vertex],0)),1,1,"")</f>
        <v>2</v>
      </c>
      <c r="V22" s="49"/>
      <c r="W22" s="50"/>
      <c r="X22" s="49"/>
      <c r="Y22" s="50"/>
      <c r="Z22" s="49"/>
      <c r="AA22" s="50"/>
      <c r="AB22" s="49"/>
      <c r="AC22" s="50"/>
      <c r="AD22" s="49"/>
    </row>
    <row r="23" spans="1:30" ht="15">
      <c r="A23" s="68" t="s">
        <v>316</v>
      </c>
      <c r="B23" s="68" t="s">
        <v>326</v>
      </c>
      <c r="C23" s="69" t="s">
        <v>1691</v>
      </c>
      <c r="D23" s="70">
        <v>3</v>
      </c>
      <c r="E23" s="71"/>
      <c r="F23" s="72">
        <v>70</v>
      </c>
      <c r="G23" s="69"/>
      <c r="H23" s="73"/>
      <c r="I23" s="74"/>
      <c r="J23" s="74"/>
      <c r="K23" s="35" t="s">
        <v>66</v>
      </c>
      <c r="L23" s="81">
        <v>23</v>
      </c>
      <c r="M23" s="81"/>
      <c r="N23" s="76"/>
      <c r="O23" s="83" t="s">
        <v>520</v>
      </c>
      <c r="P23" s="83">
        <v>1</v>
      </c>
      <c r="Q23" s="83" t="s">
        <v>521</v>
      </c>
      <c r="R23" s="83" t="s">
        <v>537</v>
      </c>
      <c r="S23" s="83">
        <v>19876</v>
      </c>
      <c r="T23" s="82" t="str">
        <f>REPLACE(INDEX(GroupVertices[Group],MATCH(Edges[[#This Row],[Vertex 1]],GroupVertices[Vertex],0)),1,1,"")</f>
        <v>2</v>
      </c>
      <c r="U23" s="82" t="str">
        <f>REPLACE(INDEX(GroupVertices[Group],MATCH(Edges[[#This Row],[Vertex 2]],GroupVertices[Vertex],0)),1,1,"")</f>
        <v>2</v>
      </c>
      <c r="V23" s="49">
        <v>0</v>
      </c>
      <c r="W23" s="50">
        <v>0</v>
      </c>
      <c r="X23" s="49">
        <v>0</v>
      </c>
      <c r="Y23" s="50">
        <v>0</v>
      </c>
      <c r="Z23" s="49">
        <v>0</v>
      </c>
      <c r="AA23" s="50">
        <v>0</v>
      </c>
      <c r="AB23" s="49">
        <v>8</v>
      </c>
      <c r="AC23" s="50">
        <v>100</v>
      </c>
      <c r="AD23" s="49">
        <v>8</v>
      </c>
    </row>
    <row r="24" spans="1:30" ht="15">
      <c r="A24" s="68" t="s">
        <v>327</v>
      </c>
      <c r="B24" s="68" t="s">
        <v>316</v>
      </c>
      <c r="C24" s="69" t="s">
        <v>1691</v>
      </c>
      <c r="D24" s="70">
        <v>3</v>
      </c>
      <c r="E24" s="71"/>
      <c r="F24" s="72">
        <v>70</v>
      </c>
      <c r="G24" s="69"/>
      <c r="H24" s="73"/>
      <c r="I24" s="74"/>
      <c r="J24" s="74"/>
      <c r="K24" s="35" t="s">
        <v>65</v>
      </c>
      <c r="L24" s="81">
        <v>24</v>
      </c>
      <c r="M24" s="81"/>
      <c r="N24" s="76"/>
      <c r="O24" s="83" t="s">
        <v>520</v>
      </c>
      <c r="P24" s="83">
        <v>1</v>
      </c>
      <c r="Q24" s="83" t="s">
        <v>521</v>
      </c>
      <c r="R24" s="83" t="s">
        <v>538</v>
      </c>
      <c r="S24" s="83">
        <v>21266</v>
      </c>
      <c r="T24" s="82" t="str">
        <f>REPLACE(INDEX(GroupVertices[Group],MATCH(Edges[[#This Row],[Vertex 1]],GroupVertices[Vertex],0)),1,1,"")</f>
        <v>2</v>
      </c>
      <c r="U24" s="82" t="str">
        <f>REPLACE(INDEX(GroupVertices[Group],MATCH(Edges[[#This Row],[Vertex 2]],GroupVertices[Vertex],0)),1,1,"")</f>
        <v>2</v>
      </c>
      <c r="V24" s="49">
        <v>0</v>
      </c>
      <c r="W24" s="50">
        <v>0</v>
      </c>
      <c r="X24" s="49">
        <v>0</v>
      </c>
      <c r="Y24" s="50">
        <v>0</v>
      </c>
      <c r="Z24" s="49">
        <v>0</v>
      </c>
      <c r="AA24" s="50">
        <v>0</v>
      </c>
      <c r="AB24" s="49">
        <v>9</v>
      </c>
      <c r="AC24" s="50">
        <v>100</v>
      </c>
      <c r="AD24" s="49">
        <v>9</v>
      </c>
    </row>
    <row r="25" spans="1:30" ht="15">
      <c r="A25" s="68" t="s">
        <v>328</v>
      </c>
      <c r="B25" s="68" t="s">
        <v>327</v>
      </c>
      <c r="C25" s="69" t="s">
        <v>1691</v>
      </c>
      <c r="D25" s="70">
        <v>3</v>
      </c>
      <c r="E25" s="71"/>
      <c r="F25" s="72">
        <v>70</v>
      </c>
      <c r="G25" s="69"/>
      <c r="H25" s="73"/>
      <c r="I25" s="74"/>
      <c r="J25" s="74"/>
      <c r="K25" s="35" t="s">
        <v>65</v>
      </c>
      <c r="L25" s="81">
        <v>25</v>
      </c>
      <c r="M25" s="81"/>
      <c r="N25" s="76"/>
      <c r="O25" s="83" t="s">
        <v>520</v>
      </c>
      <c r="P25" s="83">
        <v>1</v>
      </c>
      <c r="Q25" s="83" t="s">
        <v>521</v>
      </c>
      <c r="R25" s="83" t="s">
        <v>539</v>
      </c>
      <c r="S25" s="83">
        <v>21422</v>
      </c>
      <c r="T25" s="82" t="str">
        <f>REPLACE(INDEX(GroupVertices[Group],MATCH(Edges[[#This Row],[Vertex 1]],GroupVertices[Vertex],0)),1,1,"")</f>
        <v>1</v>
      </c>
      <c r="U25" s="82" t="str">
        <f>REPLACE(INDEX(GroupVertices[Group],MATCH(Edges[[#This Row],[Vertex 2]],GroupVertices[Vertex],0)),1,1,"")</f>
        <v>2</v>
      </c>
      <c r="V25" s="49">
        <v>0</v>
      </c>
      <c r="W25" s="50">
        <v>0</v>
      </c>
      <c r="X25" s="49">
        <v>0</v>
      </c>
      <c r="Y25" s="50">
        <v>0</v>
      </c>
      <c r="Z25" s="49">
        <v>0</v>
      </c>
      <c r="AA25" s="50">
        <v>0</v>
      </c>
      <c r="AB25" s="49">
        <v>21</v>
      </c>
      <c r="AC25" s="50">
        <v>100</v>
      </c>
      <c r="AD25" s="49">
        <v>21</v>
      </c>
    </row>
    <row r="26" spans="1:30" ht="15">
      <c r="A26" s="68" t="s">
        <v>316</v>
      </c>
      <c r="B26" s="68" t="s">
        <v>316</v>
      </c>
      <c r="C26" s="69" t="s">
        <v>1692</v>
      </c>
      <c r="D26" s="70">
        <v>10</v>
      </c>
      <c r="E26" s="71"/>
      <c r="F26" s="72">
        <v>40</v>
      </c>
      <c r="G26" s="69"/>
      <c r="H26" s="73"/>
      <c r="I26" s="74"/>
      <c r="J26" s="74"/>
      <c r="K26" s="35" t="s">
        <v>65</v>
      </c>
      <c r="L26" s="81">
        <v>26</v>
      </c>
      <c r="M26" s="81"/>
      <c r="N26" s="76"/>
      <c r="O26" s="83" t="s">
        <v>520</v>
      </c>
      <c r="P26" s="83">
        <v>2</v>
      </c>
      <c r="Q26" s="83" t="s">
        <v>521</v>
      </c>
      <c r="R26" s="83" t="s">
        <v>540</v>
      </c>
      <c r="S26" s="83">
        <v>15771</v>
      </c>
      <c r="T26" s="82" t="str">
        <f>REPLACE(INDEX(GroupVertices[Group],MATCH(Edges[[#This Row],[Vertex 1]],GroupVertices[Vertex],0)),1,1,"")</f>
        <v>2</v>
      </c>
      <c r="U26" s="82" t="str">
        <f>REPLACE(INDEX(GroupVertices[Group],MATCH(Edges[[#This Row],[Vertex 2]],GroupVertices[Vertex],0)),1,1,"")</f>
        <v>2</v>
      </c>
      <c r="V26" s="49">
        <v>0</v>
      </c>
      <c r="W26" s="50">
        <v>0</v>
      </c>
      <c r="X26" s="49">
        <v>0</v>
      </c>
      <c r="Y26" s="50">
        <v>0</v>
      </c>
      <c r="Z26" s="49">
        <v>0</v>
      </c>
      <c r="AA26" s="50">
        <v>0</v>
      </c>
      <c r="AB26" s="49">
        <v>10</v>
      </c>
      <c r="AC26" s="50">
        <v>100</v>
      </c>
      <c r="AD26" s="49">
        <v>10</v>
      </c>
    </row>
    <row r="27" spans="1:30" ht="15">
      <c r="A27" s="68" t="s">
        <v>329</v>
      </c>
      <c r="B27" s="68" t="s">
        <v>316</v>
      </c>
      <c r="C27" s="69" t="s">
        <v>1692</v>
      </c>
      <c r="D27" s="70">
        <v>10</v>
      </c>
      <c r="E27" s="71"/>
      <c r="F27" s="72">
        <v>40</v>
      </c>
      <c r="G27" s="69"/>
      <c r="H27" s="73"/>
      <c r="I27" s="74"/>
      <c r="J27" s="74"/>
      <c r="K27" s="35" t="s">
        <v>66</v>
      </c>
      <c r="L27" s="81">
        <v>27</v>
      </c>
      <c r="M27" s="81"/>
      <c r="N27" s="76"/>
      <c r="O27" s="83" t="s">
        <v>520</v>
      </c>
      <c r="P27" s="83">
        <v>3</v>
      </c>
      <c r="Q27" s="83" t="s">
        <v>521</v>
      </c>
      <c r="R27" s="83" t="s">
        <v>541</v>
      </c>
      <c r="S27" s="83">
        <v>18182</v>
      </c>
      <c r="T27" s="82" t="str">
        <f>REPLACE(INDEX(GroupVertices[Group],MATCH(Edges[[#This Row],[Vertex 1]],GroupVertices[Vertex],0)),1,1,"")</f>
        <v>2</v>
      </c>
      <c r="U27" s="82" t="str">
        <f>REPLACE(INDEX(GroupVertices[Group],MATCH(Edges[[#This Row],[Vertex 2]],GroupVertices[Vertex],0)),1,1,"")</f>
        <v>2</v>
      </c>
      <c r="V27" s="49">
        <v>0</v>
      </c>
      <c r="W27" s="50">
        <v>0</v>
      </c>
      <c r="X27" s="49">
        <v>0</v>
      </c>
      <c r="Y27" s="50">
        <v>0</v>
      </c>
      <c r="Z27" s="49">
        <v>0</v>
      </c>
      <c r="AA27" s="50">
        <v>0</v>
      </c>
      <c r="AB27" s="49">
        <v>4</v>
      </c>
      <c r="AC27" s="50">
        <v>100</v>
      </c>
      <c r="AD27" s="49">
        <v>4</v>
      </c>
    </row>
    <row r="28" spans="1:30" ht="15">
      <c r="A28" s="68" t="s">
        <v>316</v>
      </c>
      <c r="B28" s="68" t="s">
        <v>329</v>
      </c>
      <c r="C28" s="69" t="s">
        <v>1692</v>
      </c>
      <c r="D28" s="70">
        <v>10</v>
      </c>
      <c r="E28" s="71"/>
      <c r="F28" s="72">
        <v>40</v>
      </c>
      <c r="G28" s="69"/>
      <c r="H28" s="73"/>
      <c r="I28" s="74"/>
      <c r="J28" s="74"/>
      <c r="K28" s="35" t="s">
        <v>66</v>
      </c>
      <c r="L28" s="81">
        <v>28</v>
      </c>
      <c r="M28" s="81"/>
      <c r="N28" s="76"/>
      <c r="O28" s="83" t="s">
        <v>520</v>
      </c>
      <c r="P28" s="83">
        <v>3</v>
      </c>
      <c r="Q28" s="83" t="s">
        <v>521</v>
      </c>
      <c r="R28" s="83" t="s">
        <v>542</v>
      </c>
      <c r="S28" s="83">
        <v>19192</v>
      </c>
      <c r="T28" s="82" t="str">
        <f>REPLACE(INDEX(GroupVertices[Group],MATCH(Edges[[#This Row],[Vertex 1]],GroupVertices[Vertex],0)),1,1,"")</f>
        <v>2</v>
      </c>
      <c r="U28" s="82" t="str">
        <f>REPLACE(INDEX(GroupVertices[Group],MATCH(Edges[[#This Row],[Vertex 2]],GroupVertices[Vertex],0)),1,1,"")</f>
        <v>2</v>
      </c>
      <c r="V28" s="49">
        <v>0</v>
      </c>
      <c r="W28" s="50">
        <v>0</v>
      </c>
      <c r="X28" s="49">
        <v>0</v>
      </c>
      <c r="Y28" s="50">
        <v>0</v>
      </c>
      <c r="Z28" s="49">
        <v>0</v>
      </c>
      <c r="AA28" s="50">
        <v>0</v>
      </c>
      <c r="AB28" s="49">
        <v>8</v>
      </c>
      <c r="AC28" s="50">
        <v>100</v>
      </c>
      <c r="AD28" s="49">
        <v>8</v>
      </c>
    </row>
    <row r="29" spans="1:30" ht="15">
      <c r="A29" s="68" t="s">
        <v>316</v>
      </c>
      <c r="B29" s="68" t="s">
        <v>328</v>
      </c>
      <c r="C29" s="69" t="s">
        <v>1691</v>
      </c>
      <c r="D29" s="70">
        <v>3</v>
      </c>
      <c r="E29" s="71"/>
      <c r="F29" s="72">
        <v>70</v>
      </c>
      <c r="G29" s="69"/>
      <c r="H29" s="73"/>
      <c r="I29" s="74"/>
      <c r="J29" s="74"/>
      <c r="K29" s="35" t="s">
        <v>65</v>
      </c>
      <c r="L29" s="81">
        <v>29</v>
      </c>
      <c r="M29" s="81"/>
      <c r="N29" s="76"/>
      <c r="O29" s="83" t="s">
        <v>520</v>
      </c>
      <c r="P29" s="83">
        <v>1</v>
      </c>
      <c r="Q29" s="83" t="s">
        <v>521</v>
      </c>
      <c r="R29" s="83" t="s">
        <v>543</v>
      </c>
      <c r="S29" s="83">
        <v>21430</v>
      </c>
      <c r="T29" s="82" t="str">
        <f>REPLACE(INDEX(GroupVertices[Group],MATCH(Edges[[#This Row],[Vertex 1]],GroupVertices[Vertex],0)),1,1,"")</f>
        <v>2</v>
      </c>
      <c r="U29" s="82" t="str">
        <f>REPLACE(INDEX(GroupVertices[Group],MATCH(Edges[[#This Row],[Vertex 2]],GroupVertices[Vertex],0)),1,1,"")</f>
        <v>1</v>
      </c>
      <c r="V29" s="49">
        <v>0</v>
      </c>
      <c r="W29" s="50">
        <v>0</v>
      </c>
      <c r="X29" s="49">
        <v>0</v>
      </c>
      <c r="Y29" s="50">
        <v>0</v>
      </c>
      <c r="Z29" s="49">
        <v>0</v>
      </c>
      <c r="AA29" s="50">
        <v>0</v>
      </c>
      <c r="AB29" s="49">
        <v>6</v>
      </c>
      <c r="AC29" s="50">
        <v>100</v>
      </c>
      <c r="AD29" s="49">
        <v>6</v>
      </c>
    </row>
    <row r="30" spans="1:30" ht="15">
      <c r="A30" s="68" t="s">
        <v>330</v>
      </c>
      <c r="B30" s="68" t="s">
        <v>316</v>
      </c>
      <c r="C30" s="69" t="s">
        <v>1691</v>
      </c>
      <c r="D30" s="70">
        <v>3</v>
      </c>
      <c r="E30" s="71"/>
      <c r="F30" s="72">
        <v>70</v>
      </c>
      <c r="G30" s="69"/>
      <c r="H30" s="73"/>
      <c r="I30" s="74"/>
      <c r="J30" s="74"/>
      <c r="K30" s="35" t="s">
        <v>65</v>
      </c>
      <c r="L30" s="81">
        <v>30</v>
      </c>
      <c r="M30" s="81"/>
      <c r="N30" s="76"/>
      <c r="O30" s="83" t="s">
        <v>520</v>
      </c>
      <c r="P30" s="83">
        <v>1</v>
      </c>
      <c r="Q30" s="83" t="s">
        <v>521</v>
      </c>
      <c r="R30" s="83" t="s">
        <v>544</v>
      </c>
      <c r="S30" s="83">
        <v>24431</v>
      </c>
      <c r="T30" s="82" t="str">
        <f>REPLACE(INDEX(GroupVertices[Group],MATCH(Edges[[#This Row],[Vertex 1]],GroupVertices[Vertex],0)),1,1,"")</f>
        <v>2</v>
      </c>
      <c r="U30" s="82" t="str">
        <f>REPLACE(INDEX(GroupVertices[Group],MATCH(Edges[[#This Row],[Vertex 2]],GroupVertices[Vertex],0)),1,1,"")</f>
        <v>2</v>
      </c>
      <c r="V30" s="49">
        <v>0</v>
      </c>
      <c r="W30" s="50">
        <v>0</v>
      </c>
      <c r="X30" s="49">
        <v>0</v>
      </c>
      <c r="Y30" s="50">
        <v>0</v>
      </c>
      <c r="Z30" s="49">
        <v>0</v>
      </c>
      <c r="AA30" s="50">
        <v>0</v>
      </c>
      <c r="AB30" s="49">
        <v>15</v>
      </c>
      <c r="AC30" s="50">
        <v>100</v>
      </c>
      <c r="AD30" s="49">
        <v>15</v>
      </c>
    </row>
    <row r="31" spans="1:30" ht="15">
      <c r="A31" s="68" t="s">
        <v>331</v>
      </c>
      <c r="B31" s="68" t="s">
        <v>329</v>
      </c>
      <c r="C31" s="69" t="s">
        <v>1691</v>
      </c>
      <c r="D31" s="70">
        <v>3</v>
      </c>
      <c r="E31" s="71"/>
      <c r="F31" s="72">
        <v>70</v>
      </c>
      <c r="G31" s="69"/>
      <c r="H31" s="73"/>
      <c r="I31" s="74"/>
      <c r="J31" s="74"/>
      <c r="K31" s="35" t="s">
        <v>65</v>
      </c>
      <c r="L31" s="81">
        <v>31</v>
      </c>
      <c r="M31" s="81"/>
      <c r="N31" s="76"/>
      <c r="O31" s="83" t="s">
        <v>520</v>
      </c>
      <c r="P31" s="83">
        <v>1</v>
      </c>
      <c r="Q31" s="83" t="s">
        <v>521</v>
      </c>
      <c r="R31" s="83" t="s">
        <v>545</v>
      </c>
      <c r="S31" s="83">
        <v>28133</v>
      </c>
      <c r="T31" s="82" t="str">
        <f>REPLACE(INDEX(GroupVertices[Group],MATCH(Edges[[#This Row],[Vertex 1]],GroupVertices[Vertex],0)),1,1,"")</f>
        <v>2</v>
      </c>
      <c r="U31" s="82" t="str">
        <f>REPLACE(INDEX(GroupVertices[Group],MATCH(Edges[[#This Row],[Vertex 2]],GroupVertices[Vertex],0)),1,1,"")</f>
        <v>2</v>
      </c>
      <c r="V31" s="49">
        <v>1</v>
      </c>
      <c r="W31" s="50">
        <v>14.285714285714286</v>
      </c>
      <c r="X31" s="49">
        <v>0</v>
      </c>
      <c r="Y31" s="50">
        <v>0</v>
      </c>
      <c r="Z31" s="49">
        <v>0</v>
      </c>
      <c r="AA31" s="50">
        <v>0</v>
      </c>
      <c r="AB31" s="49">
        <v>6</v>
      </c>
      <c r="AC31" s="50">
        <v>85.71428571428571</v>
      </c>
      <c r="AD31" s="49">
        <v>7</v>
      </c>
    </row>
    <row r="32" spans="1:30" ht="15">
      <c r="A32" s="68" t="s">
        <v>332</v>
      </c>
      <c r="B32" s="68" t="s">
        <v>331</v>
      </c>
      <c r="C32" s="69" t="s">
        <v>1691</v>
      </c>
      <c r="D32" s="70">
        <v>3</v>
      </c>
      <c r="E32" s="71"/>
      <c r="F32" s="72">
        <v>70</v>
      </c>
      <c r="G32" s="69"/>
      <c r="H32" s="73"/>
      <c r="I32" s="74"/>
      <c r="J32" s="74"/>
      <c r="K32" s="35" t="s">
        <v>65</v>
      </c>
      <c r="L32" s="81">
        <v>32</v>
      </c>
      <c r="M32" s="81"/>
      <c r="N32" s="76"/>
      <c r="O32" s="83" t="s">
        <v>520</v>
      </c>
      <c r="P32" s="83">
        <v>1</v>
      </c>
      <c r="Q32" s="83" t="s">
        <v>521</v>
      </c>
      <c r="R32" s="83"/>
      <c r="S32" s="83">
        <v>28177</v>
      </c>
      <c r="T32" s="82" t="str">
        <f>REPLACE(INDEX(GroupVertices[Group],MATCH(Edges[[#This Row],[Vertex 1]],GroupVertices[Vertex],0)),1,1,"")</f>
        <v>2</v>
      </c>
      <c r="U32" s="82" t="str">
        <f>REPLACE(INDEX(GroupVertices[Group],MATCH(Edges[[#This Row],[Vertex 2]],GroupVertices[Vertex],0)),1,1,"")</f>
        <v>2</v>
      </c>
      <c r="V32" s="49"/>
      <c r="W32" s="50"/>
      <c r="X32" s="49"/>
      <c r="Y32" s="50"/>
      <c r="Z32" s="49"/>
      <c r="AA32" s="50"/>
      <c r="AB32" s="49"/>
      <c r="AC32" s="50"/>
      <c r="AD32" s="49"/>
    </row>
    <row r="33" spans="1:30" ht="15">
      <c r="A33" s="68" t="s">
        <v>330</v>
      </c>
      <c r="B33" s="68" t="s">
        <v>332</v>
      </c>
      <c r="C33" s="69" t="s">
        <v>1691</v>
      </c>
      <c r="D33" s="70">
        <v>3</v>
      </c>
      <c r="E33" s="71"/>
      <c r="F33" s="72">
        <v>70</v>
      </c>
      <c r="G33" s="69"/>
      <c r="H33" s="73"/>
      <c r="I33" s="74"/>
      <c r="J33" s="74"/>
      <c r="K33" s="35" t="s">
        <v>65</v>
      </c>
      <c r="L33" s="81">
        <v>33</v>
      </c>
      <c r="M33" s="81"/>
      <c r="N33" s="76"/>
      <c r="O33" s="83" t="s">
        <v>520</v>
      </c>
      <c r="P33" s="83">
        <v>1</v>
      </c>
      <c r="Q33" s="83" t="s">
        <v>521</v>
      </c>
      <c r="R33" s="83" t="s">
        <v>546</v>
      </c>
      <c r="S33" s="83">
        <v>29654</v>
      </c>
      <c r="T33" s="82" t="str">
        <f>REPLACE(INDEX(GroupVertices[Group],MATCH(Edges[[#This Row],[Vertex 1]],GroupVertices[Vertex],0)),1,1,"")</f>
        <v>2</v>
      </c>
      <c r="U33" s="82" t="str">
        <f>REPLACE(INDEX(GroupVertices[Group],MATCH(Edges[[#This Row],[Vertex 2]],GroupVertices[Vertex],0)),1,1,"")</f>
        <v>2</v>
      </c>
      <c r="V33" s="49">
        <v>0</v>
      </c>
      <c r="W33" s="50">
        <v>0</v>
      </c>
      <c r="X33" s="49">
        <v>0</v>
      </c>
      <c r="Y33" s="50">
        <v>0</v>
      </c>
      <c r="Z33" s="49">
        <v>0</v>
      </c>
      <c r="AA33" s="50">
        <v>0</v>
      </c>
      <c r="AB33" s="49">
        <v>5</v>
      </c>
      <c r="AC33" s="50">
        <v>100</v>
      </c>
      <c r="AD33" s="49">
        <v>5</v>
      </c>
    </row>
    <row r="34" spans="1:30" ht="15">
      <c r="A34" s="68" t="s">
        <v>330</v>
      </c>
      <c r="B34" s="68" t="s">
        <v>330</v>
      </c>
      <c r="C34" s="69" t="s">
        <v>1692</v>
      </c>
      <c r="D34" s="70">
        <v>10</v>
      </c>
      <c r="E34" s="71"/>
      <c r="F34" s="72">
        <v>40</v>
      </c>
      <c r="G34" s="69"/>
      <c r="H34" s="73"/>
      <c r="I34" s="74"/>
      <c r="J34" s="74"/>
      <c r="K34" s="35" t="s">
        <v>65</v>
      </c>
      <c r="L34" s="81">
        <v>34</v>
      </c>
      <c r="M34" s="81"/>
      <c r="N34" s="76"/>
      <c r="O34" s="83" t="s">
        <v>520</v>
      </c>
      <c r="P34" s="83">
        <v>2</v>
      </c>
      <c r="Q34" s="83" t="s">
        <v>521</v>
      </c>
      <c r="R34" s="83"/>
      <c r="S34" s="83">
        <v>24546</v>
      </c>
      <c r="T34" s="82" t="str">
        <f>REPLACE(INDEX(GroupVertices[Group],MATCH(Edges[[#This Row],[Vertex 1]],GroupVertices[Vertex],0)),1,1,"")</f>
        <v>2</v>
      </c>
      <c r="U34" s="82" t="str">
        <f>REPLACE(INDEX(GroupVertices[Group],MATCH(Edges[[#This Row],[Vertex 2]],GroupVertices[Vertex],0)),1,1,"")</f>
        <v>2</v>
      </c>
      <c r="V34" s="49"/>
      <c r="W34" s="50"/>
      <c r="X34" s="49"/>
      <c r="Y34" s="50"/>
      <c r="Z34" s="49"/>
      <c r="AA34" s="50"/>
      <c r="AB34" s="49"/>
      <c r="AC34" s="50"/>
      <c r="AD34" s="49"/>
    </row>
    <row r="35" spans="1:30" ht="15">
      <c r="A35" s="68" t="s">
        <v>329</v>
      </c>
      <c r="B35" s="68" t="s">
        <v>330</v>
      </c>
      <c r="C35" s="69" t="s">
        <v>1691</v>
      </c>
      <c r="D35" s="70">
        <v>3</v>
      </c>
      <c r="E35" s="71"/>
      <c r="F35" s="72">
        <v>70</v>
      </c>
      <c r="G35" s="69"/>
      <c r="H35" s="73"/>
      <c r="I35" s="74"/>
      <c r="J35" s="74"/>
      <c r="K35" s="35" t="s">
        <v>65</v>
      </c>
      <c r="L35" s="81">
        <v>35</v>
      </c>
      <c r="M35" s="81"/>
      <c r="N35" s="76"/>
      <c r="O35" s="83" t="s">
        <v>520</v>
      </c>
      <c r="P35" s="83">
        <v>1</v>
      </c>
      <c r="Q35" s="83" t="s">
        <v>521</v>
      </c>
      <c r="R35" s="83" t="s">
        <v>547</v>
      </c>
      <c r="S35" s="83">
        <v>27802</v>
      </c>
      <c r="T35" s="82" t="str">
        <f>REPLACE(INDEX(GroupVertices[Group],MATCH(Edges[[#This Row],[Vertex 1]],GroupVertices[Vertex],0)),1,1,"")</f>
        <v>2</v>
      </c>
      <c r="U35" s="82" t="str">
        <f>REPLACE(INDEX(GroupVertices[Group],MATCH(Edges[[#This Row],[Vertex 2]],GroupVertices[Vertex],0)),1,1,"")</f>
        <v>2</v>
      </c>
      <c r="V35" s="49">
        <v>0</v>
      </c>
      <c r="W35" s="50">
        <v>0</v>
      </c>
      <c r="X35" s="49">
        <v>0</v>
      </c>
      <c r="Y35" s="50">
        <v>0</v>
      </c>
      <c r="Z35" s="49">
        <v>0</v>
      </c>
      <c r="AA35" s="50">
        <v>0</v>
      </c>
      <c r="AB35" s="49">
        <v>3</v>
      </c>
      <c r="AC35" s="50">
        <v>100</v>
      </c>
      <c r="AD35" s="49">
        <v>3</v>
      </c>
    </row>
    <row r="36" spans="1:30" ht="15">
      <c r="A36" s="68" t="s">
        <v>333</v>
      </c>
      <c r="B36" s="68" t="s">
        <v>330</v>
      </c>
      <c r="C36" s="69" t="s">
        <v>1691</v>
      </c>
      <c r="D36" s="70">
        <v>3</v>
      </c>
      <c r="E36" s="71"/>
      <c r="F36" s="72">
        <v>70</v>
      </c>
      <c r="G36" s="69"/>
      <c r="H36" s="73"/>
      <c r="I36" s="74"/>
      <c r="J36" s="74"/>
      <c r="K36" s="35" t="s">
        <v>65</v>
      </c>
      <c r="L36" s="81">
        <v>36</v>
      </c>
      <c r="M36" s="81"/>
      <c r="N36" s="76"/>
      <c r="O36" s="83" t="s">
        <v>520</v>
      </c>
      <c r="P36" s="83">
        <v>1</v>
      </c>
      <c r="Q36" s="83" t="s">
        <v>521</v>
      </c>
      <c r="R36" s="83" t="s">
        <v>548</v>
      </c>
      <c r="S36" s="83">
        <v>29953</v>
      </c>
      <c r="T36" s="82" t="str">
        <f>REPLACE(INDEX(GroupVertices[Group],MATCH(Edges[[#This Row],[Vertex 1]],GroupVertices[Vertex],0)),1,1,"")</f>
        <v>2</v>
      </c>
      <c r="U36" s="82" t="str">
        <f>REPLACE(INDEX(GroupVertices[Group],MATCH(Edges[[#This Row],[Vertex 2]],GroupVertices[Vertex],0)),1,1,"")</f>
        <v>2</v>
      </c>
      <c r="V36" s="49">
        <v>1</v>
      </c>
      <c r="W36" s="50">
        <v>7.6923076923076925</v>
      </c>
      <c r="X36" s="49">
        <v>0</v>
      </c>
      <c r="Y36" s="50">
        <v>0</v>
      </c>
      <c r="Z36" s="49">
        <v>0</v>
      </c>
      <c r="AA36" s="50">
        <v>0</v>
      </c>
      <c r="AB36" s="49">
        <v>12</v>
      </c>
      <c r="AC36" s="50">
        <v>92.3076923076923</v>
      </c>
      <c r="AD36" s="49">
        <v>13</v>
      </c>
    </row>
    <row r="37" spans="1:30" ht="15">
      <c r="A37" s="68" t="s">
        <v>334</v>
      </c>
      <c r="B37" s="68" t="s">
        <v>333</v>
      </c>
      <c r="C37" s="69" t="s">
        <v>1691</v>
      </c>
      <c r="D37" s="70">
        <v>3</v>
      </c>
      <c r="E37" s="71"/>
      <c r="F37" s="72">
        <v>70</v>
      </c>
      <c r="G37" s="69"/>
      <c r="H37" s="73"/>
      <c r="I37" s="74"/>
      <c r="J37" s="74"/>
      <c r="K37" s="35" t="s">
        <v>65</v>
      </c>
      <c r="L37" s="81">
        <v>37</v>
      </c>
      <c r="M37" s="81"/>
      <c r="N37" s="76"/>
      <c r="O37" s="83" t="s">
        <v>520</v>
      </c>
      <c r="P37" s="83">
        <v>1</v>
      </c>
      <c r="Q37" s="83" t="s">
        <v>521</v>
      </c>
      <c r="R37" s="83"/>
      <c r="S37" s="83">
        <v>31516</v>
      </c>
      <c r="T37" s="82" t="str">
        <f>REPLACE(INDEX(GroupVertices[Group],MATCH(Edges[[#This Row],[Vertex 1]],GroupVertices[Vertex],0)),1,1,"")</f>
        <v>2</v>
      </c>
      <c r="U37" s="82" t="str">
        <f>REPLACE(INDEX(GroupVertices[Group],MATCH(Edges[[#This Row],[Vertex 2]],GroupVertices[Vertex],0)),1,1,"")</f>
        <v>2</v>
      </c>
      <c r="V37" s="49"/>
      <c r="W37" s="50"/>
      <c r="X37" s="49"/>
      <c r="Y37" s="50"/>
      <c r="Z37" s="49"/>
      <c r="AA37" s="50"/>
      <c r="AB37" s="49"/>
      <c r="AC37" s="50"/>
      <c r="AD37" s="49"/>
    </row>
    <row r="38" spans="1:30" ht="15">
      <c r="A38" s="68" t="s">
        <v>335</v>
      </c>
      <c r="B38" s="68" t="s">
        <v>334</v>
      </c>
      <c r="C38" s="69" t="s">
        <v>1691</v>
      </c>
      <c r="D38" s="70">
        <v>3</v>
      </c>
      <c r="E38" s="71"/>
      <c r="F38" s="72">
        <v>70</v>
      </c>
      <c r="G38" s="69"/>
      <c r="H38" s="73"/>
      <c r="I38" s="74"/>
      <c r="J38" s="74"/>
      <c r="K38" s="35" t="s">
        <v>65</v>
      </c>
      <c r="L38" s="81">
        <v>38</v>
      </c>
      <c r="M38" s="81"/>
      <c r="N38" s="76"/>
      <c r="O38" s="83" t="s">
        <v>520</v>
      </c>
      <c r="P38" s="83">
        <v>1</v>
      </c>
      <c r="Q38" s="83" t="s">
        <v>521</v>
      </c>
      <c r="R38" s="83" t="s">
        <v>549</v>
      </c>
      <c r="S38" s="83">
        <v>31547</v>
      </c>
      <c r="T38" s="82" t="str">
        <f>REPLACE(INDEX(GroupVertices[Group],MATCH(Edges[[#This Row],[Vertex 1]],GroupVertices[Vertex],0)),1,1,"")</f>
        <v>2</v>
      </c>
      <c r="U38" s="82" t="str">
        <f>REPLACE(INDEX(GroupVertices[Group],MATCH(Edges[[#This Row],[Vertex 2]],GroupVertices[Vertex],0)),1,1,"")</f>
        <v>2</v>
      </c>
      <c r="V38" s="49">
        <v>0</v>
      </c>
      <c r="W38" s="50">
        <v>0</v>
      </c>
      <c r="X38" s="49">
        <v>0</v>
      </c>
      <c r="Y38" s="50">
        <v>0</v>
      </c>
      <c r="Z38" s="49">
        <v>0</v>
      </c>
      <c r="AA38" s="50">
        <v>0</v>
      </c>
      <c r="AB38" s="49">
        <v>2</v>
      </c>
      <c r="AC38" s="50">
        <v>100</v>
      </c>
      <c r="AD38" s="49">
        <v>2</v>
      </c>
    </row>
    <row r="39" spans="1:30" ht="15">
      <c r="A39" s="68" t="s">
        <v>336</v>
      </c>
      <c r="B39" s="68" t="s">
        <v>335</v>
      </c>
      <c r="C39" s="69" t="s">
        <v>1691</v>
      </c>
      <c r="D39" s="70">
        <v>3</v>
      </c>
      <c r="E39" s="71"/>
      <c r="F39" s="72">
        <v>70</v>
      </c>
      <c r="G39" s="69"/>
      <c r="H39" s="73"/>
      <c r="I39" s="74"/>
      <c r="J39" s="74"/>
      <c r="K39" s="35" t="s">
        <v>65</v>
      </c>
      <c r="L39" s="81">
        <v>39</v>
      </c>
      <c r="M39" s="81"/>
      <c r="N39" s="76"/>
      <c r="O39" s="83" t="s">
        <v>520</v>
      </c>
      <c r="P39" s="83">
        <v>1</v>
      </c>
      <c r="Q39" s="83" t="s">
        <v>521</v>
      </c>
      <c r="R39" s="83" t="s">
        <v>550</v>
      </c>
      <c r="S39" s="83">
        <v>32820</v>
      </c>
      <c r="T39" s="82" t="str">
        <f>REPLACE(INDEX(GroupVertices[Group],MATCH(Edges[[#This Row],[Vertex 1]],GroupVertices[Vertex],0)),1,1,"")</f>
        <v>2</v>
      </c>
      <c r="U39" s="82" t="str">
        <f>REPLACE(INDEX(GroupVertices[Group],MATCH(Edges[[#This Row],[Vertex 2]],GroupVertices[Vertex],0)),1,1,"")</f>
        <v>2</v>
      </c>
      <c r="V39" s="49">
        <v>0</v>
      </c>
      <c r="W39" s="50">
        <v>0</v>
      </c>
      <c r="X39" s="49">
        <v>0</v>
      </c>
      <c r="Y39" s="50">
        <v>0</v>
      </c>
      <c r="Z39" s="49">
        <v>0</v>
      </c>
      <c r="AA39" s="50">
        <v>0</v>
      </c>
      <c r="AB39" s="49">
        <v>14</v>
      </c>
      <c r="AC39" s="50">
        <v>100</v>
      </c>
      <c r="AD39" s="49">
        <v>14</v>
      </c>
    </row>
    <row r="40" spans="1:30" ht="15">
      <c r="A40" s="68" t="s">
        <v>337</v>
      </c>
      <c r="B40" s="68" t="s">
        <v>336</v>
      </c>
      <c r="C40" s="69" t="s">
        <v>1691</v>
      </c>
      <c r="D40" s="70">
        <v>3</v>
      </c>
      <c r="E40" s="71"/>
      <c r="F40" s="72">
        <v>70</v>
      </c>
      <c r="G40" s="69"/>
      <c r="H40" s="73"/>
      <c r="I40" s="74"/>
      <c r="J40" s="74"/>
      <c r="K40" s="35" t="s">
        <v>66</v>
      </c>
      <c r="L40" s="81">
        <v>40</v>
      </c>
      <c r="M40" s="81"/>
      <c r="N40" s="76"/>
      <c r="O40" s="83" t="s">
        <v>520</v>
      </c>
      <c r="P40" s="83">
        <v>1</v>
      </c>
      <c r="Q40" s="83" t="s">
        <v>521</v>
      </c>
      <c r="R40" s="83" t="s">
        <v>550</v>
      </c>
      <c r="S40" s="83">
        <v>32782</v>
      </c>
      <c r="T40" s="82" t="str">
        <f>REPLACE(INDEX(GroupVertices[Group],MATCH(Edges[[#This Row],[Vertex 1]],GroupVertices[Vertex],0)),1,1,"")</f>
        <v>2</v>
      </c>
      <c r="U40" s="82" t="str">
        <f>REPLACE(INDEX(GroupVertices[Group],MATCH(Edges[[#This Row],[Vertex 2]],GroupVertices[Vertex],0)),1,1,"")</f>
        <v>2</v>
      </c>
      <c r="V40" s="49">
        <v>0</v>
      </c>
      <c r="W40" s="50">
        <v>0</v>
      </c>
      <c r="X40" s="49">
        <v>0</v>
      </c>
      <c r="Y40" s="50">
        <v>0</v>
      </c>
      <c r="Z40" s="49">
        <v>0</v>
      </c>
      <c r="AA40" s="50">
        <v>0</v>
      </c>
      <c r="AB40" s="49">
        <v>14</v>
      </c>
      <c r="AC40" s="50">
        <v>100</v>
      </c>
      <c r="AD40" s="49">
        <v>14</v>
      </c>
    </row>
    <row r="41" spans="1:30" ht="15">
      <c r="A41" s="68" t="s">
        <v>336</v>
      </c>
      <c r="B41" s="68" t="s">
        <v>337</v>
      </c>
      <c r="C41" s="69" t="s">
        <v>1691</v>
      </c>
      <c r="D41" s="70">
        <v>3</v>
      </c>
      <c r="E41" s="71"/>
      <c r="F41" s="72">
        <v>70</v>
      </c>
      <c r="G41" s="69"/>
      <c r="H41" s="73"/>
      <c r="I41" s="74"/>
      <c r="J41" s="74"/>
      <c r="K41" s="35" t="s">
        <v>66</v>
      </c>
      <c r="L41" s="81">
        <v>41</v>
      </c>
      <c r="M41" s="81"/>
      <c r="N41" s="76"/>
      <c r="O41" s="83" t="s">
        <v>520</v>
      </c>
      <c r="P41" s="83">
        <v>1</v>
      </c>
      <c r="Q41" s="83" t="s">
        <v>521</v>
      </c>
      <c r="R41" s="83" t="s">
        <v>551</v>
      </c>
      <c r="S41" s="83">
        <v>32887</v>
      </c>
      <c r="T41" s="82" t="str">
        <f>REPLACE(INDEX(GroupVertices[Group],MATCH(Edges[[#This Row],[Vertex 1]],GroupVertices[Vertex],0)),1,1,"")</f>
        <v>2</v>
      </c>
      <c r="U41" s="82" t="str">
        <f>REPLACE(INDEX(GroupVertices[Group],MATCH(Edges[[#This Row],[Vertex 2]],GroupVertices[Vertex],0)),1,1,"")</f>
        <v>2</v>
      </c>
      <c r="V41" s="49">
        <v>0</v>
      </c>
      <c r="W41" s="50">
        <v>0</v>
      </c>
      <c r="X41" s="49">
        <v>0</v>
      </c>
      <c r="Y41" s="50">
        <v>0</v>
      </c>
      <c r="Z41" s="49">
        <v>0</v>
      </c>
      <c r="AA41" s="50">
        <v>0</v>
      </c>
      <c r="AB41" s="49">
        <v>4</v>
      </c>
      <c r="AC41" s="50">
        <v>100</v>
      </c>
      <c r="AD41" s="49">
        <v>4</v>
      </c>
    </row>
    <row r="42" spans="1:30" ht="15">
      <c r="A42" s="68" t="s">
        <v>334</v>
      </c>
      <c r="B42" s="68" t="s">
        <v>336</v>
      </c>
      <c r="C42" s="69" t="s">
        <v>1691</v>
      </c>
      <c r="D42" s="70">
        <v>3</v>
      </c>
      <c r="E42" s="71"/>
      <c r="F42" s="72">
        <v>70</v>
      </c>
      <c r="G42" s="69"/>
      <c r="H42" s="73"/>
      <c r="I42" s="74"/>
      <c r="J42" s="74"/>
      <c r="K42" s="35" t="s">
        <v>65</v>
      </c>
      <c r="L42" s="81">
        <v>42</v>
      </c>
      <c r="M42" s="81"/>
      <c r="N42" s="76"/>
      <c r="O42" s="83" t="s">
        <v>520</v>
      </c>
      <c r="P42" s="83">
        <v>1</v>
      </c>
      <c r="Q42" s="83" t="s">
        <v>521</v>
      </c>
      <c r="R42" s="83"/>
      <c r="S42" s="83">
        <v>34045</v>
      </c>
      <c r="T42" s="82" t="str">
        <f>REPLACE(INDEX(GroupVertices[Group],MATCH(Edges[[#This Row],[Vertex 1]],GroupVertices[Vertex],0)),1,1,"")</f>
        <v>2</v>
      </c>
      <c r="U42" s="82" t="str">
        <f>REPLACE(INDEX(GroupVertices[Group],MATCH(Edges[[#This Row],[Vertex 2]],GroupVertices[Vertex],0)),1,1,"")</f>
        <v>2</v>
      </c>
      <c r="V42" s="49"/>
      <c r="W42" s="50"/>
      <c r="X42" s="49"/>
      <c r="Y42" s="50"/>
      <c r="Z42" s="49"/>
      <c r="AA42" s="50"/>
      <c r="AB42" s="49"/>
      <c r="AC42" s="50"/>
      <c r="AD42" s="49"/>
    </row>
    <row r="43" spans="1:30" ht="15">
      <c r="A43" s="68" t="s">
        <v>338</v>
      </c>
      <c r="B43" s="68" t="s">
        <v>334</v>
      </c>
      <c r="C43" s="69" t="s">
        <v>1691</v>
      </c>
      <c r="D43" s="70">
        <v>3</v>
      </c>
      <c r="E43" s="71"/>
      <c r="F43" s="72">
        <v>70</v>
      </c>
      <c r="G43" s="69"/>
      <c r="H43" s="73"/>
      <c r="I43" s="74"/>
      <c r="J43" s="74"/>
      <c r="K43" s="35" t="s">
        <v>66</v>
      </c>
      <c r="L43" s="81">
        <v>43</v>
      </c>
      <c r="M43" s="81"/>
      <c r="N43" s="76"/>
      <c r="O43" s="83" t="s">
        <v>520</v>
      </c>
      <c r="P43" s="83">
        <v>1</v>
      </c>
      <c r="Q43" s="83" t="s">
        <v>521</v>
      </c>
      <c r="R43" s="83" t="s">
        <v>552</v>
      </c>
      <c r="S43" s="83">
        <v>35149</v>
      </c>
      <c r="T43" s="82" t="str">
        <f>REPLACE(INDEX(GroupVertices[Group],MATCH(Edges[[#This Row],[Vertex 1]],GroupVertices[Vertex],0)),1,1,"")</f>
        <v>2</v>
      </c>
      <c r="U43" s="82" t="str">
        <f>REPLACE(INDEX(GroupVertices[Group],MATCH(Edges[[#This Row],[Vertex 2]],GroupVertices[Vertex],0)),1,1,"")</f>
        <v>2</v>
      </c>
      <c r="V43" s="49">
        <v>0</v>
      </c>
      <c r="W43" s="50">
        <v>0</v>
      </c>
      <c r="X43" s="49">
        <v>0</v>
      </c>
      <c r="Y43" s="50">
        <v>0</v>
      </c>
      <c r="Z43" s="49">
        <v>0</v>
      </c>
      <c r="AA43" s="50">
        <v>0</v>
      </c>
      <c r="AB43" s="49">
        <v>6</v>
      </c>
      <c r="AC43" s="50">
        <v>100</v>
      </c>
      <c r="AD43" s="49">
        <v>6</v>
      </c>
    </row>
    <row r="44" spans="1:30" ht="15">
      <c r="A44" s="68" t="s">
        <v>334</v>
      </c>
      <c r="B44" s="68" t="s">
        <v>338</v>
      </c>
      <c r="C44" s="69" t="s">
        <v>1691</v>
      </c>
      <c r="D44" s="70">
        <v>3</v>
      </c>
      <c r="E44" s="71"/>
      <c r="F44" s="72">
        <v>70</v>
      </c>
      <c r="G44" s="69"/>
      <c r="H44" s="73"/>
      <c r="I44" s="74"/>
      <c r="J44" s="74"/>
      <c r="K44" s="35" t="s">
        <v>66</v>
      </c>
      <c r="L44" s="81">
        <v>44</v>
      </c>
      <c r="M44" s="81"/>
      <c r="N44" s="76"/>
      <c r="O44" s="83" t="s">
        <v>520</v>
      </c>
      <c r="P44" s="83">
        <v>1</v>
      </c>
      <c r="Q44" s="83" t="s">
        <v>521</v>
      </c>
      <c r="R44" s="83"/>
      <c r="S44" s="83">
        <v>37121</v>
      </c>
      <c r="T44" s="82" t="str">
        <f>REPLACE(INDEX(GroupVertices[Group],MATCH(Edges[[#This Row],[Vertex 1]],GroupVertices[Vertex],0)),1,1,"")</f>
        <v>2</v>
      </c>
      <c r="U44" s="82" t="str">
        <f>REPLACE(INDEX(GroupVertices[Group],MATCH(Edges[[#This Row],[Vertex 2]],GroupVertices[Vertex],0)),1,1,"")</f>
        <v>2</v>
      </c>
      <c r="V44" s="49"/>
      <c r="W44" s="50"/>
      <c r="X44" s="49"/>
      <c r="Y44" s="50"/>
      <c r="Z44" s="49"/>
      <c r="AA44" s="50"/>
      <c r="AB44" s="49"/>
      <c r="AC44" s="50"/>
      <c r="AD44" s="49"/>
    </row>
    <row r="45" spans="1:30" ht="15">
      <c r="A45" s="68" t="s">
        <v>328</v>
      </c>
      <c r="B45" s="68" t="s">
        <v>334</v>
      </c>
      <c r="C45" s="69" t="s">
        <v>1691</v>
      </c>
      <c r="D45" s="70">
        <v>3</v>
      </c>
      <c r="E45" s="71"/>
      <c r="F45" s="72">
        <v>70</v>
      </c>
      <c r="G45" s="69"/>
      <c r="H45" s="73"/>
      <c r="I45" s="74"/>
      <c r="J45" s="74"/>
      <c r="K45" s="35" t="s">
        <v>66</v>
      </c>
      <c r="L45" s="81">
        <v>45</v>
      </c>
      <c r="M45" s="81"/>
      <c r="N45" s="76"/>
      <c r="O45" s="83" t="s">
        <v>520</v>
      </c>
      <c r="P45" s="83">
        <v>1</v>
      </c>
      <c r="Q45" s="83" t="s">
        <v>521</v>
      </c>
      <c r="R45" s="83" t="s">
        <v>553</v>
      </c>
      <c r="S45" s="83">
        <v>37391</v>
      </c>
      <c r="T45" s="82" t="str">
        <f>REPLACE(INDEX(GroupVertices[Group],MATCH(Edges[[#This Row],[Vertex 1]],GroupVertices[Vertex],0)),1,1,"")</f>
        <v>1</v>
      </c>
      <c r="U45" s="82" t="str">
        <f>REPLACE(INDEX(GroupVertices[Group],MATCH(Edges[[#This Row],[Vertex 2]],GroupVertices[Vertex],0)),1,1,"")</f>
        <v>2</v>
      </c>
      <c r="V45" s="49">
        <v>0</v>
      </c>
      <c r="W45" s="50">
        <v>0</v>
      </c>
      <c r="X45" s="49">
        <v>0</v>
      </c>
      <c r="Y45" s="50">
        <v>0</v>
      </c>
      <c r="Z45" s="49">
        <v>0</v>
      </c>
      <c r="AA45" s="50">
        <v>0</v>
      </c>
      <c r="AB45" s="49">
        <v>6</v>
      </c>
      <c r="AC45" s="50">
        <v>100</v>
      </c>
      <c r="AD45" s="49">
        <v>6</v>
      </c>
    </row>
    <row r="46" spans="1:30" ht="15">
      <c r="A46" s="68" t="s">
        <v>334</v>
      </c>
      <c r="B46" s="68" t="s">
        <v>328</v>
      </c>
      <c r="C46" s="69" t="s">
        <v>1691</v>
      </c>
      <c r="D46" s="70">
        <v>3</v>
      </c>
      <c r="E46" s="71"/>
      <c r="F46" s="72">
        <v>70</v>
      </c>
      <c r="G46" s="69"/>
      <c r="H46" s="73"/>
      <c r="I46" s="74"/>
      <c r="J46" s="74"/>
      <c r="K46" s="35" t="s">
        <v>66</v>
      </c>
      <c r="L46" s="81">
        <v>46</v>
      </c>
      <c r="M46" s="81"/>
      <c r="N46" s="76"/>
      <c r="O46" s="83" t="s">
        <v>520</v>
      </c>
      <c r="P46" s="83">
        <v>1</v>
      </c>
      <c r="Q46" s="83" t="s">
        <v>521</v>
      </c>
      <c r="R46" s="83"/>
      <c r="S46" s="83">
        <v>37152</v>
      </c>
      <c r="T46" s="82" t="str">
        <f>REPLACE(INDEX(GroupVertices[Group],MATCH(Edges[[#This Row],[Vertex 1]],GroupVertices[Vertex],0)),1,1,"")</f>
        <v>2</v>
      </c>
      <c r="U46" s="82" t="str">
        <f>REPLACE(INDEX(GroupVertices[Group],MATCH(Edges[[#This Row],[Vertex 2]],GroupVertices[Vertex],0)),1,1,"")</f>
        <v>1</v>
      </c>
      <c r="V46" s="49"/>
      <c r="W46" s="50"/>
      <c r="X46" s="49"/>
      <c r="Y46" s="50"/>
      <c r="Z46" s="49"/>
      <c r="AA46" s="50"/>
      <c r="AB46" s="49"/>
      <c r="AC46" s="50"/>
      <c r="AD46" s="49"/>
    </row>
    <row r="47" spans="1:30" ht="15">
      <c r="A47" s="68" t="s">
        <v>334</v>
      </c>
      <c r="B47" s="68" t="s">
        <v>334</v>
      </c>
      <c r="C47" s="69" t="s">
        <v>1692</v>
      </c>
      <c r="D47" s="70">
        <v>10</v>
      </c>
      <c r="E47" s="71"/>
      <c r="F47" s="72">
        <v>40</v>
      </c>
      <c r="G47" s="69"/>
      <c r="H47" s="73"/>
      <c r="I47" s="74"/>
      <c r="J47" s="74"/>
      <c r="K47" s="35" t="s">
        <v>65</v>
      </c>
      <c r="L47" s="81">
        <v>47</v>
      </c>
      <c r="M47" s="81"/>
      <c r="N47" s="76"/>
      <c r="O47" s="83" t="s">
        <v>520</v>
      </c>
      <c r="P47" s="83">
        <v>2</v>
      </c>
      <c r="Q47" s="83" t="s">
        <v>521</v>
      </c>
      <c r="R47" s="83"/>
      <c r="S47" s="83">
        <v>37209</v>
      </c>
      <c r="T47" s="82" t="str">
        <f>REPLACE(INDEX(GroupVertices[Group],MATCH(Edges[[#This Row],[Vertex 1]],GroupVertices[Vertex],0)),1,1,"")</f>
        <v>2</v>
      </c>
      <c r="U47" s="82" t="str">
        <f>REPLACE(INDEX(GroupVertices[Group],MATCH(Edges[[#This Row],[Vertex 2]],GroupVertices[Vertex],0)),1,1,"")</f>
        <v>2</v>
      </c>
      <c r="V47" s="49"/>
      <c r="W47" s="50"/>
      <c r="X47" s="49"/>
      <c r="Y47" s="50"/>
      <c r="Z47" s="49"/>
      <c r="AA47" s="50"/>
      <c r="AB47" s="49"/>
      <c r="AC47" s="50"/>
      <c r="AD47" s="49"/>
    </row>
    <row r="48" spans="1:30" ht="15">
      <c r="A48" s="68" t="s">
        <v>329</v>
      </c>
      <c r="B48" s="68" t="s">
        <v>334</v>
      </c>
      <c r="C48" s="69" t="s">
        <v>1691</v>
      </c>
      <c r="D48" s="70">
        <v>3</v>
      </c>
      <c r="E48" s="71"/>
      <c r="F48" s="72">
        <v>70</v>
      </c>
      <c r="G48" s="69"/>
      <c r="H48" s="73"/>
      <c r="I48" s="74"/>
      <c r="J48" s="74"/>
      <c r="K48" s="35" t="s">
        <v>65</v>
      </c>
      <c r="L48" s="81">
        <v>48</v>
      </c>
      <c r="M48" s="81"/>
      <c r="N48" s="76"/>
      <c r="O48" s="83" t="s">
        <v>520</v>
      </c>
      <c r="P48" s="83">
        <v>1</v>
      </c>
      <c r="Q48" s="83" t="s">
        <v>521</v>
      </c>
      <c r="R48" s="83" t="s">
        <v>554</v>
      </c>
      <c r="S48" s="83">
        <v>39091</v>
      </c>
      <c r="T48" s="82" t="str">
        <f>REPLACE(INDEX(GroupVertices[Group],MATCH(Edges[[#This Row],[Vertex 1]],GroupVertices[Vertex],0)),1,1,"")</f>
        <v>2</v>
      </c>
      <c r="U48" s="82" t="str">
        <f>REPLACE(INDEX(GroupVertices[Group],MATCH(Edges[[#This Row],[Vertex 2]],GroupVertices[Vertex],0)),1,1,"")</f>
        <v>2</v>
      </c>
      <c r="V48" s="49">
        <v>0</v>
      </c>
      <c r="W48" s="50">
        <v>0</v>
      </c>
      <c r="X48" s="49">
        <v>0</v>
      </c>
      <c r="Y48" s="50">
        <v>0</v>
      </c>
      <c r="Z48" s="49">
        <v>0</v>
      </c>
      <c r="AA48" s="50">
        <v>0</v>
      </c>
      <c r="AB48" s="49">
        <v>9</v>
      </c>
      <c r="AC48" s="50">
        <v>100</v>
      </c>
      <c r="AD48" s="49">
        <v>9</v>
      </c>
    </row>
    <row r="49" spans="1:30" ht="15">
      <c r="A49" s="68" t="s">
        <v>329</v>
      </c>
      <c r="B49" s="68" t="s">
        <v>329</v>
      </c>
      <c r="C49" s="69" t="s">
        <v>1692</v>
      </c>
      <c r="D49" s="70">
        <v>10</v>
      </c>
      <c r="E49" s="71"/>
      <c r="F49" s="72">
        <v>40</v>
      </c>
      <c r="G49" s="69"/>
      <c r="H49" s="73"/>
      <c r="I49" s="74"/>
      <c r="J49" s="74"/>
      <c r="K49" s="35" t="s">
        <v>65</v>
      </c>
      <c r="L49" s="81">
        <v>49</v>
      </c>
      <c r="M49" s="81"/>
      <c r="N49" s="76"/>
      <c r="O49" s="83" t="s">
        <v>520</v>
      </c>
      <c r="P49" s="83">
        <v>5</v>
      </c>
      <c r="Q49" s="83" t="s">
        <v>521</v>
      </c>
      <c r="R49" s="83" t="s">
        <v>555</v>
      </c>
      <c r="S49" s="83">
        <v>27959</v>
      </c>
      <c r="T49" s="82" t="str">
        <f>REPLACE(INDEX(GroupVertices[Group],MATCH(Edges[[#This Row],[Vertex 1]],GroupVertices[Vertex],0)),1,1,"")</f>
        <v>2</v>
      </c>
      <c r="U49" s="82" t="str">
        <f>REPLACE(INDEX(GroupVertices[Group],MATCH(Edges[[#This Row],[Vertex 2]],GroupVertices[Vertex],0)),1,1,"")</f>
        <v>2</v>
      </c>
      <c r="V49" s="49">
        <v>0</v>
      </c>
      <c r="W49" s="50">
        <v>0</v>
      </c>
      <c r="X49" s="49">
        <v>0</v>
      </c>
      <c r="Y49" s="50">
        <v>0</v>
      </c>
      <c r="Z49" s="49">
        <v>0</v>
      </c>
      <c r="AA49" s="50">
        <v>0</v>
      </c>
      <c r="AB49" s="49">
        <v>3</v>
      </c>
      <c r="AC49" s="50">
        <v>100</v>
      </c>
      <c r="AD49" s="49">
        <v>3</v>
      </c>
    </row>
    <row r="50" spans="1:30" ht="15">
      <c r="A50" s="68" t="s">
        <v>339</v>
      </c>
      <c r="B50" s="68" t="s">
        <v>329</v>
      </c>
      <c r="C50" s="69" t="s">
        <v>1691</v>
      </c>
      <c r="D50" s="70">
        <v>3</v>
      </c>
      <c r="E50" s="71"/>
      <c r="F50" s="72">
        <v>70</v>
      </c>
      <c r="G50" s="69"/>
      <c r="H50" s="73"/>
      <c r="I50" s="74"/>
      <c r="J50" s="74"/>
      <c r="K50" s="35" t="s">
        <v>65</v>
      </c>
      <c r="L50" s="81">
        <v>50</v>
      </c>
      <c r="M50" s="81"/>
      <c r="N50" s="76"/>
      <c r="O50" s="83" t="s">
        <v>520</v>
      </c>
      <c r="P50" s="83">
        <v>1</v>
      </c>
      <c r="Q50" s="83" t="s">
        <v>521</v>
      </c>
      <c r="R50" s="83" t="s">
        <v>556</v>
      </c>
      <c r="S50" s="83">
        <v>40476</v>
      </c>
      <c r="T50" s="82" t="str">
        <f>REPLACE(INDEX(GroupVertices[Group],MATCH(Edges[[#This Row],[Vertex 1]],GroupVertices[Vertex],0)),1,1,"")</f>
        <v>8</v>
      </c>
      <c r="U50" s="82" t="str">
        <f>REPLACE(INDEX(GroupVertices[Group],MATCH(Edges[[#This Row],[Vertex 2]],GroupVertices[Vertex],0)),1,1,"")</f>
        <v>2</v>
      </c>
      <c r="V50" s="49">
        <v>0</v>
      </c>
      <c r="W50" s="50">
        <v>0</v>
      </c>
      <c r="X50" s="49">
        <v>0</v>
      </c>
      <c r="Y50" s="50">
        <v>0</v>
      </c>
      <c r="Z50" s="49">
        <v>0</v>
      </c>
      <c r="AA50" s="50">
        <v>0</v>
      </c>
      <c r="AB50" s="49">
        <v>6</v>
      </c>
      <c r="AC50" s="50">
        <v>100</v>
      </c>
      <c r="AD50" s="49">
        <v>6</v>
      </c>
    </row>
    <row r="51" spans="1:30" ht="15">
      <c r="A51" s="68" t="s">
        <v>339</v>
      </c>
      <c r="B51" s="68" t="s">
        <v>339</v>
      </c>
      <c r="C51" s="69" t="s">
        <v>1692</v>
      </c>
      <c r="D51" s="70">
        <v>10</v>
      </c>
      <c r="E51" s="71"/>
      <c r="F51" s="72">
        <v>40</v>
      </c>
      <c r="G51" s="69"/>
      <c r="H51" s="73"/>
      <c r="I51" s="74"/>
      <c r="J51" s="74"/>
      <c r="K51" s="35" t="s">
        <v>65</v>
      </c>
      <c r="L51" s="81">
        <v>51</v>
      </c>
      <c r="M51" s="81"/>
      <c r="N51" s="76"/>
      <c r="O51" s="83" t="s">
        <v>520</v>
      </c>
      <c r="P51" s="83">
        <v>6</v>
      </c>
      <c r="Q51" s="83" t="s">
        <v>521</v>
      </c>
      <c r="R51" s="83" t="s">
        <v>557</v>
      </c>
      <c r="S51" s="83">
        <v>40595</v>
      </c>
      <c r="T51" s="82" t="str">
        <f>REPLACE(INDEX(GroupVertices[Group],MATCH(Edges[[#This Row],[Vertex 1]],GroupVertices[Vertex],0)),1,1,"")</f>
        <v>8</v>
      </c>
      <c r="U51" s="82" t="str">
        <f>REPLACE(INDEX(GroupVertices[Group],MATCH(Edges[[#This Row],[Vertex 2]],GroupVertices[Vertex],0)),1,1,"")</f>
        <v>8</v>
      </c>
      <c r="V51" s="49">
        <v>0</v>
      </c>
      <c r="W51" s="50">
        <v>0</v>
      </c>
      <c r="X51" s="49">
        <v>0</v>
      </c>
      <c r="Y51" s="50">
        <v>0</v>
      </c>
      <c r="Z51" s="49">
        <v>0</v>
      </c>
      <c r="AA51" s="50">
        <v>0</v>
      </c>
      <c r="AB51" s="49">
        <v>4</v>
      </c>
      <c r="AC51" s="50">
        <v>100</v>
      </c>
      <c r="AD51" s="49">
        <v>4</v>
      </c>
    </row>
    <row r="52" spans="1:30" ht="15">
      <c r="A52" s="68" t="s">
        <v>340</v>
      </c>
      <c r="B52" s="68" t="s">
        <v>339</v>
      </c>
      <c r="C52" s="69" t="s">
        <v>1691</v>
      </c>
      <c r="D52" s="70">
        <v>3</v>
      </c>
      <c r="E52" s="71"/>
      <c r="F52" s="72">
        <v>70</v>
      </c>
      <c r="G52" s="69"/>
      <c r="H52" s="73"/>
      <c r="I52" s="74"/>
      <c r="J52" s="74"/>
      <c r="K52" s="35" t="s">
        <v>65</v>
      </c>
      <c r="L52" s="81">
        <v>52</v>
      </c>
      <c r="M52" s="81"/>
      <c r="N52" s="76"/>
      <c r="O52" s="83" t="s">
        <v>520</v>
      </c>
      <c r="P52" s="83">
        <v>1</v>
      </c>
      <c r="Q52" s="83" t="s">
        <v>521</v>
      </c>
      <c r="R52" s="83"/>
      <c r="S52" s="83">
        <v>41395</v>
      </c>
      <c r="T52" s="82" t="str">
        <f>REPLACE(INDEX(GroupVertices[Group],MATCH(Edges[[#This Row],[Vertex 1]],GroupVertices[Vertex],0)),1,1,"")</f>
        <v>8</v>
      </c>
      <c r="U52" s="82" t="str">
        <f>REPLACE(INDEX(GroupVertices[Group],MATCH(Edges[[#This Row],[Vertex 2]],GroupVertices[Vertex],0)),1,1,"")</f>
        <v>8</v>
      </c>
      <c r="V52" s="49"/>
      <c r="W52" s="50"/>
      <c r="X52" s="49"/>
      <c r="Y52" s="50"/>
      <c r="Z52" s="49"/>
      <c r="AA52" s="50"/>
      <c r="AB52" s="49"/>
      <c r="AC52" s="50"/>
      <c r="AD52" s="49"/>
    </row>
    <row r="53" spans="1:30" ht="15">
      <c r="A53" s="68" t="s">
        <v>328</v>
      </c>
      <c r="B53" s="68" t="s">
        <v>340</v>
      </c>
      <c r="C53" s="69" t="s">
        <v>1691</v>
      </c>
      <c r="D53" s="70">
        <v>3</v>
      </c>
      <c r="E53" s="71"/>
      <c r="F53" s="72">
        <v>70</v>
      </c>
      <c r="G53" s="69"/>
      <c r="H53" s="73"/>
      <c r="I53" s="74"/>
      <c r="J53" s="74"/>
      <c r="K53" s="35" t="s">
        <v>66</v>
      </c>
      <c r="L53" s="81">
        <v>53</v>
      </c>
      <c r="M53" s="81"/>
      <c r="N53" s="76"/>
      <c r="O53" s="83" t="s">
        <v>520</v>
      </c>
      <c r="P53" s="83">
        <v>1</v>
      </c>
      <c r="Q53" s="83" t="s">
        <v>521</v>
      </c>
      <c r="R53" s="83" t="s">
        <v>558</v>
      </c>
      <c r="S53" s="83">
        <v>41699</v>
      </c>
      <c r="T53" s="82" t="str">
        <f>REPLACE(INDEX(GroupVertices[Group],MATCH(Edges[[#This Row],[Vertex 1]],GroupVertices[Vertex],0)),1,1,"")</f>
        <v>1</v>
      </c>
      <c r="U53" s="82" t="str">
        <f>REPLACE(INDEX(GroupVertices[Group],MATCH(Edges[[#This Row],[Vertex 2]],GroupVertices[Vertex],0)),1,1,"")</f>
        <v>8</v>
      </c>
      <c r="V53" s="49">
        <v>0</v>
      </c>
      <c r="W53" s="50">
        <v>0</v>
      </c>
      <c r="X53" s="49">
        <v>0</v>
      </c>
      <c r="Y53" s="50">
        <v>0</v>
      </c>
      <c r="Z53" s="49">
        <v>0</v>
      </c>
      <c r="AA53" s="50">
        <v>0</v>
      </c>
      <c r="AB53" s="49">
        <v>13</v>
      </c>
      <c r="AC53" s="50">
        <v>100</v>
      </c>
      <c r="AD53" s="49">
        <v>13</v>
      </c>
    </row>
    <row r="54" spans="1:30" ht="15">
      <c r="A54" s="68" t="s">
        <v>340</v>
      </c>
      <c r="B54" s="68" t="s">
        <v>328</v>
      </c>
      <c r="C54" s="69" t="s">
        <v>1691</v>
      </c>
      <c r="D54" s="70">
        <v>3</v>
      </c>
      <c r="E54" s="71"/>
      <c r="F54" s="72">
        <v>70</v>
      </c>
      <c r="G54" s="69"/>
      <c r="H54" s="73"/>
      <c r="I54" s="74"/>
      <c r="J54" s="74"/>
      <c r="K54" s="35" t="s">
        <v>66</v>
      </c>
      <c r="L54" s="81">
        <v>54</v>
      </c>
      <c r="M54" s="81"/>
      <c r="N54" s="76"/>
      <c r="O54" s="83" t="s">
        <v>520</v>
      </c>
      <c r="P54" s="83">
        <v>1</v>
      </c>
      <c r="Q54" s="83" t="s">
        <v>521</v>
      </c>
      <c r="R54" s="83" t="s">
        <v>559</v>
      </c>
      <c r="S54" s="83">
        <v>41711</v>
      </c>
      <c r="T54" s="82" t="str">
        <f>REPLACE(INDEX(GroupVertices[Group],MATCH(Edges[[#This Row],[Vertex 1]],GroupVertices[Vertex],0)),1,1,"")</f>
        <v>8</v>
      </c>
      <c r="U54" s="82" t="str">
        <f>REPLACE(INDEX(GroupVertices[Group],MATCH(Edges[[#This Row],[Vertex 2]],GroupVertices[Vertex],0)),1,1,"")</f>
        <v>1</v>
      </c>
      <c r="V54" s="49">
        <v>0</v>
      </c>
      <c r="W54" s="50">
        <v>0</v>
      </c>
      <c r="X54" s="49">
        <v>0</v>
      </c>
      <c r="Y54" s="50">
        <v>0</v>
      </c>
      <c r="Z54" s="49">
        <v>0</v>
      </c>
      <c r="AA54" s="50">
        <v>0</v>
      </c>
      <c r="AB54" s="49">
        <v>11</v>
      </c>
      <c r="AC54" s="50">
        <v>100</v>
      </c>
      <c r="AD54" s="49">
        <v>11</v>
      </c>
    </row>
    <row r="55" spans="1:30" ht="15">
      <c r="A55" s="68" t="s">
        <v>340</v>
      </c>
      <c r="B55" s="68" t="s">
        <v>340</v>
      </c>
      <c r="C55" s="69" t="s">
        <v>1691</v>
      </c>
      <c r="D55" s="70">
        <v>3</v>
      </c>
      <c r="E55" s="71"/>
      <c r="F55" s="72">
        <v>70</v>
      </c>
      <c r="G55" s="69"/>
      <c r="H55" s="73"/>
      <c r="I55" s="74"/>
      <c r="J55" s="74"/>
      <c r="K55" s="35" t="s">
        <v>65</v>
      </c>
      <c r="L55" s="81">
        <v>55</v>
      </c>
      <c r="M55" s="81"/>
      <c r="N55" s="76"/>
      <c r="O55" s="83" t="s">
        <v>520</v>
      </c>
      <c r="P55" s="83">
        <v>1</v>
      </c>
      <c r="Q55" s="83" t="s">
        <v>521</v>
      </c>
      <c r="R55" s="83" t="s">
        <v>559</v>
      </c>
      <c r="S55" s="83">
        <v>41969</v>
      </c>
      <c r="T55" s="82" t="str">
        <f>REPLACE(INDEX(GroupVertices[Group],MATCH(Edges[[#This Row],[Vertex 1]],GroupVertices[Vertex],0)),1,1,"")</f>
        <v>8</v>
      </c>
      <c r="U55" s="82" t="str">
        <f>REPLACE(INDEX(GroupVertices[Group],MATCH(Edges[[#This Row],[Vertex 2]],GroupVertices[Vertex],0)),1,1,"")</f>
        <v>8</v>
      </c>
      <c r="V55" s="49">
        <v>0</v>
      </c>
      <c r="W55" s="50">
        <v>0</v>
      </c>
      <c r="X55" s="49">
        <v>0</v>
      </c>
      <c r="Y55" s="50">
        <v>0</v>
      </c>
      <c r="Z55" s="49">
        <v>0</v>
      </c>
      <c r="AA55" s="50">
        <v>0</v>
      </c>
      <c r="AB55" s="49">
        <v>11</v>
      </c>
      <c r="AC55" s="50">
        <v>100</v>
      </c>
      <c r="AD55" s="49">
        <v>11</v>
      </c>
    </row>
    <row r="56" spans="1:30" ht="15">
      <c r="A56" s="68" t="s">
        <v>341</v>
      </c>
      <c r="B56" s="68" t="s">
        <v>340</v>
      </c>
      <c r="C56" s="69" t="s">
        <v>1691</v>
      </c>
      <c r="D56" s="70">
        <v>3</v>
      </c>
      <c r="E56" s="71"/>
      <c r="F56" s="72">
        <v>70</v>
      </c>
      <c r="G56" s="69"/>
      <c r="H56" s="73"/>
      <c r="I56" s="74"/>
      <c r="J56" s="74"/>
      <c r="K56" s="35" t="s">
        <v>65</v>
      </c>
      <c r="L56" s="81">
        <v>56</v>
      </c>
      <c r="M56" s="81"/>
      <c r="N56" s="76"/>
      <c r="O56" s="83" t="s">
        <v>520</v>
      </c>
      <c r="P56" s="83">
        <v>1</v>
      </c>
      <c r="Q56" s="83" t="s">
        <v>521</v>
      </c>
      <c r="R56" s="83" t="s">
        <v>560</v>
      </c>
      <c r="S56" s="83">
        <v>42380</v>
      </c>
      <c r="T56" s="82" t="str">
        <f>REPLACE(INDEX(GroupVertices[Group],MATCH(Edges[[#This Row],[Vertex 1]],GroupVertices[Vertex],0)),1,1,"")</f>
        <v>8</v>
      </c>
      <c r="U56" s="82" t="str">
        <f>REPLACE(INDEX(GroupVertices[Group],MATCH(Edges[[#This Row],[Vertex 2]],GroupVertices[Vertex],0)),1,1,"")</f>
        <v>8</v>
      </c>
      <c r="V56" s="49">
        <v>0</v>
      </c>
      <c r="W56" s="50">
        <v>0</v>
      </c>
      <c r="X56" s="49">
        <v>0</v>
      </c>
      <c r="Y56" s="50">
        <v>0</v>
      </c>
      <c r="Z56" s="49">
        <v>0</v>
      </c>
      <c r="AA56" s="50">
        <v>0</v>
      </c>
      <c r="AB56" s="49">
        <v>7</v>
      </c>
      <c r="AC56" s="50">
        <v>100</v>
      </c>
      <c r="AD56" s="49">
        <v>7</v>
      </c>
    </row>
    <row r="57" spans="1:30" ht="15">
      <c r="A57" s="68" t="s">
        <v>342</v>
      </c>
      <c r="B57" s="68" t="s">
        <v>341</v>
      </c>
      <c r="C57" s="69" t="s">
        <v>1691</v>
      </c>
      <c r="D57" s="70">
        <v>3</v>
      </c>
      <c r="E57" s="71"/>
      <c r="F57" s="72">
        <v>70</v>
      </c>
      <c r="G57" s="69"/>
      <c r="H57" s="73"/>
      <c r="I57" s="74"/>
      <c r="J57" s="74"/>
      <c r="K57" s="35" t="s">
        <v>65</v>
      </c>
      <c r="L57" s="81">
        <v>57</v>
      </c>
      <c r="M57" s="81"/>
      <c r="N57" s="76"/>
      <c r="O57" s="83" t="s">
        <v>520</v>
      </c>
      <c r="P57" s="83">
        <v>1</v>
      </c>
      <c r="Q57" s="83" t="s">
        <v>521</v>
      </c>
      <c r="R57" s="83" t="s">
        <v>559</v>
      </c>
      <c r="S57" s="83">
        <v>44179</v>
      </c>
      <c r="T57" s="82" t="str">
        <f>REPLACE(INDEX(GroupVertices[Group],MATCH(Edges[[#This Row],[Vertex 1]],GroupVertices[Vertex],0)),1,1,"")</f>
        <v>8</v>
      </c>
      <c r="U57" s="82" t="str">
        <f>REPLACE(INDEX(GroupVertices[Group],MATCH(Edges[[#This Row],[Vertex 2]],GroupVertices[Vertex],0)),1,1,"")</f>
        <v>8</v>
      </c>
      <c r="V57" s="49">
        <v>0</v>
      </c>
      <c r="W57" s="50">
        <v>0</v>
      </c>
      <c r="X57" s="49">
        <v>0</v>
      </c>
      <c r="Y57" s="50">
        <v>0</v>
      </c>
      <c r="Z57" s="49">
        <v>0</v>
      </c>
      <c r="AA57" s="50">
        <v>0</v>
      </c>
      <c r="AB57" s="49">
        <v>11</v>
      </c>
      <c r="AC57" s="50">
        <v>100</v>
      </c>
      <c r="AD57" s="49">
        <v>11</v>
      </c>
    </row>
    <row r="58" spans="1:30" ht="15">
      <c r="A58" s="68" t="s">
        <v>343</v>
      </c>
      <c r="B58" s="68" t="s">
        <v>342</v>
      </c>
      <c r="C58" s="69" t="s">
        <v>1691</v>
      </c>
      <c r="D58" s="70">
        <v>3</v>
      </c>
      <c r="E58" s="71"/>
      <c r="F58" s="72">
        <v>70</v>
      </c>
      <c r="G58" s="69"/>
      <c r="H58" s="73"/>
      <c r="I58" s="74"/>
      <c r="J58" s="74"/>
      <c r="K58" s="35" t="s">
        <v>65</v>
      </c>
      <c r="L58" s="81">
        <v>58</v>
      </c>
      <c r="M58" s="81"/>
      <c r="N58" s="76"/>
      <c r="O58" s="83" t="s">
        <v>520</v>
      </c>
      <c r="P58" s="83">
        <v>1</v>
      </c>
      <c r="Q58" s="83" t="s">
        <v>521</v>
      </c>
      <c r="R58" s="83" t="s">
        <v>561</v>
      </c>
      <c r="S58" s="83">
        <v>44121</v>
      </c>
      <c r="T58" s="82" t="str">
        <f>REPLACE(INDEX(GroupVertices[Group],MATCH(Edges[[#This Row],[Vertex 1]],GroupVertices[Vertex],0)),1,1,"")</f>
        <v>8</v>
      </c>
      <c r="U58" s="82" t="str">
        <f>REPLACE(INDEX(GroupVertices[Group],MATCH(Edges[[#This Row],[Vertex 2]],GroupVertices[Vertex],0)),1,1,"")</f>
        <v>8</v>
      </c>
      <c r="V58" s="49">
        <v>0</v>
      </c>
      <c r="W58" s="50">
        <v>0</v>
      </c>
      <c r="X58" s="49">
        <v>1</v>
      </c>
      <c r="Y58" s="50">
        <v>33.333333333333336</v>
      </c>
      <c r="Z58" s="49">
        <v>0</v>
      </c>
      <c r="AA58" s="50">
        <v>0</v>
      </c>
      <c r="AB58" s="49">
        <v>2</v>
      </c>
      <c r="AC58" s="50">
        <v>66.66666666666667</v>
      </c>
      <c r="AD58" s="49">
        <v>3</v>
      </c>
    </row>
    <row r="59" spans="1:30" ht="15">
      <c r="A59" s="68" t="s">
        <v>344</v>
      </c>
      <c r="B59" s="68" t="s">
        <v>343</v>
      </c>
      <c r="C59" s="69" t="s">
        <v>1691</v>
      </c>
      <c r="D59" s="70">
        <v>3</v>
      </c>
      <c r="E59" s="71"/>
      <c r="F59" s="72">
        <v>70</v>
      </c>
      <c r="G59" s="69"/>
      <c r="H59" s="73"/>
      <c r="I59" s="74"/>
      <c r="J59" s="74"/>
      <c r="K59" s="35" t="s">
        <v>65</v>
      </c>
      <c r="L59" s="81">
        <v>59</v>
      </c>
      <c r="M59" s="81"/>
      <c r="N59" s="76"/>
      <c r="O59" s="83" t="s">
        <v>520</v>
      </c>
      <c r="P59" s="83">
        <v>1</v>
      </c>
      <c r="Q59" s="83" t="s">
        <v>521</v>
      </c>
      <c r="R59" s="83" t="s">
        <v>554</v>
      </c>
      <c r="S59" s="83">
        <v>45636</v>
      </c>
      <c r="T59" s="82" t="str">
        <f>REPLACE(INDEX(GroupVertices[Group],MATCH(Edges[[#This Row],[Vertex 1]],GroupVertices[Vertex],0)),1,1,"")</f>
        <v>8</v>
      </c>
      <c r="U59" s="82" t="str">
        <f>REPLACE(INDEX(GroupVertices[Group],MATCH(Edges[[#This Row],[Vertex 2]],GroupVertices[Vertex],0)),1,1,"")</f>
        <v>8</v>
      </c>
      <c r="V59" s="49">
        <v>0</v>
      </c>
      <c r="W59" s="50">
        <v>0</v>
      </c>
      <c r="X59" s="49">
        <v>0</v>
      </c>
      <c r="Y59" s="50">
        <v>0</v>
      </c>
      <c r="Z59" s="49">
        <v>0</v>
      </c>
      <c r="AA59" s="50">
        <v>0</v>
      </c>
      <c r="AB59" s="49">
        <v>9</v>
      </c>
      <c r="AC59" s="50">
        <v>100</v>
      </c>
      <c r="AD59" s="49">
        <v>9</v>
      </c>
    </row>
    <row r="60" spans="1:30" ht="15">
      <c r="A60" s="68" t="s">
        <v>345</v>
      </c>
      <c r="B60" s="68" t="s">
        <v>344</v>
      </c>
      <c r="C60" s="69" t="s">
        <v>1691</v>
      </c>
      <c r="D60" s="70">
        <v>3</v>
      </c>
      <c r="E60" s="71"/>
      <c r="F60" s="72">
        <v>70</v>
      </c>
      <c r="G60" s="69"/>
      <c r="H60" s="73"/>
      <c r="I60" s="74"/>
      <c r="J60" s="74"/>
      <c r="K60" s="35" t="s">
        <v>65</v>
      </c>
      <c r="L60" s="81">
        <v>60</v>
      </c>
      <c r="M60" s="81"/>
      <c r="N60" s="76"/>
      <c r="O60" s="83" t="s">
        <v>520</v>
      </c>
      <c r="P60" s="83">
        <v>1</v>
      </c>
      <c r="Q60" s="83" t="s">
        <v>521</v>
      </c>
      <c r="R60" s="83" t="s">
        <v>562</v>
      </c>
      <c r="S60" s="83">
        <v>45953</v>
      </c>
      <c r="T60" s="82" t="str">
        <f>REPLACE(INDEX(GroupVertices[Group],MATCH(Edges[[#This Row],[Vertex 1]],GroupVertices[Vertex],0)),1,1,"")</f>
        <v>8</v>
      </c>
      <c r="U60" s="82" t="str">
        <f>REPLACE(INDEX(GroupVertices[Group],MATCH(Edges[[#This Row],[Vertex 2]],GroupVertices[Vertex],0)),1,1,"")</f>
        <v>8</v>
      </c>
      <c r="V60" s="49">
        <v>0</v>
      </c>
      <c r="W60" s="50">
        <v>0</v>
      </c>
      <c r="X60" s="49">
        <v>0</v>
      </c>
      <c r="Y60" s="50">
        <v>0</v>
      </c>
      <c r="Z60" s="49">
        <v>0</v>
      </c>
      <c r="AA60" s="50">
        <v>0</v>
      </c>
      <c r="AB60" s="49">
        <v>5</v>
      </c>
      <c r="AC60" s="50">
        <v>100</v>
      </c>
      <c r="AD60" s="49">
        <v>5</v>
      </c>
    </row>
    <row r="61" spans="1:30" ht="15">
      <c r="A61" s="68" t="s">
        <v>345</v>
      </c>
      <c r="B61" s="68" t="s">
        <v>345</v>
      </c>
      <c r="C61" s="69" t="s">
        <v>1691</v>
      </c>
      <c r="D61" s="70">
        <v>3</v>
      </c>
      <c r="E61" s="71"/>
      <c r="F61" s="72">
        <v>70</v>
      </c>
      <c r="G61" s="69"/>
      <c r="H61" s="73"/>
      <c r="I61" s="74"/>
      <c r="J61" s="74"/>
      <c r="K61" s="35" t="s">
        <v>65</v>
      </c>
      <c r="L61" s="81">
        <v>61</v>
      </c>
      <c r="M61" s="81"/>
      <c r="N61" s="76"/>
      <c r="O61" s="83" t="s">
        <v>520</v>
      </c>
      <c r="P61" s="83">
        <v>1</v>
      </c>
      <c r="Q61" s="83" t="s">
        <v>521</v>
      </c>
      <c r="R61" s="83" t="s">
        <v>563</v>
      </c>
      <c r="S61" s="83">
        <v>45954</v>
      </c>
      <c r="T61" s="82" t="str">
        <f>REPLACE(INDEX(GroupVertices[Group],MATCH(Edges[[#This Row],[Vertex 1]],GroupVertices[Vertex],0)),1,1,"")</f>
        <v>8</v>
      </c>
      <c r="U61" s="82" t="str">
        <f>REPLACE(INDEX(GroupVertices[Group],MATCH(Edges[[#This Row],[Vertex 2]],GroupVertices[Vertex],0)),1,1,"")</f>
        <v>8</v>
      </c>
      <c r="V61" s="49">
        <v>0</v>
      </c>
      <c r="W61" s="50">
        <v>0</v>
      </c>
      <c r="X61" s="49">
        <v>0</v>
      </c>
      <c r="Y61" s="50">
        <v>0</v>
      </c>
      <c r="Z61" s="49">
        <v>0</v>
      </c>
      <c r="AA61" s="50">
        <v>0</v>
      </c>
      <c r="AB61" s="49">
        <v>5</v>
      </c>
      <c r="AC61" s="50">
        <v>100</v>
      </c>
      <c r="AD61" s="49">
        <v>5</v>
      </c>
    </row>
    <row r="62" spans="1:30" ht="15">
      <c r="A62" s="68" t="s">
        <v>346</v>
      </c>
      <c r="B62" s="68" t="s">
        <v>345</v>
      </c>
      <c r="C62" s="69" t="s">
        <v>1691</v>
      </c>
      <c r="D62" s="70">
        <v>3</v>
      </c>
      <c r="E62" s="71"/>
      <c r="F62" s="72">
        <v>70</v>
      </c>
      <c r="G62" s="69"/>
      <c r="H62" s="73"/>
      <c r="I62" s="74"/>
      <c r="J62" s="74"/>
      <c r="K62" s="35" t="s">
        <v>65</v>
      </c>
      <c r="L62" s="81">
        <v>62</v>
      </c>
      <c r="M62" s="81"/>
      <c r="N62" s="76"/>
      <c r="O62" s="83" t="s">
        <v>520</v>
      </c>
      <c r="P62" s="83">
        <v>1</v>
      </c>
      <c r="Q62" s="83" t="s">
        <v>521</v>
      </c>
      <c r="R62" s="83" t="s">
        <v>564</v>
      </c>
      <c r="S62" s="83">
        <v>46171</v>
      </c>
      <c r="T62" s="82" t="e">
        <f>REPLACE(INDEX(GroupVertices[Group],MATCH(Edges[[#This Row],[Vertex 1]],GroupVertices[Vertex],0)),1,1,"")</f>
        <v>#N/A</v>
      </c>
      <c r="U62" s="82" t="str">
        <f>REPLACE(INDEX(GroupVertices[Group],MATCH(Edges[[#This Row],[Vertex 2]],GroupVertices[Vertex],0)),1,1,"")</f>
        <v>8</v>
      </c>
      <c r="V62" s="49">
        <v>0</v>
      </c>
      <c r="W62" s="50">
        <v>0</v>
      </c>
      <c r="X62" s="49">
        <v>1</v>
      </c>
      <c r="Y62" s="50">
        <v>12.5</v>
      </c>
      <c r="Z62" s="49">
        <v>0</v>
      </c>
      <c r="AA62" s="50">
        <v>0</v>
      </c>
      <c r="AB62" s="49">
        <v>7</v>
      </c>
      <c r="AC62" s="50">
        <v>87.5</v>
      </c>
      <c r="AD62" s="49">
        <v>8</v>
      </c>
    </row>
    <row r="63" spans="1:30" ht="15">
      <c r="A63" s="68" t="s">
        <v>347</v>
      </c>
      <c r="B63" s="68" t="s">
        <v>346</v>
      </c>
      <c r="C63" s="69" t="s">
        <v>1691</v>
      </c>
      <c r="D63" s="70">
        <v>3</v>
      </c>
      <c r="E63" s="71"/>
      <c r="F63" s="72">
        <v>70</v>
      </c>
      <c r="G63" s="69"/>
      <c r="H63" s="73"/>
      <c r="I63" s="74"/>
      <c r="J63" s="74"/>
      <c r="K63" s="35" t="s">
        <v>65</v>
      </c>
      <c r="L63" s="81">
        <v>63</v>
      </c>
      <c r="M63" s="81"/>
      <c r="N63" s="76"/>
      <c r="O63" s="83" t="s">
        <v>520</v>
      </c>
      <c r="P63" s="83">
        <v>1</v>
      </c>
      <c r="Q63" s="83" t="s">
        <v>521</v>
      </c>
      <c r="R63" s="83" t="s">
        <v>565</v>
      </c>
      <c r="S63" s="83">
        <v>46495</v>
      </c>
      <c r="T63" s="82" t="str">
        <f>REPLACE(INDEX(GroupVertices[Group],MATCH(Edges[[#This Row],[Vertex 1]],GroupVertices[Vertex],0)),1,1,"")</f>
        <v>8</v>
      </c>
      <c r="U63" s="82" t="e">
        <f>REPLACE(INDEX(GroupVertices[Group],MATCH(Edges[[#This Row],[Vertex 2]],GroupVertices[Vertex],0)),1,1,"")</f>
        <v>#N/A</v>
      </c>
      <c r="V63" s="49">
        <v>0</v>
      </c>
      <c r="W63" s="50">
        <v>0</v>
      </c>
      <c r="X63" s="49">
        <v>0</v>
      </c>
      <c r="Y63" s="50">
        <v>0</v>
      </c>
      <c r="Z63" s="49">
        <v>0</v>
      </c>
      <c r="AA63" s="50">
        <v>0</v>
      </c>
      <c r="AB63" s="49">
        <v>5</v>
      </c>
      <c r="AC63" s="50">
        <v>100</v>
      </c>
      <c r="AD63" s="49">
        <v>5</v>
      </c>
    </row>
    <row r="64" spans="1:30" ht="15">
      <c r="A64" s="68" t="s">
        <v>347</v>
      </c>
      <c r="B64" s="68" t="s">
        <v>347</v>
      </c>
      <c r="C64" s="69" t="s">
        <v>1691</v>
      </c>
      <c r="D64" s="70">
        <v>3</v>
      </c>
      <c r="E64" s="71"/>
      <c r="F64" s="72">
        <v>70</v>
      </c>
      <c r="G64" s="69"/>
      <c r="H64" s="73"/>
      <c r="I64" s="74"/>
      <c r="J64" s="74"/>
      <c r="K64" s="35" t="s">
        <v>65</v>
      </c>
      <c r="L64" s="81">
        <v>64</v>
      </c>
      <c r="M64" s="81"/>
      <c r="N64" s="76"/>
      <c r="O64" s="83" t="s">
        <v>520</v>
      </c>
      <c r="P64" s="83">
        <v>1</v>
      </c>
      <c r="Q64" s="83" t="s">
        <v>521</v>
      </c>
      <c r="R64" s="83" t="s">
        <v>565</v>
      </c>
      <c r="S64" s="83">
        <v>46567</v>
      </c>
      <c r="T64" s="82" t="str">
        <f>REPLACE(INDEX(GroupVertices[Group],MATCH(Edges[[#This Row],[Vertex 1]],GroupVertices[Vertex],0)),1,1,"")</f>
        <v>8</v>
      </c>
      <c r="U64" s="82" t="str">
        <f>REPLACE(INDEX(GroupVertices[Group],MATCH(Edges[[#This Row],[Vertex 2]],GroupVertices[Vertex],0)),1,1,"")</f>
        <v>8</v>
      </c>
      <c r="V64" s="49">
        <v>0</v>
      </c>
      <c r="W64" s="50">
        <v>0</v>
      </c>
      <c r="X64" s="49">
        <v>0</v>
      </c>
      <c r="Y64" s="50">
        <v>0</v>
      </c>
      <c r="Z64" s="49">
        <v>0</v>
      </c>
      <c r="AA64" s="50">
        <v>0</v>
      </c>
      <c r="AB64" s="49">
        <v>5</v>
      </c>
      <c r="AC64" s="50">
        <v>100</v>
      </c>
      <c r="AD64" s="49">
        <v>5</v>
      </c>
    </row>
    <row r="65" spans="1:30" ht="15">
      <c r="A65" s="68" t="s">
        <v>348</v>
      </c>
      <c r="B65" s="68" t="s">
        <v>347</v>
      </c>
      <c r="C65" s="69" t="s">
        <v>1691</v>
      </c>
      <c r="D65" s="70">
        <v>3</v>
      </c>
      <c r="E65" s="71"/>
      <c r="F65" s="72">
        <v>70</v>
      </c>
      <c r="G65" s="69"/>
      <c r="H65" s="73"/>
      <c r="I65" s="74"/>
      <c r="J65" s="74"/>
      <c r="K65" s="35" t="s">
        <v>65</v>
      </c>
      <c r="L65" s="81">
        <v>65</v>
      </c>
      <c r="M65" s="81"/>
      <c r="N65" s="76"/>
      <c r="O65" s="83" t="s">
        <v>520</v>
      </c>
      <c r="P65" s="83">
        <v>1</v>
      </c>
      <c r="Q65" s="83" t="s">
        <v>521</v>
      </c>
      <c r="R65" s="83" t="s">
        <v>566</v>
      </c>
      <c r="S65" s="83">
        <v>47144</v>
      </c>
      <c r="T65" s="82" t="str">
        <f>REPLACE(INDEX(GroupVertices[Group],MATCH(Edges[[#This Row],[Vertex 1]],GroupVertices[Vertex],0)),1,1,"")</f>
        <v>8</v>
      </c>
      <c r="U65" s="82" t="str">
        <f>REPLACE(INDEX(GroupVertices[Group],MATCH(Edges[[#This Row],[Vertex 2]],GroupVertices[Vertex],0)),1,1,"")</f>
        <v>8</v>
      </c>
      <c r="V65" s="49">
        <v>0</v>
      </c>
      <c r="W65" s="50">
        <v>0</v>
      </c>
      <c r="X65" s="49">
        <v>0</v>
      </c>
      <c r="Y65" s="50">
        <v>0</v>
      </c>
      <c r="Z65" s="49">
        <v>0</v>
      </c>
      <c r="AA65" s="50">
        <v>0</v>
      </c>
      <c r="AB65" s="49">
        <v>4</v>
      </c>
      <c r="AC65" s="50">
        <v>100</v>
      </c>
      <c r="AD65" s="49">
        <v>4</v>
      </c>
    </row>
    <row r="66" spans="1:30" ht="15">
      <c r="A66" s="68" t="s">
        <v>328</v>
      </c>
      <c r="B66" s="68" t="s">
        <v>348</v>
      </c>
      <c r="C66" s="69" t="s">
        <v>1691</v>
      </c>
      <c r="D66" s="70">
        <v>3</v>
      </c>
      <c r="E66" s="71"/>
      <c r="F66" s="72">
        <v>70</v>
      </c>
      <c r="G66" s="69"/>
      <c r="H66" s="73"/>
      <c r="I66" s="74"/>
      <c r="J66" s="74"/>
      <c r="K66" s="35" t="s">
        <v>65</v>
      </c>
      <c r="L66" s="81">
        <v>66</v>
      </c>
      <c r="M66" s="81"/>
      <c r="N66" s="76"/>
      <c r="O66" s="83" t="s">
        <v>520</v>
      </c>
      <c r="P66" s="83">
        <v>1</v>
      </c>
      <c r="Q66" s="83" t="s">
        <v>521</v>
      </c>
      <c r="R66" s="83" t="s">
        <v>567</v>
      </c>
      <c r="S66" s="83">
        <v>47454</v>
      </c>
      <c r="T66" s="82" t="str">
        <f>REPLACE(INDEX(GroupVertices[Group],MATCH(Edges[[#This Row],[Vertex 1]],GroupVertices[Vertex],0)),1,1,"")</f>
        <v>1</v>
      </c>
      <c r="U66" s="82" t="str">
        <f>REPLACE(INDEX(GroupVertices[Group],MATCH(Edges[[#This Row],[Vertex 2]],GroupVertices[Vertex],0)),1,1,"")</f>
        <v>8</v>
      </c>
      <c r="V66" s="49">
        <v>0</v>
      </c>
      <c r="W66" s="50">
        <v>0</v>
      </c>
      <c r="X66" s="49">
        <v>0</v>
      </c>
      <c r="Y66" s="50">
        <v>0</v>
      </c>
      <c r="Z66" s="49">
        <v>0</v>
      </c>
      <c r="AA66" s="50">
        <v>0</v>
      </c>
      <c r="AB66" s="49">
        <v>10</v>
      </c>
      <c r="AC66" s="50">
        <v>100</v>
      </c>
      <c r="AD66" s="49">
        <v>10</v>
      </c>
    </row>
    <row r="67" spans="1:30" ht="15">
      <c r="A67" s="68" t="s">
        <v>341</v>
      </c>
      <c r="B67" s="68" t="s">
        <v>328</v>
      </c>
      <c r="C67" s="69" t="s">
        <v>1691</v>
      </c>
      <c r="D67" s="70">
        <v>3</v>
      </c>
      <c r="E67" s="71"/>
      <c r="F67" s="72">
        <v>70</v>
      </c>
      <c r="G67" s="69"/>
      <c r="H67" s="73"/>
      <c r="I67" s="74"/>
      <c r="J67" s="74"/>
      <c r="K67" s="35" t="s">
        <v>65</v>
      </c>
      <c r="L67" s="81">
        <v>67</v>
      </c>
      <c r="M67" s="81"/>
      <c r="N67" s="76"/>
      <c r="O67" s="83" t="s">
        <v>520</v>
      </c>
      <c r="P67" s="83">
        <v>1</v>
      </c>
      <c r="Q67" s="83" t="s">
        <v>521</v>
      </c>
      <c r="R67" s="83" t="s">
        <v>568</v>
      </c>
      <c r="S67" s="83">
        <v>47694</v>
      </c>
      <c r="T67" s="82" t="str">
        <f>REPLACE(INDEX(GroupVertices[Group],MATCH(Edges[[#This Row],[Vertex 1]],GroupVertices[Vertex],0)),1,1,"")</f>
        <v>8</v>
      </c>
      <c r="U67" s="82" t="str">
        <f>REPLACE(INDEX(GroupVertices[Group],MATCH(Edges[[#This Row],[Vertex 2]],GroupVertices[Vertex],0)),1,1,"")</f>
        <v>1</v>
      </c>
      <c r="V67" s="49">
        <v>0</v>
      </c>
      <c r="W67" s="50">
        <v>0</v>
      </c>
      <c r="X67" s="49">
        <v>0</v>
      </c>
      <c r="Y67" s="50">
        <v>0</v>
      </c>
      <c r="Z67" s="49">
        <v>0</v>
      </c>
      <c r="AA67" s="50">
        <v>0</v>
      </c>
      <c r="AB67" s="49">
        <v>4</v>
      </c>
      <c r="AC67" s="50">
        <v>100</v>
      </c>
      <c r="AD67" s="49">
        <v>4</v>
      </c>
    </row>
    <row r="68" spans="1:30" ht="15">
      <c r="A68" s="68" t="s">
        <v>349</v>
      </c>
      <c r="B68" s="68" t="s">
        <v>341</v>
      </c>
      <c r="C68" s="69" t="s">
        <v>1691</v>
      </c>
      <c r="D68" s="70">
        <v>3</v>
      </c>
      <c r="E68" s="71"/>
      <c r="F68" s="72">
        <v>70</v>
      </c>
      <c r="G68" s="69"/>
      <c r="H68" s="73"/>
      <c r="I68" s="74"/>
      <c r="J68" s="74"/>
      <c r="K68" s="35" t="s">
        <v>65</v>
      </c>
      <c r="L68" s="81">
        <v>68</v>
      </c>
      <c r="M68" s="81"/>
      <c r="N68" s="76"/>
      <c r="O68" s="83" t="s">
        <v>520</v>
      </c>
      <c r="P68" s="83">
        <v>1</v>
      </c>
      <c r="Q68" s="83" t="s">
        <v>521</v>
      </c>
      <c r="R68" s="83" t="s">
        <v>569</v>
      </c>
      <c r="S68" s="83">
        <v>48676</v>
      </c>
      <c r="T68" s="82" t="str">
        <f>REPLACE(INDEX(GroupVertices[Group],MATCH(Edges[[#This Row],[Vertex 1]],GroupVertices[Vertex],0)),1,1,"")</f>
        <v>8</v>
      </c>
      <c r="U68" s="82" t="str">
        <f>REPLACE(INDEX(GroupVertices[Group],MATCH(Edges[[#This Row],[Vertex 2]],GroupVertices[Vertex],0)),1,1,"")</f>
        <v>8</v>
      </c>
      <c r="V68" s="49">
        <v>0</v>
      </c>
      <c r="W68" s="50">
        <v>0</v>
      </c>
      <c r="X68" s="49">
        <v>0</v>
      </c>
      <c r="Y68" s="50">
        <v>0</v>
      </c>
      <c r="Z68" s="49">
        <v>0</v>
      </c>
      <c r="AA68" s="50">
        <v>0</v>
      </c>
      <c r="AB68" s="49">
        <v>6</v>
      </c>
      <c r="AC68" s="50">
        <v>100</v>
      </c>
      <c r="AD68" s="49">
        <v>6</v>
      </c>
    </row>
    <row r="69" spans="1:30" ht="15">
      <c r="A69" s="68" t="s">
        <v>350</v>
      </c>
      <c r="B69" s="68" t="s">
        <v>349</v>
      </c>
      <c r="C69" s="69" t="s">
        <v>1691</v>
      </c>
      <c r="D69" s="70">
        <v>3</v>
      </c>
      <c r="E69" s="71"/>
      <c r="F69" s="72">
        <v>70</v>
      </c>
      <c r="G69" s="69"/>
      <c r="H69" s="73"/>
      <c r="I69" s="74"/>
      <c r="J69" s="74"/>
      <c r="K69" s="35" t="s">
        <v>65</v>
      </c>
      <c r="L69" s="81">
        <v>69</v>
      </c>
      <c r="M69" s="81"/>
      <c r="N69" s="76"/>
      <c r="O69" s="83" t="s">
        <v>520</v>
      </c>
      <c r="P69" s="83">
        <v>1</v>
      </c>
      <c r="Q69" s="83" t="s">
        <v>521</v>
      </c>
      <c r="R69" s="83" t="s">
        <v>570</v>
      </c>
      <c r="S69" s="83">
        <v>50754</v>
      </c>
      <c r="T69" s="82" t="str">
        <f>REPLACE(INDEX(GroupVertices[Group],MATCH(Edges[[#This Row],[Vertex 1]],GroupVertices[Vertex],0)),1,1,"")</f>
        <v>8</v>
      </c>
      <c r="U69" s="82" t="str">
        <f>REPLACE(INDEX(GroupVertices[Group],MATCH(Edges[[#This Row],[Vertex 2]],GroupVertices[Vertex],0)),1,1,"")</f>
        <v>8</v>
      </c>
      <c r="V69" s="49">
        <v>0</v>
      </c>
      <c r="W69" s="50">
        <v>0</v>
      </c>
      <c r="X69" s="49">
        <v>0</v>
      </c>
      <c r="Y69" s="50">
        <v>0</v>
      </c>
      <c r="Z69" s="49">
        <v>0</v>
      </c>
      <c r="AA69" s="50">
        <v>0</v>
      </c>
      <c r="AB69" s="49">
        <v>12</v>
      </c>
      <c r="AC69" s="50">
        <v>100</v>
      </c>
      <c r="AD69" s="49">
        <v>12</v>
      </c>
    </row>
    <row r="70" spans="1:30" ht="15">
      <c r="A70" s="68" t="s">
        <v>351</v>
      </c>
      <c r="B70" s="68" t="s">
        <v>350</v>
      </c>
      <c r="C70" s="69" t="s">
        <v>1691</v>
      </c>
      <c r="D70" s="70">
        <v>3</v>
      </c>
      <c r="E70" s="71"/>
      <c r="F70" s="72">
        <v>70</v>
      </c>
      <c r="G70" s="69"/>
      <c r="H70" s="73"/>
      <c r="I70" s="74"/>
      <c r="J70" s="74"/>
      <c r="K70" s="35" t="s">
        <v>65</v>
      </c>
      <c r="L70" s="81">
        <v>70</v>
      </c>
      <c r="M70" s="81"/>
      <c r="N70" s="76"/>
      <c r="O70" s="83" t="s">
        <v>520</v>
      </c>
      <c r="P70" s="83">
        <v>1</v>
      </c>
      <c r="Q70" s="83" t="s">
        <v>521</v>
      </c>
      <c r="R70" s="83" t="s">
        <v>571</v>
      </c>
      <c r="S70" s="83">
        <v>51228</v>
      </c>
      <c r="T70" s="82" t="str">
        <f>REPLACE(INDEX(GroupVertices[Group],MATCH(Edges[[#This Row],[Vertex 1]],GroupVertices[Vertex],0)),1,1,"")</f>
        <v>8</v>
      </c>
      <c r="U70" s="82" t="str">
        <f>REPLACE(INDEX(GroupVertices[Group],MATCH(Edges[[#This Row],[Vertex 2]],GroupVertices[Vertex],0)),1,1,"")</f>
        <v>8</v>
      </c>
      <c r="V70" s="49">
        <v>0</v>
      </c>
      <c r="W70" s="50">
        <v>0</v>
      </c>
      <c r="X70" s="49">
        <v>0</v>
      </c>
      <c r="Y70" s="50">
        <v>0</v>
      </c>
      <c r="Z70" s="49">
        <v>0</v>
      </c>
      <c r="AA70" s="50">
        <v>0</v>
      </c>
      <c r="AB70" s="49">
        <v>11</v>
      </c>
      <c r="AC70" s="50">
        <v>100</v>
      </c>
      <c r="AD70" s="49">
        <v>11</v>
      </c>
    </row>
    <row r="71" spans="1:30" ht="15">
      <c r="A71" s="68" t="s">
        <v>328</v>
      </c>
      <c r="B71" s="68" t="s">
        <v>351</v>
      </c>
      <c r="C71" s="69" t="s">
        <v>1691</v>
      </c>
      <c r="D71" s="70">
        <v>3</v>
      </c>
      <c r="E71" s="71"/>
      <c r="F71" s="72">
        <v>70</v>
      </c>
      <c r="G71" s="69"/>
      <c r="H71" s="73"/>
      <c r="I71" s="74"/>
      <c r="J71" s="74"/>
      <c r="K71" s="35" t="s">
        <v>65</v>
      </c>
      <c r="L71" s="81">
        <v>71</v>
      </c>
      <c r="M71" s="81"/>
      <c r="N71" s="76"/>
      <c r="O71" s="83" t="s">
        <v>520</v>
      </c>
      <c r="P71" s="83">
        <v>1</v>
      </c>
      <c r="Q71" s="83" t="s">
        <v>521</v>
      </c>
      <c r="R71" s="83" t="s">
        <v>572</v>
      </c>
      <c r="S71" s="83">
        <v>51522</v>
      </c>
      <c r="T71" s="82" t="str">
        <f>REPLACE(INDEX(GroupVertices[Group],MATCH(Edges[[#This Row],[Vertex 1]],GroupVertices[Vertex],0)),1,1,"")</f>
        <v>1</v>
      </c>
      <c r="U71" s="82" t="str">
        <f>REPLACE(INDEX(GroupVertices[Group],MATCH(Edges[[#This Row],[Vertex 2]],GroupVertices[Vertex],0)),1,1,"")</f>
        <v>8</v>
      </c>
      <c r="V71" s="49">
        <v>0</v>
      </c>
      <c r="W71" s="50">
        <v>0</v>
      </c>
      <c r="X71" s="49">
        <v>0</v>
      </c>
      <c r="Y71" s="50">
        <v>0</v>
      </c>
      <c r="Z71" s="49">
        <v>0</v>
      </c>
      <c r="AA71" s="50">
        <v>0</v>
      </c>
      <c r="AB71" s="49">
        <v>17</v>
      </c>
      <c r="AC71" s="50">
        <v>100</v>
      </c>
      <c r="AD71" s="49">
        <v>17</v>
      </c>
    </row>
    <row r="72" spans="1:30" ht="15">
      <c r="A72" s="68" t="s">
        <v>349</v>
      </c>
      <c r="B72" s="68" t="s">
        <v>349</v>
      </c>
      <c r="C72" s="69" t="s">
        <v>1691</v>
      </c>
      <c r="D72" s="70">
        <v>3</v>
      </c>
      <c r="E72" s="71"/>
      <c r="F72" s="72">
        <v>70</v>
      </c>
      <c r="G72" s="69"/>
      <c r="H72" s="73"/>
      <c r="I72" s="74"/>
      <c r="J72" s="74"/>
      <c r="K72" s="35" t="s">
        <v>65</v>
      </c>
      <c r="L72" s="81">
        <v>72</v>
      </c>
      <c r="M72" s="81"/>
      <c r="N72" s="76"/>
      <c r="O72" s="83" t="s">
        <v>520</v>
      </c>
      <c r="P72" s="83">
        <v>1</v>
      </c>
      <c r="Q72" s="83" t="s">
        <v>521</v>
      </c>
      <c r="R72" s="83" t="s">
        <v>573</v>
      </c>
      <c r="S72" s="83">
        <v>50301</v>
      </c>
      <c r="T72" s="82" t="str">
        <f>REPLACE(INDEX(GroupVertices[Group],MATCH(Edges[[#This Row],[Vertex 1]],GroupVertices[Vertex],0)),1,1,"")</f>
        <v>8</v>
      </c>
      <c r="U72" s="82" t="str">
        <f>REPLACE(INDEX(GroupVertices[Group],MATCH(Edges[[#This Row],[Vertex 2]],GroupVertices[Vertex],0)),1,1,"")</f>
        <v>8</v>
      </c>
      <c r="V72" s="49">
        <v>0</v>
      </c>
      <c r="W72" s="50">
        <v>0</v>
      </c>
      <c r="X72" s="49">
        <v>0</v>
      </c>
      <c r="Y72" s="50">
        <v>0</v>
      </c>
      <c r="Z72" s="49">
        <v>0</v>
      </c>
      <c r="AA72" s="50">
        <v>0</v>
      </c>
      <c r="AB72" s="49">
        <v>10</v>
      </c>
      <c r="AC72" s="50">
        <v>100</v>
      </c>
      <c r="AD72" s="49">
        <v>10</v>
      </c>
    </row>
    <row r="73" spans="1:30" ht="15">
      <c r="A73" s="68" t="s">
        <v>349</v>
      </c>
      <c r="B73" s="68" t="s">
        <v>328</v>
      </c>
      <c r="C73" s="69" t="s">
        <v>1691</v>
      </c>
      <c r="D73" s="70">
        <v>3</v>
      </c>
      <c r="E73" s="71"/>
      <c r="F73" s="72">
        <v>70</v>
      </c>
      <c r="G73" s="69"/>
      <c r="H73" s="73"/>
      <c r="I73" s="74"/>
      <c r="J73" s="74"/>
      <c r="K73" s="35" t="s">
        <v>65</v>
      </c>
      <c r="L73" s="81">
        <v>73</v>
      </c>
      <c r="M73" s="81"/>
      <c r="N73" s="76"/>
      <c r="O73" s="83" t="s">
        <v>520</v>
      </c>
      <c r="P73" s="83">
        <v>1</v>
      </c>
      <c r="Q73" s="83" t="s">
        <v>521</v>
      </c>
      <c r="R73" s="83" t="s">
        <v>574</v>
      </c>
      <c r="S73" s="83">
        <v>52580</v>
      </c>
      <c r="T73" s="82" t="str">
        <f>REPLACE(INDEX(GroupVertices[Group],MATCH(Edges[[#This Row],[Vertex 1]],GroupVertices[Vertex],0)),1,1,"")</f>
        <v>8</v>
      </c>
      <c r="U73" s="82" t="str">
        <f>REPLACE(INDEX(GroupVertices[Group],MATCH(Edges[[#This Row],[Vertex 2]],GroupVertices[Vertex],0)),1,1,"")</f>
        <v>1</v>
      </c>
      <c r="V73" s="49">
        <v>0</v>
      </c>
      <c r="W73" s="50">
        <v>0</v>
      </c>
      <c r="X73" s="49">
        <v>0</v>
      </c>
      <c r="Y73" s="50">
        <v>0</v>
      </c>
      <c r="Z73" s="49">
        <v>0</v>
      </c>
      <c r="AA73" s="50">
        <v>0</v>
      </c>
      <c r="AB73" s="49">
        <v>8</v>
      </c>
      <c r="AC73" s="50">
        <v>100</v>
      </c>
      <c r="AD73" s="49">
        <v>8</v>
      </c>
    </row>
    <row r="74" spans="1:30" ht="15">
      <c r="A74" s="68" t="s">
        <v>352</v>
      </c>
      <c r="B74" s="68" t="s">
        <v>349</v>
      </c>
      <c r="C74" s="69" t="s">
        <v>1691</v>
      </c>
      <c r="D74" s="70">
        <v>3</v>
      </c>
      <c r="E74" s="71"/>
      <c r="F74" s="72">
        <v>70</v>
      </c>
      <c r="G74" s="69"/>
      <c r="H74" s="73"/>
      <c r="I74" s="74"/>
      <c r="J74" s="74"/>
      <c r="K74" s="35" t="s">
        <v>65</v>
      </c>
      <c r="L74" s="81">
        <v>74</v>
      </c>
      <c r="M74" s="81"/>
      <c r="N74" s="76"/>
      <c r="O74" s="83" t="s">
        <v>520</v>
      </c>
      <c r="P74" s="83">
        <v>1</v>
      </c>
      <c r="Q74" s="83" t="s">
        <v>521</v>
      </c>
      <c r="R74" s="83" t="s">
        <v>575</v>
      </c>
      <c r="S74" s="83">
        <v>52566</v>
      </c>
      <c r="T74" s="82" t="str">
        <f>REPLACE(INDEX(GroupVertices[Group],MATCH(Edges[[#This Row],[Vertex 1]],GroupVertices[Vertex],0)),1,1,"")</f>
        <v>8</v>
      </c>
      <c r="U74" s="82" t="str">
        <f>REPLACE(INDEX(GroupVertices[Group],MATCH(Edges[[#This Row],[Vertex 2]],GroupVertices[Vertex],0)),1,1,"")</f>
        <v>8</v>
      </c>
      <c r="V74" s="49">
        <v>0</v>
      </c>
      <c r="W74" s="50">
        <v>0</v>
      </c>
      <c r="X74" s="49">
        <v>0</v>
      </c>
      <c r="Y74" s="50">
        <v>0</v>
      </c>
      <c r="Z74" s="49">
        <v>0</v>
      </c>
      <c r="AA74" s="50">
        <v>0</v>
      </c>
      <c r="AB74" s="49">
        <v>2</v>
      </c>
      <c r="AC74" s="50">
        <v>100</v>
      </c>
      <c r="AD74" s="49">
        <v>2</v>
      </c>
    </row>
    <row r="75" spans="1:30" ht="15">
      <c r="A75" s="68" t="s">
        <v>353</v>
      </c>
      <c r="B75" s="68" t="s">
        <v>352</v>
      </c>
      <c r="C75" s="69" t="s">
        <v>1691</v>
      </c>
      <c r="D75" s="70">
        <v>3</v>
      </c>
      <c r="E75" s="71"/>
      <c r="F75" s="72">
        <v>70</v>
      </c>
      <c r="G75" s="69"/>
      <c r="H75" s="73"/>
      <c r="I75" s="74"/>
      <c r="J75" s="74"/>
      <c r="K75" s="35" t="s">
        <v>65</v>
      </c>
      <c r="L75" s="81">
        <v>75</v>
      </c>
      <c r="M75" s="81"/>
      <c r="N75" s="76"/>
      <c r="O75" s="83" t="s">
        <v>520</v>
      </c>
      <c r="P75" s="83">
        <v>1</v>
      </c>
      <c r="Q75" s="83" t="s">
        <v>521</v>
      </c>
      <c r="R75" s="83" t="s">
        <v>576</v>
      </c>
      <c r="S75" s="83">
        <v>53172</v>
      </c>
      <c r="T75" s="82" t="str">
        <f>REPLACE(INDEX(GroupVertices[Group],MATCH(Edges[[#This Row],[Vertex 1]],GroupVertices[Vertex],0)),1,1,"")</f>
        <v>8</v>
      </c>
      <c r="U75" s="82" t="str">
        <f>REPLACE(INDEX(GroupVertices[Group],MATCH(Edges[[#This Row],[Vertex 2]],GroupVertices[Vertex],0)),1,1,"")</f>
        <v>8</v>
      </c>
      <c r="V75" s="49">
        <v>0</v>
      </c>
      <c r="W75" s="50">
        <v>0</v>
      </c>
      <c r="X75" s="49">
        <v>0</v>
      </c>
      <c r="Y75" s="50">
        <v>0</v>
      </c>
      <c r="Z75" s="49">
        <v>0</v>
      </c>
      <c r="AA75" s="50">
        <v>0</v>
      </c>
      <c r="AB75" s="49">
        <v>14</v>
      </c>
      <c r="AC75" s="50">
        <v>100</v>
      </c>
      <c r="AD75" s="49">
        <v>14</v>
      </c>
    </row>
    <row r="76" spans="1:30" ht="15">
      <c r="A76" s="68" t="s">
        <v>353</v>
      </c>
      <c r="B76" s="68" t="s">
        <v>353</v>
      </c>
      <c r="C76" s="69" t="s">
        <v>1692</v>
      </c>
      <c r="D76" s="70">
        <v>10</v>
      </c>
      <c r="E76" s="71"/>
      <c r="F76" s="72">
        <v>40</v>
      </c>
      <c r="G76" s="69"/>
      <c r="H76" s="73"/>
      <c r="I76" s="74"/>
      <c r="J76" s="74"/>
      <c r="K76" s="35" t="s">
        <v>65</v>
      </c>
      <c r="L76" s="81">
        <v>76</v>
      </c>
      <c r="M76" s="81"/>
      <c r="N76" s="76"/>
      <c r="O76" s="83" t="s">
        <v>520</v>
      </c>
      <c r="P76" s="83">
        <v>2</v>
      </c>
      <c r="Q76" s="83" t="s">
        <v>521</v>
      </c>
      <c r="R76" s="83" t="s">
        <v>577</v>
      </c>
      <c r="S76" s="83">
        <v>53215</v>
      </c>
      <c r="T76" s="82" t="str">
        <f>REPLACE(INDEX(GroupVertices[Group],MATCH(Edges[[#This Row],[Vertex 1]],GroupVertices[Vertex],0)),1,1,"")</f>
        <v>8</v>
      </c>
      <c r="U76" s="82" t="str">
        <f>REPLACE(INDEX(GroupVertices[Group],MATCH(Edges[[#This Row],[Vertex 2]],GroupVertices[Vertex],0)),1,1,"")</f>
        <v>8</v>
      </c>
      <c r="V76" s="49">
        <v>0</v>
      </c>
      <c r="W76" s="50">
        <v>0</v>
      </c>
      <c r="X76" s="49">
        <v>1</v>
      </c>
      <c r="Y76" s="50">
        <v>6.25</v>
      </c>
      <c r="Z76" s="49">
        <v>0</v>
      </c>
      <c r="AA76" s="50">
        <v>0</v>
      </c>
      <c r="AB76" s="49">
        <v>15</v>
      </c>
      <c r="AC76" s="50">
        <v>93.75</v>
      </c>
      <c r="AD76" s="49">
        <v>16</v>
      </c>
    </row>
    <row r="77" spans="1:30" ht="15">
      <c r="A77" s="68" t="s">
        <v>354</v>
      </c>
      <c r="B77" s="68" t="s">
        <v>353</v>
      </c>
      <c r="C77" s="69" t="s">
        <v>1691</v>
      </c>
      <c r="D77" s="70">
        <v>3</v>
      </c>
      <c r="E77" s="71"/>
      <c r="F77" s="72">
        <v>70</v>
      </c>
      <c r="G77" s="69"/>
      <c r="H77" s="73"/>
      <c r="I77" s="74"/>
      <c r="J77" s="74"/>
      <c r="K77" s="35" t="s">
        <v>65</v>
      </c>
      <c r="L77" s="81">
        <v>77</v>
      </c>
      <c r="M77" s="81"/>
      <c r="N77" s="76"/>
      <c r="O77" s="83" t="s">
        <v>520</v>
      </c>
      <c r="P77" s="83">
        <v>1</v>
      </c>
      <c r="Q77" s="83" t="s">
        <v>521</v>
      </c>
      <c r="R77" s="83" t="s">
        <v>578</v>
      </c>
      <c r="S77" s="83">
        <v>53926</v>
      </c>
      <c r="T77" s="82" t="str">
        <f>REPLACE(INDEX(GroupVertices[Group],MATCH(Edges[[#This Row],[Vertex 1]],GroupVertices[Vertex],0)),1,1,"")</f>
        <v>8</v>
      </c>
      <c r="U77" s="82" t="str">
        <f>REPLACE(INDEX(GroupVertices[Group],MATCH(Edges[[#This Row],[Vertex 2]],GroupVertices[Vertex],0)),1,1,"")</f>
        <v>8</v>
      </c>
      <c r="V77" s="49">
        <v>0</v>
      </c>
      <c r="W77" s="50">
        <v>0</v>
      </c>
      <c r="X77" s="49">
        <v>1</v>
      </c>
      <c r="Y77" s="50">
        <v>7.6923076923076925</v>
      </c>
      <c r="Z77" s="49">
        <v>0</v>
      </c>
      <c r="AA77" s="50">
        <v>0</v>
      </c>
      <c r="AB77" s="49">
        <v>12</v>
      </c>
      <c r="AC77" s="50">
        <v>92.3076923076923</v>
      </c>
      <c r="AD77" s="49">
        <v>13</v>
      </c>
    </row>
    <row r="78" spans="1:30" ht="15">
      <c r="A78" s="68" t="s">
        <v>355</v>
      </c>
      <c r="B78" s="68" t="s">
        <v>354</v>
      </c>
      <c r="C78" s="69" t="s">
        <v>1691</v>
      </c>
      <c r="D78" s="70">
        <v>3</v>
      </c>
      <c r="E78" s="71"/>
      <c r="F78" s="72">
        <v>70</v>
      </c>
      <c r="G78" s="69"/>
      <c r="H78" s="73"/>
      <c r="I78" s="74"/>
      <c r="J78" s="74"/>
      <c r="K78" s="35" t="s">
        <v>65</v>
      </c>
      <c r="L78" s="81">
        <v>78</v>
      </c>
      <c r="M78" s="81"/>
      <c r="N78" s="76"/>
      <c r="O78" s="83" t="s">
        <v>520</v>
      </c>
      <c r="P78" s="83">
        <v>1</v>
      </c>
      <c r="Q78" s="83" t="s">
        <v>521</v>
      </c>
      <c r="R78" s="83" t="s">
        <v>579</v>
      </c>
      <c r="S78" s="83">
        <v>54116</v>
      </c>
      <c r="T78" s="82" t="str">
        <f>REPLACE(INDEX(GroupVertices[Group],MATCH(Edges[[#This Row],[Vertex 1]],GroupVertices[Vertex],0)),1,1,"")</f>
        <v>1</v>
      </c>
      <c r="U78" s="82" t="str">
        <f>REPLACE(INDEX(GroupVertices[Group],MATCH(Edges[[#This Row],[Vertex 2]],GroupVertices[Vertex],0)),1,1,"")</f>
        <v>8</v>
      </c>
      <c r="V78" s="49">
        <v>0</v>
      </c>
      <c r="W78" s="50">
        <v>0</v>
      </c>
      <c r="X78" s="49">
        <v>0</v>
      </c>
      <c r="Y78" s="50">
        <v>0</v>
      </c>
      <c r="Z78" s="49">
        <v>0</v>
      </c>
      <c r="AA78" s="50">
        <v>0</v>
      </c>
      <c r="AB78" s="49">
        <v>2</v>
      </c>
      <c r="AC78" s="50">
        <v>100</v>
      </c>
      <c r="AD78" s="49">
        <v>2</v>
      </c>
    </row>
    <row r="79" spans="1:30" ht="15">
      <c r="A79" s="68" t="s">
        <v>356</v>
      </c>
      <c r="B79" s="68" t="s">
        <v>355</v>
      </c>
      <c r="C79" s="69" t="s">
        <v>1691</v>
      </c>
      <c r="D79" s="70">
        <v>3</v>
      </c>
      <c r="E79" s="71"/>
      <c r="F79" s="72">
        <v>70</v>
      </c>
      <c r="G79" s="69"/>
      <c r="H79" s="73"/>
      <c r="I79" s="74"/>
      <c r="J79" s="74"/>
      <c r="K79" s="35" t="s">
        <v>65</v>
      </c>
      <c r="L79" s="81">
        <v>79</v>
      </c>
      <c r="M79" s="81"/>
      <c r="N79" s="76"/>
      <c r="O79" s="83" t="s">
        <v>520</v>
      </c>
      <c r="P79" s="83">
        <v>1</v>
      </c>
      <c r="Q79" s="83" t="s">
        <v>521</v>
      </c>
      <c r="R79" s="83"/>
      <c r="S79" s="83">
        <v>57451</v>
      </c>
      <c r="T79" s="82" t="str">
        <f>REPLACE(INDEX(GroupVertices[Group],MATCH(Edges[[#This Row],[Vertex 1]],GroupVertices[Vertex],0)),1,1,"")</f>
        <v>1</v>
      </c>
      <c r="U79" s="82" t="str">
        <f>REPLACE(INDEX(GroupVertices[Group],MATCH(Edges[[#This Row],[Vertex 2]],GroupVertices[Vertex],0)),1,1,"")</f>
        <v>1</v>
      </c>
      <c r="V79" s="49"/>
      <c r="W79" s="50"/>
      <c r="X79" s="49"/>
      <c r="Y79" s="50"/>
      <c r="Z79" s="49"/>
      <c r="AA79" s="50"/>
      <c r="AB79" s="49"/>
      <c r="AC79" s="50"/>
      <c r="AD79" s="49"/>
    </row>
    <row r="80" spans="1:30" ht="15">
      <c r="A80" s="68" t="s">
        <v>328</v>
      </c>
      <c r="B80" s="68" t="s">
        <v>356</v>
      </c>
      <c r="C80" s="69" t="s">
        <v>1691</v>
      </c>
      <c r="D80" s="70">
        <v>3</v>
      </c>
      <c r="E80" s="71"/>
      <c r="F80" s="72">
        <v>70</v>
      </c>
      <c r="G80" s="69"/>
      <c r="H80" s="73"/>
      <c r="I80" s="74"/>
      <c r="J80" s="74"/>
      <c r="K80" s="35" t="s">
        <v>66</v>
      </c>
      <c r="L80" s="81">
        <v>80</v>
      </c>
      <c r="M80" s="81"/>
      <c r="N80" s="76"/>
      <c r="O80" s="83" t="s">
        <v>520</v>
      </c>
      <c r="P80" s="83">
        <v>1</v>
      </c>
      <c r="Q80" s="83" t="s">
        <v>521</v>
      </c>
      <c r="R80" s="83" t="s">
        <v>580</v>
      </c>
      <c r="S80" s="83">
        <v>57728</v>
      </c>
      <c r="T80" s="82" t="str">
        <f>REPLACE(INDEX(GroupVertices[Group],MATCH(Edges[[#This Row],[Vertex 1]],GroupVertices[Vertex],0)),1,1,"")</f>
        <v>1</v>
      </c>
      <c r="U80" s="82" t="str">
        <f>REPLACE(INDEX(GroupVertices[Group],MATCH(Edges[[#This Row],[Vertex 2]],GroupVertices[Vertex],0)),1,1,"")</f>
        <v>1</v>
      </c>
      <c r="V80" s="49">
        <v>0</v>
      </c>
      <c r="W80" s="50">
        <v>0</v>
      </c>
      <c r="X80" s="49">
        <v>0</v>
      </c>
      <c r="Y80" s="50">
        <v>0</v>
      </c>
      <c r="Z80" s="49">
        <v>0</v>
      </c>
      <c r="AA80" s="50">
        <v>0</v>
      </c>
      <c r="AB80" s="49">
        <v>6</v>
      </c>
      <c r="AC80" s="50">
        <v>100</v>
      </c>
      <c r="AD80" s="49">
        <v>6</v>
      </c>
    </row>
    <row r="81" spans="1:30" ht="15">
      <c r="A81" s="68" t="s">
        <v>356</v>
      </c>
      <c r="B81" s="68" t="s">
        <v>328</v>
      </c>
      <c r="C81" s="69" t="s">
        <v>1691</v>
      </c>
      <c r="D81" s="70">
        <v>3</v>
      </c>
      <c r="E81" s="71"/>
      <c r="F81" s="72">
        <v>70</v>
      </c>
      <c r="G81" s="69"/>
      <c r="H81" s="73"/>
      <c r="I81" s="74"/>
      <c r="J81" s="74"/>
      <c r="K81" s="35" t="s">
        <v>66</v>
      </c>
      <c r="L81" s="81">
        <v>81</v>
      </c>
      <c r="M81" s="81"/>
      <c r="N81" s="76"/>
      <c r="O81" s="83" t="s">
        <v>520</v>
      </c>
      <c r="P81" s="83">
        <v>1</v>
      </c>
      <c r="Q81" s="83" t="s">
        <v>521</v>
      </c>
      <c r="R81" s="83" t="s">
        <v>564</v>
      </c>
      <c r="S81" s="83">
        <v>58265</v>
      </c>
      <c r="T81" s="82" t="str">
        <f>REPLACE(INDEX(GroupVertices[Group],MATCH(Edges[[#This Row],[Vertex 1]],GroupVertices[Vertex],0)),1,1,"")</f>
        <v>1</v>
      </c>
      <c r="U81" s="82" t="str">
        <f>REPLACE(INDEX(GroupVertices[Group],MATCH(Edges[[#This Row],[Vertex 2]],GroupVertices[Vertex],0)),1,1,"")</f>
        <v>1</v>
      </c>
      <c r="V81" s="49">
        <v>0</v>
      </c>
      <c r="W81" s="50">
        <v>0</v>
      </c>
      <c r="X81" s="49">
        <v>1</v>
      </c>
      <c r="Y81" s="50">
        <v>12.5</v>
      </c>
      <c r="Z81" s="49">
        <v>0</v>
      </c>
      <c r="AA81" s="50">
        <v>0</v>
      </c>
      <c r="AB81" s="49">
        <v>7</v>
      </c>
      <c r="AC81" s="50">
        <v>87.5</v>
      </c>
      <c r="AD81" s="49">
        <v>8</v>
      </c>
    </row>
    <row r="82" spans="1:30" ht="15">
      <c r="A82" s="68" t="s">
        <v>356</v>
      </c>
      <c r="B82" s="68" t="s">
        <v>356</v>
      </c>
      <c r="C82" s="69" t="s">
        <v>1691</v>
      </c>
      <c r="D82" s="70">
        <v>3</v>
      </c>
      <c r="E82" s="71"/>
      <c r="F82" s="72">
        <v>70</v>
      </c>
      <c r="G82" s="69"/>
      <c r="H82" s="73"/>
      <c r="I82" s="74"/>
      <c r="J82" s="74"/>
      <c r="K82" s="35" t="s">
        <v>65</v>
      </c>
      <c r="L82" s="81">
        <v>82</v>
      </c>
      <c r="M82" s="81"/>
      <c r="N82" s="76"/>
      <c r="O82" s="83" t="s">
        <v>520</v>
      </c>
      <c r="P82" s="83">
        <v>1</v>
      </c>
      <c r="Q82" s="83" t="s">
        <v>521</v>
      </c>
      <c r="R82" s="83" t="s">
        <v>564</v>
      </c>
      <c r="S82" s="83">
        <v>58259</v>
      </c>
      <c r="T82" s="82" t="str">
        <f>REPLACE(INDEX(GroupVertices[Group],MATCH(Edges[[#This Row],[Vertex 1]],GroupVertices[Vertex],0)),1,1,"")</f>
        <v>1</v>
      </c>
      <c r="U82" s="82" t="str">
        <f>REPLACE(INDEX(GroupVertices[Group],MATCH(Edges[[#This Row],[Vertex 2]],GroupVertices[Vertex],0)),1,1,"")</f>
        <v>1</v>
      </c>
      <c r="V82" s="49">
        <v>0</v>
      </c>
      <c r="W82" s="50">
        <v>0</v>
      </c>
      <c r="X82" s="49">
        <v>1</v>
      </c>
      <c r="Y82" s="50">
        <v>12.5</v>
      </c>
      <c r="Z82" s="49">
        <v>0</v>
      </c>
      <c r="AA82" s="50">
        <v>0</v>
      </c>
      <c r="AB82" s="49">
        <v>7</v>
      </c>
      <c r="AC82" s="50">
        <v>87.5</v>
      </c>
      <c r="AD82" s="49">
        <v>8</v>
      </c>
    </row>
    <row r="83" spans="1:30" ht="15">
      <c r="A83" s="68" t="s">
        <v>357</v>
      </c>
      <c r="B83" s="68" t="s">
        <v>356</v>
      </c>
      <c r="C83" s="69" t="s">
        <v>1691</v>
      </c>
      <c r="D83" s="70">
        <v>3</v>
      </c>
      <c r="E83" s="71"/>
      <c r="F83" s="72">
        <v>70</v>
      </c>
      <c r="G83" s="69"/>
      <c r="H83" s="73"/>
      <c r="I83" s="74"/>
      <c r="J83" s="74"/>
      <c r="K83" s="35" t="s">
        <v>65</v>
      </c>
      <c r="L83" s="81">
        <v>83</v>
      </c>
      <c r="M83" s="81"/>
      <c r="N83" s="76"/>
      <c r="O83" s="83" t="s">
        <v>520</v>
      </c>
      <c r="P83" s="83">
        <v>1</v>
      </c>
      <c r="Q83" s="83" t="s">
        <v>521</v>
      </c>
      <c r="R83" s="83" t="s">
        <v>581</v>
      </c>
      <c r="S83" s="83">
        <v>58499</v>
      </c>
      <c r="T83" s="82" t="str">
        <f>REPLACE(INDEX(GroupVertices[Group],MATCH(Edges[[#This Row],[Vertex 1]],GroupVertices[Vertex],0)),1,1,"")</f>
        <v>1</v>
      </c>
      <c r="U83" s="82" t="str">
        <f>REPLACE(INDEX(GroupVertices[Group],MATCH(Edges[[#This Row],[Vertex 2]],GroupVertices[Vertex],0)),1,1,"")</f>
        <v>1</v>
      </c>
      <c r="V83" s="49">
        <v>0</v>
      </c>
      <c r="W83" s="50">
        <v>0</v>
      </c>
      <c r="X83" s="49">
        <v>0</v>
      </c>
      <c r="Y83" s="50">
        <v>0</v>
      </c>
      <c r="Z83" s="49">
        <v>0</v>
      </c>
      <c r="AA83" s="50">
        <v>0</v>
      </c>
      <c r="AB83" s="49">
        <v>4</v>
      </c>
      <c r="AC83" s="50">
        <v>100</v>
      </c>
      <c r="AD83" s="49">
        <v>4</v>
      </c>
    </row>
    <row r="84" spans="1:30" ht="15">
      <c r="A84" s="68" t="s">
        <v>358</v>
      </c>
      <c r="B84" s="68" t="s">
        <v>357</v>
      </c>
      <c r="C84" s="69" t="s">
        <v>1691</v>
      </c>
      <c r="D84" s="70">
        <v>3</v>
      </c>
      <c r="E84" s="71"/>
      <c r="F84" s="72">
        <v>70</v>
      </c>
      <c r="G84" s="69"/>
      <c r="H84" s="73"/>
      <c r="I84" s="74"/>
      <c r="J84" s="74"/>
      <c r="K84" s="35" t="s">
        <v>65</v>
      </c>
      <c r="L84" s="81">
        <v>84</v>
      </c>
      <c r="M84" s="81"/>
      <c r="N84" s="76"/>
      <c r="O84" s="83" t="s">
        <v>520</v>
      </c>
      <c r="P84" s="83">
        <v>1</v>
      </c>
      <c r="Q84" s="83" t="s">
        <v>521</v>
      </c>
      <c r="R84" s="83" t="s">
        <v>579</v>
      </c>
      <c r="S84" s="83">
        <v>58946</v>
      </c>
      <c r="T84" s="82" t="str">
        <f>REPLACE(INDEX(GroupVertices[Group],MATCH(Edges[[#This Row],[Vertex 1]],GroupVertices[Vertex],0)),1,1,"")</f>
        <v>1</v>
      </c>
      <c r="U84" s="82" t="str">
        <f>REPLACE(INDEX(GroupVertices[Group],MATCH(Edges[[#This Row],[Vertex 2]],GroupVertices[Vertex],0)),1,1,"")</f>
        <v>1</v>
      </c>
      <c r="V84" s="49">
        <v>0</v>
      </c>
      <c r="W84" s="50">
        <v>0</v>
      </c>
      <c r="X84" s="49">
        <v>0</v>
      </c>
      <c r="Y84" s="50">
        <v>0</v>
      </c>
      <c r="Z84" s="49">
        <v>0</v>
      </c>
      <c r="AA84" s="50">
        <v>0</v>
      </c>
      <c r="AB84" s="49">
        <v>2</v>
      </c>
      <c r="AC84" s="50">
        <v>100</v>
      </c>
      <c r="AD84" s="49">
        <v>2</v>
      </c>
    </row>
    <row r="85" spans="1:30" ht="15">
      <c r="A85" s="68" t="s">
        <v>358</v>
      </c>
      <c r="B85" s="68" t="s">
        <v>358</v>
      </c>
      <c r="C85" s="69" t="s">
        <v>1691</v>
      </c>
      <c r="D85" s="70">
        <v>3</v>
      </c>
      <c r="E85" s="71"/>
      <c r="F85" s="72">
        <v>70</v>
      </c>
      <c r="G85" s="69"/>
      <c r="H85" s="73"/>
      <c r="I85" s="74"/>
      <c r="J85" s="74"/>
      <c r="K85" s="35" t="s">
        <v>65</v>
      </c>
      <c r="L85" s="81">
        <v>85</v>
      </c>
      <c r="M85" s="81"/>
      <c r="N85" s="76"/>
      <c r="O85" s="83" t="s">
        <v>520</v>
      </c>
      <c r="P85" s="83">
        <v>1</v>
      </c>
      <c r="Q85" s="83" t="s">
        <v>521</v>
      </c>
      <c r="R85" s="83" t="s">
        <v>579</v>
      </c>
      <c r="S85" s="83">
        <v>58947</v>
      </c>
      <c r="T85" s="82" t="str">
        <f>REPLACE(INDEX(GroupVertices[Group],MATCH(Edges[[#This Row],[Vertex 1]],GroupVertices[Vertex],0)),1,1,"")</f>
        <v>1</v>
      </c>
      <c r="U85" s="82" t="str">
        <f>REPLACE(INDEX(GroupVertices[Group],MATCH(Edges[[#This Row],[Vertex 2]],GroupVertices[Vertex],0)),1,1,"")</f>
        <v>1</v>
      </c>
      <c r="V85" s="49">
        <v>0</v>
      </c>
      <c r="W85" s="50">
        <v>0</v>
      </c>
      <c r="X85" s="49">
        <v>0</v>
      </c>
      <c r="Y85" s="50">
        <v>0</v>
      </c>
      <c r="Z85" s="49">
        <v>0</v>
      </c>
      <c r="AA85" s="50">
        <v>0</v>
      </c>
      <c r="AB85" s="49">
        <v>2</v>
      </c>
      <c r="AC85" s="50">
        <v>100</v>
      </c>
      <c r="AD85" s="49">
        <v>2</v>
      </c>
    </row>
    <row r="86" spans="1:30" ht="15">
      <c r="A86" s="68" t="s">
        <v>355</v>
      </c>
      <c r="B86" s="68" t="s">
        <v>358</v>
      </c>
      <c r="C86" s="69" t="s">
        <v>1691</v>
      </c>
      <c r="D86" s="70">
        <v>3</v>
      </c>
      <c r="E86" s="71"/>
      <c r="F86" s="72">
        <v>70</v>
      </c>
      <c r="G86" s="69"/>
      <c r="H86" s="73"/>
      <c r="I86" s="74"/>
      <c r="J86" s="74"/>
      <c r="K86" s="35" t="s">
        <v>65</v>
      </c>
      <c r="L86" s="81">
        <v>86</v>
      </c>
      <c r="M86" s="81"/>
      <c r="N86" s="76"/>
      <c r="O86" s="83" t="s">
        <v>520</v>
      </c>
      <c r="P86" s="83">
        <v>1</v>
      </c>
      <c r="Q86" s="83" t="s">
        <v>521</v>
      </c>
      <c r="R86" s="83" t="s">
        <v>582</v>
      </c>
      <c r="S86" s="83">
        <v>59845</v>
      </c>
      <c r="T86" s="82" t="str">
        <f>REPLACE(INDEX(GroupVertices[Group],MATCH(Edges[[#This Row],[Vertex 1]],GroupVertices[Vertex],0)),1,1,"")</f>
        <v>1</v>
      </c>
      <c r="U86" s="82" t="str">
        <f>REPLACE(INDEX(GroupVertices[Group],MATCH(Edges[[#This Row],[Vertex 2]],GroupVertices[Vertex],0)),1,1,"")</f>
        <v>1</v>
      </c>
      <c r="V86" s="49">
        <v>0</v>
      </c>
      <c r="W86" s="50">
        <v>0</v>
      </c>
      <c r="X86" s="49">
        <v>0</v>
      </c>
      <c r="Y86" s="50">
        <v>0</v>
      </c>
      <c r="Z86" s="49">
        <v>0</v>
      </c>
      <c r="AA86" s="50">
        <v>0</v>
      </c>
      <c r="AB86" s="49">
        <v>7</v>
      </c>
      <c r="AC86" s="50">
        <v>100</v>
      </c>
      <c r="AD86" s="49">
        <v>7</v>
      </c>
    </row>
    <row r="87" spans="1:30" ht="15">
      <c r="A87" s="68" t="s">
        <v>359</v>
      </c>
      <c r="B87" s="68" t="s">
        <v>355</v>
      </c>
      <c r="C87" s="69" t="s">
        <v>1691</v>
      </c>
      <c r="D87" s="70">
        <v>3</v>
      </c>
      <c r="E87" s="71"/>
      <c r="F87" s="72">
        <v>70</v>
      </c>
      <c r="G87" s="69"/>
      <c r="H87" s="73"/>
      <c r="I87" s="74"/>
      <c r="J87" s="74"/>
      <c r="K87" s="35" t="s">
        <v>65</v>
      </c>
      <c r="L87" s="81">
        <v>87</v>
      </c>
      <c r="M87" s="81"/>
      <c r="N87" s="76"/>
      <c r="O87" s="83" t="s">
        <v>520</v>
      </c>
      <c r="P87" s="83">
        <v>1</v>
      </c>
      <c r="Q87" s="83" t="s">
        <v>521</v>
      </c>
      <c r="R87" s="83" t="s">
        <v>583</v>
      </c>
      <c r="S87" s="83">
        <v>59880</v>
      </c>
      <c r="T87" s="82" t="str">
        <f>REPLACE(INDEX(GroupVertices[Group],MATCH(Edges[[#This Row],[Vertex 1]],GroupVertices[Vertex],0)),1,1,"")</f>
        <v>1</v>
      </c>
      <c r="U87" s="82" t="str">
        <f>REPLACE(INDEX(GroupVertices[Group],MATCH(Edges[[#This Row],[Vertex 2]],GroupVertices[Vertex],0)),1,1,"")</f>
        <v>1</v>
      </c>
      <c r="V87" s="49">
        <v>0</v>
      </c>
      <c r="W87" s="50">
        <v>0</v>
      </c>
      <c r="X87" s="49">
        <v>0</v>
      </c>
      <c r="Y87" s="50">
        <v>0</v>
      </c>
      <c r="Z87" s="49">
        <v>0</v>
      </c>
      <c r="AA87" s="50">
        <v>0</v>
      </c>
      <c r="AB87" s="49">
        <v>7</v>
      </c>
      <c r="AC87" s="50">
        <v>100</v>
      </c>
      <c r="AD87" s="49">
        <v>7</v>
      </c>
    </row>
    <row r="88" spans="1:30" ht="15">
      <c r="A88" s="68" t="s">
        <v>328</v>
      </c>
      <c r="B88" s="68" t="s">
        <v>359</v>
      </c>
      <c r="C88" s="69" t="s">
        <v>1691</v>
      </c>
      <c r="D88" s="70">
        <v>3</v>
      </c>
      <c r="E88" s="71"/>
      <c r="F88" s="72">
        <v>70</v>
      </c>
      <c r="G88" s="69"/>
      <c r="H88" s="73"/>
      <c r="I88" s="74"/>
      <c r="J88" s="74"/>
      <c r="K88" s="35" t="s">
        <v>65</v>
      </c>
      <c r="L88" s="81">
        <v>88</v>
      </c>
      <c r="M88" s="81"/>
      <c r="N88" s="76"/>
      <c r="O88" s="83" t="s">
        <v>520</v>
      </c>
      <c r="P88" s="83">
        <v>1</v>
      </c>
      <c r="Q88" s="83" t="s">
        <v>521</v>
      </c>
      <c r="R88" s="83" t="s">
        <v>584</v>
      </c>
      <c r="S88" s="83">
        <v>60201</v>
      </c>
      <c r="T88" s="82" t="str">
        <f>REPLACE(INDEX(GroupVertices[Group],MATCH(Edges[[#This Row],[Vertex 1]],GroupVertices[Vertex],0)),1,1,"")</f>
        <v>1</v>
      </c>
      <c r="U88" s="82" t="str">
        <f>REPLACE(INDEX(GroupVertices[Group],MATCH(Edges[[#This Row],[Vertex 2]],GroupVertices[Vertex],0)),1,1,"")</f>
        <v>1</v>
      </c>
      <c r="V88" s="49">
        <v>0</v>
      </c>
      <c r="W88" s="50">
        <v>0</v>
      </c>
      <c r="X88" s="49">
        <v>0</v>
      </c>
      <c r="Y88" s="50">
        <v>0</v>
      </c>
      <c r="Z88" s="49">
        <v>0</v>
      </c>
      <c r="AA88" s="50">
        <v>0</v>
      </c>
      <c r="AB88" s="49">
        <v>15</v>
      </c>
      <c r="AC88" s="50">
        <v>100</v>
      </c>
      <c r="AD88" s="49">
        <v>15</v>
      </c>
    </row>
    <row r="89" spans="1:30" ht="15">
      <c r="A89" s="68" t="s">
        <v>360</v>
      </c>
      <c r="B89" s="68" t="s">
        <v>355</v>
      </c>
      <c r="C89" s="69" t="s">
        <v>1691</v>
      </c>
      <c r="D89" s="70">
        <v>3</v>
      </c>
      <c r="E89" s="71"/>
      <c r="F89" s="72">
        <v>70</v>
      </c>
      <c r="G89" s="69"/>
      <c r="H89" s="73"/>
      <c r="I89" s="74"/>
      <c r="J89" s="74"/>
      <c r="K89" s="35" t="s">
        <v>66</v>
      </c>
      <c r="L89" s="81">
        <v>89</v>
      </c>
      <c r="M89" s="81"/>
      <c r="N89" s="76"/>
      <c r="O89" s="83" t="s">
        <v>520</v>
      </c>
      <c r="P89" s="83">
        <v>1</v>
      </c>
      <c r="Q89" s="83" t="s">
        <v>521</v>
      </c>
      <c r="R89" s="83" t="s">
        <v>585</v>
      </c>
      <c r="S89" s="83">
        <v>60934</v>
      </c>
      <c r="T89" s="82" t="str">
        <f>REPLACE(INDEX(GroupVertices[Group],MATCH(Edges[[#This Row],[Vertex 1]],GroupVertices[Vertex],0)),1,1,"")</f>
        <v>1</v>
      </c>
      <c r="U89" s="82" t="str">
        <f>REPLACE(INDEX(GroupVertices[Group],MATCH(Edges[[#This Row],[Vertex 2]],GroupVertices[Vertex],0)),1,1,"")</f>
        <v>1</v>
      </c>
      <c r="V89" s="49">
        <v>1</v>
      </c>
      <c r="W89" s="50">
        <v>14.285714285714286</v>
      </c>
      <c r="X89" s="49">
        <v>2</v>
      </c>
      <c r="Y89" s="50">
        <v>28.571428571428573</v>
      </c>
      <c r="Z89" s="49">
        <v>0</v>
      </c>
      <c r="AA89" s="50">
        <v>0</v>
      </c>
      <c r="AB89" s="49">
        <v>4</v>
      </c>
      <c r="AC89" s="50">
        <v>57.142857142857146</v>
      </c>
      <c r="AD89" s="49">
        <v>7</v>
      </c>
    </row>
    <row r="90" spans="1:30" ht="15">
      <c r="A90" s="68" t="s">
        <v>355</v>
      </c>
      <c r="B90" s="68" t="s">
        <v>360</v>
      </c>
      <c r="C90" s="69" t="s">
        <v>1691</v>
      </c>
      <c r="D90" s="70">
        <v>3</v>
      </c>
      <c r="E90" s="71"/>
      <c r="F90" s="72">
        <v>70</v>
      </c>
      <c r="G90" s="69"/>
      <c r="H90" s="73"/>
      <c r="I90" s="74"/>
      <c r="J90" s="74"/>
      <c r="K90" s="35" t="s">
        <v>66</v>
      </c>
      <c r="L90" s="81">
        <v>90</v>
      </c>
      <c r="M90" s="81"/>
      <c r="N90" s="76"/>
      <c r="O90" s="83" t="s">
        <v>520</v>
      </c>
      <c r="P90" s="83">
        <v>1</v>
      </c>
      <c r="Q90" s="83" t="s">
        <v>521</v>
      </c>
      <c r="R90" s="83" t="s">
        <v>579</v>
      </c>
      <c r="S90" s="83">
        <v>61063</v>
      </c>
      <c r="T90" s="82" t="str">
        <f>REPLACE(INDEX(GroupVertices[Group],MATCH(Edges[[#This Row],[Vertex 1]],GroupVertices[Vertex],0)),1,1,"")</f>
        <v>1</v>
      </c>
      <c r="U90" s="82" t="str">
        <f>REPLACE(INDEX(GroupVertices[Group],MATCH(Edges[[#This Row],[Vertex 2]],GroupVertices[Vertex],0)),1,1,"")</f>
        <v>1</v>
      </c>
      <c r="V90" s="49">
        <v>0</v>
      </c>
      <c r="W90" s="50">
        <v>0</v>
      </c>
      <c r="X90" s="49">
        <v>0</v>
      </c>
      <c r="Y90" s="50">
        <v>0</v>
      </c>
      <c r="Z90" s="49">
        <v>0</v>
      </c>
      <c r="AA90" s="50">
        <v>0</v>
      </c>
      <c r="AB90" s="49">
        <v>2</v>
      </c>
      <c r="AC90" s="50">
        <v>100</v>
      </c>
      <c r="AD90" s="49">
        <v>2</v>
      </c>
    </row>
    <row r="91" spans="1:30" ht="15">
      <c r="A91" s="68" t="s">
        <v>355</v>
      </c>
      <c r="B91" s="68" t="s">
        <v>361</v>
      </c>
      <c r="C91" s="69" t="s">
        <v>1691</v>
      </c>
      <c r="D91" s="70">
        <v>3</v>
      </c>
      <c r="E91" s="71"/>
      <c r="F91" s="72">
        <v>70</v>
      </c>
      <c r="G91" s="69"/>
      <c r="H91" s="73"/>
      <c r="I91" s="74"/>
      <c r="J91" s="74"/>
      <c r="K91" s="35" t="s">
        <v>66</v>
      </c>
      <c r="L91" s="81">
        <v>91</v>
      </c>
      <c r="M91" s="81"/>
      <c r="N91" s="76"/>
      <c r="O91" s="83" t="s">
        <v>520</v>
      </c>
      <c r="P91" s="83">
        <v>1</v>
      </c>
      <c r="Q91" s="83" t="s">
        <v>521</v>
      </c>
      <c r="R91" s="83" t="s">
        <v>586</v>
      </c>
      <c r="S91" s="83">
        <v>56134</v>
      </c>
      <c r="T91" s="82" t="str">
        <f>REPLACE(INDEX(GroupVertices[Group],MATCH(Edges[[#This Row],[Vertex 1]],GroupVertices[Vertex],0)),1,1,"")</f>
        <v>1</v>
      </c>
      <c r="U91" s="82" t="str">
        <f>REPLACE(INDEX(GroupVertices[Group],MATCH(Edges[[#This Row],[Vertex 2]],GroupVertices[Vertex],0)),1,1,"")</f>
        <v>4</v>
      </c>
      <c r="V91" s="49">
        <v>0</v>
      </c>
      <c r="W91" s="50">
        <v>0</v>
      </c>
      <c r="X91" s="49">
        <v>0</v>
      </c>
      <c r="Y91" s="50">
        <v>0</v>
      </c>
      <c r="Z91" s="49">
        <v>0</v>
      </c>
      <c r="AA91" s="50">
        <v>0</v>
      </c>
      <c r="AB91" s="49">
        <v>9</v>
      </c>
      <c r="AC91" s="50">
        <v>100</v>
      </c>
      <c r="AD91" s="49">
        <v>9</v>
      </c>
    </row>
    <row r="92" spans="1:30" ht="15">
      <c r="A92" s="68" t="s">
        <v>355</v>
      </c>
      <c r="B92" s="68" t="s">
        <v>328</v>
      </c>
      <c r="C92" s="69" t="s">
        <v>1691</v>
      </c>
      <c r="D92" s="70">
        <v>3</v>
      </c>
      <c r="E92" s="71"/>
      <c r="F92" s="72">
        <v>70</v>
      </c>
      <c r="G92" s="69"/>
      <c r="H92" s="73"/>
      <c r="I92" s="74"/>
      <c r="J92" s="74"/>
      <c r="K92" s="35" t="s">
        <v>65</v>
      </c>
      <c r="L92" s="81">
        <v>92</v>
      </c>
      <c r="M92" s="81"/>
      <c r="N92" s="76"/>
      <c r="O92" s="83" t="s">
        <v>520</v>
      </c>
      <c r="P92" s="83">
        <v>1</v>
      </c>
      <c r="Q92" s="83" t="s">
        <v>521</v>
      </c>
      <c r="R92" s="83" t="s">
        <v>587</v>
      </c>
      <c r="S92" s="83">
        <v>60572</v>
      </c>
      <c r="T92" s="82" t="str">
        <f>REPLACE(INDEX(GroupVertices[Group],MATCH(Edges[[#This Row],[Vertex 1]],GroupVertices[Vertex],0)),1,1,"")</f>
        <v>1</v>
      </c>
      <c r="U92" s="82" t="str">
        <f>REPLACE(INDEX(GroupVertices[Group],MATCH(Edges[[#This Row],[Vertex 2]],GroupVertices[Vertex],0)),1,1,"")</f>
        <v>1</v>
      </c>
      <c r="V92" s="49">
        <v>0</v>
      </c>
      <c r="W92" s="50">
        <v>0</v>
      </c>
      <c r="X92" s="49">
        <v>0</v>
      </c>
      <c r="Y92" s="50">
        <v>0</v>
      </c>
      <c r="Z92" s="49">
        <v>0</v>
      </c>
      <c r="AA92" s="50">
        <v>0</v>
      </c>
      <c r="AB92" s="49">
        <v>5</v>
      </c>
      <c r="AC92" s="50">
        <v>100</v>
      </c>
      <c r="AD92" s="49">
        <v>5</v>
      </c>
    </row>
    <row r="93" spans="1:30" ht="15">
      <c r="A93" s="68" t="s">
        <v>355</v>
      </c>
      <c r="B93" s="68" t="s">
        <v>355</v>
      </c>
      <c r="C93" s="69" t="s">
        <v>1692</v>
      </c>
      <c r="D93" s="70">
        <v>10</v>
      </c>
      <c r="E93" s="71"/>
      <c r="F93" s="72">
        <v>40</v>
      </c>
      <c r="G93" s="69"/>
      <c r="H93" s="73"/>
      <c r="I93" s="74"/>
      <c r="J93" s="74"/>
      <c r="K93" s="35" t="s">
        <v>65</v>
      </c>
      <c r="L93" s="81">
        <v>93</v>
      </c>
      <c r="M93" s="81"/>
      <c r="N93" s="76"/>
      <c r="O93" s="83" t="s">
        <v>520</v>
      </c>
      <c r="P93" s="83">
        <v>2</v>
      </c>
      <c r="Q93" s="83" t="s">
        <v>521</v>
      </c>
      <c r="R93" s="83" t="s">
        <v>564</v>
      </c>
      <c r="S93" s="83">
        <v>61225</v>
      </c>
      <c r="T93" s="82" t="str">
        <f>REPLACE(INDEX(GroupVertices[Group],MATCH(Edges[[#This Row],[Vertex 1]],GroupVertices[Vertex],0)),1,1,"")</f>
        <v>1</v>
      </c>
      <c r="U93" s="82" t="str">
        <f>REPLACE(INDEX(GroupVertices[Group],MATCH(Edges[[#This Row],[Vertex 2]],GroupVertices[Vertex],0)),1,1,"")</f>
        <v>1</v>
      </c>
      <c r="V93" s="49">
        <v>0</v>
      </c>
      <c r="W93" s="50">
        <v>0</v>
      </c>
      <c r="X93" s="49">
        <v>1</v>
      </c>
      <c r="Y93" s="50">
        <v>12.5</v>
      </c>
      <c r="Z93" s="49">
        <v>0</v>
      </c>
      <c r="AA93" s="50">
        <v>0</v>
      </c>
      <c r="AB93" s="49">
        <v>7</v>
      </c>
      <c r="AC93" s="50">
        <v>87.5</v>
      </c>
      <c r="AD93" s="49">
        <v>8</v>
      </c>
    </row>
    <row r="94" spans="1:30" ht="15">
      <c r="A94" s="68" t="s">
        <v>361</v>
      </c>
      <c r="B94" s="68" t="s">
        <v>355</v>
      </c>
      <c r="C94" s="69" t="s">
        <v>1692</v>
      </c>
      <c r="D94" s="70">
        <v>10</v>
      </c>
      <c r="E94" s="71"/>
      <c r="F94" s="72">
        <v>40</v>
      </c>
      <c r="G94" s="69"/>
      <c r="H94" s="73"/>
      <c r="I94" s="74"/>
      <c r="J94" s="74"/>
      <c r="K94" s="35" t="s">
        <v>66</v>
      </c>
      <c r="L94" s="81">
        <v>94</v>
      </c>
      <c r="M94" s="81"/>
      <c r="N94" s="76"/>
      <c r="O94" s="83" t="s">
        <v>520</v>
      </c>
      <c r="P94" s="83">
        <v>2</v>
      </c>
      <c r="Q94" s="83" t="s">
        <v>521</v>
      </c>
      <c r="R94" s="83" t="s">
        <v>586</v>
      </c>
      <c r="S94" s="83">
        <v>62010</v>
      </c>
      <c r="T94" s="82" t="str">
        <f>REPLACE(INDEX(GroupVertices[Group],MATCH(Edges[[#This Row],[Vertex 1]],GroupVertices[Vertex],0)),1,1,"")</f>
        <v>4</v>
      </c>
      <c r="U94" s="82" t="str">
        <f>REPLACE(INDEX(GroupVertices[Group],MATCH(Edges[[#This Row],[Vertex 2]],GroupVertices[Vertex],0)),1,1,"")</f>
        <v>1</v>
      </c>
      <c r="V94" s="49">
        <v>0</v>
      </c>
      <c r="W94" s="50">
        <v>0</v>
      </c>
      <c r="X94" s="49">
        <v>0</v>
      </c>
      <c r="Y94" s="50">
        <v>0</v>
      </c>
      <c r="Z94" s="49">
        <v>0</v>
      </c>
      <c r="AA94" s="50">
        <v>0</v>
      </c>
      <c r="AB94" s="49">
        <v>9</v>
      </c>
      <c r="AC94" s="50">
        <v>100</v>
      </c>
      <c r="AD94" s="49">
        <v>9</v>
      </c>
    </row>
    <row r="95" spans="1:30" ht="15">
      <c r="A95" s="68" t="s">
        <v>362</v>
      </c>
      <c r="B95" s="68" t="s">
        <v>363</v>
      </c>
      <c r="C95" s="69" t="s">
        <v>1691</v>
      </c>
      <c r="D95" s="70">
        <v>3</v>
      </c>
      <c r="E95" s="71"/>
      <c r="F95" s="72">
        <v>70</v>
      </c>
      <c r="G95" s="69"/>
      <c r="H95" s="73"/>
      <c r="I95" s="74"/>
      <c r="J95" s="74"/>
      <c r="K95" s="35" t="s">
        <v>65</v>
      </c>
      <c r="L95" s="81">
        <v>95</v>
      </c>
      <c r="M95" s="81"/>
      <c r="N95" s="76"/>
      <c r="O95" s="83" t="s">
        <v>520</v>
      </c>
      <c r="P95" s="83">
        <v>1</v>
      </c>
      <c r="Q95" s="83" t="s">
        <v>521</v>
      </c>
      <c r="R95" s="83" t="s">
        <v>588</v>
      </c>
      <c r="S95" s="83">
        <v>62578</v>
      </c>
      <c r="T95" s="82" t="str">
        <f>REPLACE(INDEX(GroupVertices[Group],MATCH(Edges[[#This Row],[Vertex 1]],GroupVertices[Vertex],0)),1,1,"")</f>
        <v>1</v>
      </c>
      <c r="U95" s="82" t="str">
        <f>REPLACE(INDEX(GroupVertices[Group],MATCH(Edges[[#This Row],[Vertex 2]],GroupVertices[Vertex],0)),1,1,"")</f>
        <v>1</v>
      </c>
      <c r="V95" s="49">
        <v>1</v>
      </c>
      <c r="W95" s="50">
        <v>8.333333333333334</v>
      </c>
      <c r="X95" s="49">
        <v>0</v>
      </c>
      <c r="Y95" s="50">
        <v>0</v>
      </c>
      <c r="Z95" s="49">
        <v>0</v>
      </c>
      <c r="AA95" s="50">
        <v>0</v>
      </c>
      <c r="AB95" s="49">
        <v>11</v>
      </c>
      <c r="AC95" s="50">
        <v>91.66666666666667</v>
      </c>
      <c r="AD95" s="49">
        <v>12</v>
      </c>
    </row>
    <row r="96" spans="1:30" ht="15">
      <c r="A96" s="68" t="s">
        <v>362</v>
      </c>
      <c r="B96" s="68" t="s">
        <v>362</v>
      </c>
      <c r="C96" s="69" t="s">
        <v>1692</v>
      </c>
      <c r="D96" s="70">
        <v>10</v>
      </c>
      <c r="E96" s="71"/>
      <c r="F96" s="72">
        <v>40</v>
      </c>
      <c r="G96" s="69"/>
      <c r="H96" s="73"/>
      <c r="I96" s="74"/>
      <c r="J96" s="74"/>
      <c r="K96" s="35" t="s">
        <v>65</v>
      </c>
      <c r="L96" s="81">
        <v>96</v>
      </c>
      <c r="M96" s="81"/>
      <c r="N96" s="76"/>
      <c r="O96" s="83" t="s">
        <v>520</v>
      </c>
      <c r="P96" s="83">
        <v>2</v>
      </c>
      <c r="Q96" s="83" t="s">
        <v>521</v>
      </c>
      <c r="R96" s="83" t="s">
        <v>588</v>
      </c>
      <c r="S96" s="83">
        <v>62578</v>
      </c>
      <c r="T96" s="82" t="str">
        <f>REPLACE(INDEX(GroupVertices[Group],MATCH(Edges[[#This Row],[Vertex 1]],GroupVertices[Vertex],0)),1,1,"")</f>
        <v>1</v>
      </c>
      <c r="U96" s="82" t="str">
        <f>REPLACE(INDEX(GroupVertices[Group],MATCH(Edges[[#This Row],[Vertex 2]],GroupVertices[Vertex],0)),1,1,"")</f>
        <v>1</v>
      </c>
      <c r="V96" s="49">
        <v>1</v>
      </c>
      <c r="W96" s="50">
        <v>8.333333333333334</v>
      </c>
      <c r="X96" s="49">
        <v>0</v>
      </c>
      <c r="Y96" s="50">
        <v>0</v>
      </c>
      <c r="Z96" s="49">
        <v>0</v>
      </c>
      <c r="AA96" s="50">
        <v>0</v>
      </c>
      <c r="AB96" s="49">
        <v>11</v>
      </c>
      <c r="AC96" s="50">
        <v>91.66666666666667</v>
      </c>
      <c r="AD96" s="49">
        <v>12</v>
      </c>
    </row>
    <row r="97" spans="1:30" ht="15">
      <c r="A97" s="68" t="s">
        <v>328</v>
      </c>
      <c r="B97" s="68" t="s">
        <v>362</v>
      </c>
      <c r="C97" s="69" t="s">
        <v>1691</v>
      </c>
      <c r="D97" s="70">
        <v>3</v>
      </c>
      <c r="E97" s="71"/>
      <c r="F97" s="72">
        <v>70</v>
      </c>
      <c r="G97" s="69"/>
      <c r="H97" s="73"/>
      <c r="I97" s="74"/>
      <c r="J97" s="74"/>
      <c r="K97" s="35" t="s">
        <v>65</v>
      </c>
      <c r="L97" s="81">
        <v>97</v>
      </c>
      <c r="M97" s="81"/>
      <c r="N97" s="76"/>
      <c r="O97" s="83" t="s">
        <v>520</v>
      </c>
      <c r="P97" s="83">
        <v>1</v>
      </c>
      <c r="Q97" s="83" t="s">
        <v>521</v>
      </c>
      <c r="R97" s="83" t="s">
        <v>589</v>
      </c>
      <c r="S97" s="83">
        <v>62878</v>
      </c>
      <c r="T97" s="82" t="str">
        <f>REPLACE(INDEX(GroupVertices[Group],MATCH(Edges[[#This Row],[Vertex 1]],GroupVertices[Vertex],0)),1,1,"")</f>
        <v>1</v>
      </c>
      <c r="U97" s="82" t="str">
        <f>REPLACE(INDEX(GroupVertices[Group],MATCH(Edges[[#This Row],[Vertex 2]],GroupVertices[Vertex],0)),1,1,"")</f>
        <v>1</v>
      </c>
      <c r="V97" s="49">
        <v>1</v>
      </c>
      <c r="W97" s="50">
        <v>5.555555555555555</v>
      </c>
      <c r="X97" s="49">
        <v>0</v>
      </c>
      <c r="Y97" s="50">
        <v>0</v>
      </c>
      <c r="Z97" s="49">
        <v>0</v>
      </c>
      <c r="AA97" s="50">
        <v>0</v>
      </c>
      <c r="AB97" s="49">
        <v>17</v>
      </c>
      <c r="AC97" s="50">
        <v>94.44444444444444</v>
      </c>
      <c r="AD97" s="49">
        <v>18</v>
      </c>
    </row>
    <row r="98" spans="1:30" ht="15">
      <c r="A98" s="68" t="s">
        <v>363</v>
      </c>
      <c r="B98" s="68" t="s">
        <v>361</v>
      </c>
      <c r="C98" s="69" t="s">
        <v>1691</v>
      </c>
      <c r="D98" s="70">
        <v>3</v>
      </c>
      <c r="E98" s="71"/>
      <c r="F98" s="72">
        <v>70</v>
      </c>
      <c r="G98" s="69"/>
      <c r="H98" s="73"/>
      <c r="I98" s="74"/>
      <c r="J98" s="74"/>
      <c r="K98" s="35" t="s">
        <v>65</v>
      </c>
      <c r="L98" s="81">
        <v>98</v>
      </c>
      <c r="M98" s="81"/>
      <c r="N98" s="76"/>
      <c r="O98" s="83" t="s">
        <v>520</v>
      </c>
      <c r="P98" s="83">
        <v>1</v>
      </c>
      <c r="Q98" s="83" t="s">
        <v>521</v>
      </c>
      <c r="R98" s="83"/>
      <c r="S98" s="83">
        <v>62225</v>
      </c>
      <c r="T98" s="82" t="str">
        <f>REPLACE(INDEX(GroupVertices[Group],MATCH(Edges[[#This Row],[Vertex 1]],GroupVertices[Vertex],0)),1,1,"")</f>
        <v>1</v>
      </c>
      <c r="U98" s="82" t="str">
        <f>REPLACE(INDEX(GroupVertices[Group],MATCH(Edges[[#This Row],[Vertex 2]],GroupVertices[Vertex],0)),1,1,"")</f>
        <v>4</v>
      </c>
      <c r="V98" s="49"/>
      <c r="W98" s="50"/>
      <c r="X98" s="49"/>
      <c r="Y98" s="50"/>
      <c r="Z98" s="49"/>
      <c r="AA98" s="50"/>
      <c r="AB98" s="49"/>
      <c r="AC98" s="50"/>
      <c r="AD98" s="49"/>
    </row>
    <row r="99" spans="1:30" ht="15">
      <c r="A99" s="68" t="s">
        <v>363</v>
      </c>
      <c r="B99" s="68" t="s">
        <v>363</v>
      </c>
      <c r="C99" s="69" t="s">
        <v>1691</v>
      </c>
      <c r="D99" s="70">
        <v>3</v>
      </c>
      <c r="E99" s="71"/>
      <c r="F99" s="72">
        <v>70</v>
      </c>
      <c r="G99" s="69"/>
      <c r="H99" s="73"/>
      <c r="I99" s="74"/>
      <c r="J99" s="74"/>
      <c r="K99" s="35" t="s">
        <v>65</v>
      </c>
      <c r="L99" s="81">
        <v>99</v>
      </c>
      <c r="M99" s="81"/>
      <c r="N99" s="76"/>
      <c r="O99" s="83" t="s">
        <v>520</v>
      </c>
      <c r="P99" s="83">
        <v>1</v>
      </c>
      <c r="Q99" s="83" t="s">
        <v>521</v>
      </c>
      <c r="R99" s="83"/>
      <c r="S99" s="83">
        <v>62441</v>
      </c>
      <c r="T99" s="82" t="str">
        <f>REPLACE(INDEX(GroupVertices[Group],MATCH(Edges[[#This Row],[Vertex 1]],GroupVertices[Vertex],0)),1,1,"")</f>
        <v>1</v>
      </c>
      <c r="U99" s="82" t="str">
        <f>REPLACE(INDEX(GroupVertices[Group],MATCH(Edges[[#This Row],[Vertex 2]],GroupVertices[Vertex],0)),1,1,"")</f>
        <v>1</v>
      </c>
      <c r="V99" s="49"/>
      <c r="W99" s="50"/>
      <c r="X99" s="49"/>
      <c r="Y99" s="50"/>
      <c r="Z99" s="49"/>
      <c r="AA99" s="50"/>
      <c r="AB99" s="49"/>
      <c r="AC99" s="50"/>
      <c r="AD99" s="49"/>
    </row>
    <row r="100" spans="1:30" ht="15">
      <c r="A100" s="68" t="s">
        <v>363</v>
      </c>
      <c r="B100" s="68" t="s">
        <v>328</v>
      </c>
      <c r="C100" s="69" t="s">
        <v>1691</v>
      </c>
      <c r="D100" s="70">
        <v>3</v>
      </c>
      <c r="E100" s="71"/>
      <c r="F100" s="72">
        <v>70</v>
      </c>
      <c r="G100" s="69"/>
      <c r="H100" s="73"/>
      <c r="I100" s="74"/>
      <c r="J100" s="74"/>
      <c r="K100" s="35" t="s">
        <v>65</v>
      </c>
      <c r="L100" s="81">
        <v>100</v>
      </c>
      <c r="M100" s="81"/>
      <c r="N100" s="76"/>
      <c r="O100" s="83" t="s">
        <v>520</v>
      </c>
      <c r="P100" s="83">
        <v>1</v>
      </c>
      <c r="Q100" s="83" t="s">
        <v>521</v>
      </c>
      <c r="R100" s="83"/>
      <c r="S100" s="83">
        <v>63361</v>
      </c>
      <c r="T100" s="82" t="str">
        <f>REPLACE(INDEX(GroupVertices[Group],MATCH(Edges[[#This Row],[Vertex 1]],GroupVertices[Vertex],0)),1,1,"")</f>
        <v>1</v>
      </c>
      <c r="U100" s="82" t="str">
        <f>REPLACE(INDEX(GroupVertices[Group],MATCH(Edges[[#This Row],[Vertex 2]],GroupVertices[Vertex],0)),1,1,"")</f>
        <v>1</v>
      </c>
      <c r="V100" s="49"/>
      <c r="W100" s="50"/>
      <c r="X100" s="49"/>
      <c r="Y100" s="50"/>
      <c r="Z100" s="49"/>
      <c r="AA100" s="50"/>
      <c r="AB100" s="49"/>
      <c r="AC100" s="50"/>
      <c r="AD100" s="49"/>
    </row>
    <row r="101" spans="1:30" ht="15">
      <c r="A101" s="68" t="s">
        <v>364</v>
      </c>
      <c r="B101" s="68" t="s">
        <v>363</v>
      </c>
      <c r="C101" s="69" t="s">
        <v>1691</v>
      </c>
      <c r="D101" s="70">
        <v>3</v>
      </c>
      <c r="E101" s="71"/>
      <c r="F101" s="72">
        <v>70</v>
      </c>
      <c r="G101" s="69"/>
      <c r="H101" s="73"/>
      <c r="I101" s="74"/>
      <c r="J101" s="74"/>
      <c r="K101" s="35" t="s">
        <v>65</v>
      </c>
      <c r="L101" s="81">
        <v>101</v>
      </c>
      <c r="M101" s="81"/>
      <c r="N101" s="76"/>
      <c r="O101" s="83" t="s">
        <v>520</v>
      </c>
      <c r="P101" s="83">
        <v>1</v>
      </c>
      <c r="Q101" s="83" t="s">
        <v>521</v>
      </c>
      <c r="R101" s="83"/>
      <c r="S101" s="83">
        <v>63460</v>
      </c>
      <c r="T101" s="82" t="str">
        <f>REPLACE(INDEX(GroupVertices[Group],MATCH(Edges[[#This Row],[Vertex 1]],GroupVertices[Vertex],0)),1,1,"")</f>
        <v>9</v>
      </c>
      <c r="U101" s="82" t="str">
        <f>REPLACE(INDEX(GroupVertices[Group],MATCH(Edges[[#This Row],[Vertex 2]],GroupVertices[Vertex],0)),1,1,"")</f>
        <v>1</v>
      </c>
      <c r="V101" s="49"/>
      <c r="W101" s="50"/>
      <c r="X101" s="49"/>
      <c r="Y101" s="50"/>
      <c r="Z101" s="49"/>
      <c r="AA101" s="50"/>
      <c r="AB101" s="49"/>
      <c r="AC101" s="50"/>
      <c r="AD101" s="49"/>
    </row>
    <row r="102" spans="1:30" ht="15">
      <c r="A102" s="68" t="s">
        <v>365</v>
      </c>
      <c r="B102" s="68" t="s">
        <v>364</v>
      </c>
      <c r="C102" s="69" t="s">
        <v>1691</v>
      </c>
      <c r="D102" s="70">
        <v>3</v>
      </c>
      <c r="E102" s="71"/>
      <c r="F102" s="72">
        <v>70</v>
      </c>
      <c r="G102" s="69"/>
      <c r="H102" s="73"/>
      <c r="I102" s="74"/>
      <c r="J102" s="74"/>
      <c r="K102" s="35" t="s">
        <v>65</v>
      </c>
      <c r="L102" s="81">
        <v>102</v>
      </c>
      <c r="M102" s="81"/>
      <c r="N102" s="76"/>
      <c r="O102" s="83" t="s">
        <v>520</v>
      </c>
      <c r="P102" s="83">
        <v>1</v>
      </c>
      <c r="Q102" s="83" t="s">
        <v>521</v>
      </c>
      <c r="R102" s="83"/>
      <c r="S102" s="83">
        <v>63604</v>
      </c>
      <c r="T102" s="82" t="str">
        <f>REPLACE(INDEX(GroupVertices[Group],MATCH(Edges[[#This Row],[Vertex 1]],GroupVertices[Vertex],0)),1,1,"")</f>
        <v>9</v>
      </c>
      <c r="U102" s="82" t="str">
        <f>REPLACE(INDEX(GroupVertices[Group],MATCH(Edges[[#This Row],[Vertex 2]],GroupVertices[Vertex],0)),1,1,"")</f>
        <v>9</v>
      </c>
      <c r="V102" s="49"/>
      <c r="W102" s="50"/>
      <c r="X102" s="49"/>
      <c r="Y102" s="50"/>
      <c r="Z102" s="49"/>
      <c r="AA102" s="50"/>
      <c r="AB102" s="49"/>
      <c r="AC102" s="50"/>
      <c r="AD102" s="49"/>
    </row>
    <row r="103" spans="1:30" ht="15">
      <c r="A103" s="68" t="s">
        <v>366</v>
      </c>
      <c r="B103" s="68" t="s">
        <v>365</v>
      </c>
      <c r="C103" s="69" t="s">
        <v>1691</v>
      </c>
      <c r="D103" s="70">
        <v>3</v>
      </c>
      <c r="E103" s="71"/>
      <c r="F103" s="72">
        <v>70</v>
      </c>
      <c r="G103" s="69"/>
      <c r="H103" s="73"/>
      <c r="I103" s="74"/>
      <c r="J103" s="74"/>
      <c r="K103" s="35" t="s">
        <v>65</v>
      </c>
      <c r="L103" s="81">
        <v>103</v>
      </c>
      <c r="M103" s="81"/>
      <c r="N103" s="76"/>
      <c r="O103" s="83" t="s">
        <v>520</v>
      </c>
      <c r="P103" s="83">
        <v>1</v>
      </c>
      <c r="Q103" s="83" t="s">
        <v>521</v>
      </c>
      <c r="R103" s="83" t="s">
        <v>590</v>
      </c>
      <c r="S103" s="83">
        <v>63934</v>
      </c>
      <c r="T103" s="82" t="str">
        <f>REPLACE(INDEX(GroupVertices[Group],MATCH(Edges[[#This Row],[Vertex 1]],GroupVertices[Vertex],0)),1,1,"")</f>
        <v>9</v>
      </c>
      <c r="U103" s="82" t="str">
        <f>REPLACE(INDEX(GroupVertices[Group],MATCH(Edges[[#This Row],[Vertex 2]],GroupVertices[Vertex],0)),1,1,"")</f>
        <v>9</v>
      </c>
      <c r="V103" s="49">
        <v>0</v>
      </c>
      <c r="W103" s="50">
        <v>0</v>
      </c>
      <c r="X103" s="49">
        <v>1</v>
      </c>
      <c r="Y103" s="50">
        <v>33.333333333333336</v>
      </c>
      <c r="Z103" s="49">
        <v>0</v>
      </c>
      <c r="AA103" s="50">
        <v>0</v>
      </c>
      <c r="AB103" s="49">
        <v>2</v>
      </c>
      <c r="AC103" s="50">
        <v>66.66666666666667</v>
      </c>
      <c r="AD103" s="49">
        <v>3</v>
      </c>
    </row>
    <row r="104" spans="1:30" ht="15">
      <c r="A104" s="68" t="s">
        <v>367</v>
      </c>
      <c r="B104" s="68" t="s">
        <v>366</v>
      </c>
      <c r="C104" s="69" t="s">
        <v>1691</v>
      </c>
      <c r="D104" s="70">
        <v>3</v>
      </c>
      <c r="E104" s="71"/>
      <c r="F104" s="72">
        <v>70</v>
      </c>
      <c r="G104" s="69"/>
      <c r="H104" s="73"/>
      <c r="I104" s="74"/>
      <c r="J104" s="74"/>
      <c r="K104" s="35" t="s">
        <v>65</v>
      </c>
      <c r="L104" s="81">
        <v>104</v>
      </c>
      <c r="M104" s="81"/>
      <c r="N104" s="76"/>
      <c r="O104" s="83" t="s">
        <v>520</v>
      </c>
      <c r="P104" s="83">
        <v>1</v>
      </c>
      <c r="Q104" s="83" t="s">
        <v>521</v>
      </c>
      <c r="R104" s="83" t="s">
        <v>591</v>
      </c>
      <c r="S104" s="83">
        <v>64189</v>
      </c>
      <c r="T104" s="82" t="str">
        <f>REPLACE(INDEX(GroupVertices[Group],MATCH(Edges[[#This Row],[Vertex 1]],GroupVertices[Vertex],0)),1,1,"")</f>
        <v>9</v>
      </c>
      <c r="U104" s="82" t="str">
        <f>REPLACE(INDEX(GroupVertices[Group],MATCH(Edges[[#This Row],[Vertex 2]],GroupVertices[Vertex],0)),1,1,"")</f>
        <v>9</v>
      </c>
      <c r="V104" s="49">
        <v>0</v>
      </c>
      <c r="W104" s="50">
        <v>0</v>
      </c>
      <c r="X104" s="49">
        <v>1</v>
      </c>
      <c r="Y104" s="50">
        <v>20</v>
      </c>
      <c r="Z104" s="49">
        <v>0</v>
      </c>
      <c r="AA104" s="50">
        <v>0</v>
      </c>
      <c r="AB104" s="49">
        <v>4</v>
      </c>
      <c r="AC104" s="50">
        <v>80</v>
      </c>
      <c r="AD104" s="49">
        <v>5</v>
      </c>
    </row>
    <row r="105" spans="1:30" ht="15">
      <c r="A105" s="68" t="s">
        <v>368</v>
      </c>
      <c r="B105" s="68" t="s">
        <v>367</v>
      </c>
      <c r="C105" s="69" t="s">
        <v>1691</v>
      </c>
      <c r="D105" s="70">
        <v>3</v>
      </c>
      <c r="E105" s="71"/>
      <c r="F105" s="72">
        <v>70</v>
      </c>
      <c r="G105" s="69"/>
      <c r="H105" s="73"/>
      <c r="I105" s="74"/>
      <c r="J105" s="74"/>
      <c r="K105" s="35" t="s">
        <v>65</v>
      </c>
      <c r="L105" s="81">
        <v>105</v>
      </c>
      <c r="M105" s="81"/>
      <c r="N105" s="76"/>
      <c r="O105" s="83" t="s">
        <v>520</v>
      </c>
      <c r="P105" s="83">
        <v>1</v>
      </c>
      <c r="Q105" s="83" t="s">
        <v>521</v>
      </c>
      <c r="R105" s="83" t="s">
        <v>523</v>
      </c>
      <c r="S105" s="83">
        <v>64201</v>
      </c>
      <c r="T105" s="82" t="str">
        <f>REPLACE(INDEX(GroupVertices[Group],MATCH(Edges[[#This Row],[Vertex 1]],GroupVertices[Vertex],0)),1,1,"")</f>
        <v>9</v>
      </c>
      <c r="U105" s="82" t="str">
        <f>REPLACE(INDEX(GroupVertices[Group],MATCH(Edges[[#This Row],[Vertex 2]],GroupVertices[Vertex],0)),1,1,"")</f>
        <v>9</v>
      </c>
      <c r="V105" s="49">
        <v>0</v>
      </c>
      <c r="W105" s="50">
        <v>0</v>
      </c>
      <c r="X105" s="49">
        <v>0</v>
      </c>
      <c r="Y105" s="50">
        <v>0</v>
      </c>
      <c r="Z105" s="49">
        <v>0</v>
      </c>
      <c r="AA105" s="50">
        <v>0</v>
      </c>
      <c r="AB105" s="49">
        <v>10</v>
      </c>
      <c r="AC105" s="50">
        <v>100</v>
      </c>
      <c r="AD105" s="49">
        <v>10</v>
      </c>
    </row>
    <row r="106" spans="1:30" ht="15">
      <c r="A106" s="68" t="s">
        <v>369</v>
      </c>
      <c r="B106" s="68" t="s">
        <v>368</v>
      </c>
      <c r="C106" s="69" t="s">
        <v>1691</v>
      </c>
      <c r="D106" s="70">
        <v>3</v>
      </c>
      <c r="E106" s="71"/>
      <c r="F106" s="72">
        <v>70</v>
      </c>
      <c r="G106" s="69"/>
      <c r="H106" s="73"/>
      <c r="I106" s="74"/>
      <c r="J106" s="74"/>
      <c r="K106" s="35" t="s">
        <v>65</v>
      </c>
      <c r="L106" s="81">
        <v>106</v>
      </c>
      <c r="M106" s="81"/>
      <c r="N106" s="76"/>
      <c r="O106" s="83" t="s">
        <v>520</v>
      </c>
      <c r="P106" s="83">
        <v>1</v>
      </c>
      <c r="Q106" s="83" t="s">
        <v>521</v>
      </c>
      <c r="R106" s="83" t="s">
        <v>592</v>
      </c>
      <c r="S106" s="83">
        <v>65002</v>
      </c>
      <c r="T106" s="82" t="str">
        <f>REPLACE(INDEX(GroupVertices[Group],MATCH(Edges[[#This Row],[Vertex 1]],GroupVertices[Vertex],0)),1,1,"")</f>
        <v>9</v>
      </c>
      <c r="U106" s="82" t="str">
        <f>REPLACE(INDEX(GroupVertices[Group],MATCH(Edges[[#This Row],[Vertex 2]],GroupVertices[Vertex],0)),1,1,"")</f>
        <v>9</v>
      </c>
      <c r="V106" s="49">
        <v>0</v>
      </c>
      <c r="W106" s="50">
        <v>0</v>
      </c>
      <c r="X106" s="49">
        <v>0</v>
      </c>
      <c r="Y106" s="50">
        <v>0</v>
      </c>
      <c r="Z106" s="49">
        <v>0</v>
      </c>
      <c r="AA106" s="50">
        <v>0</v>
      </c>
      <c r="AB106" s="49">
        <v>13</v>
      </c>
      <c r="AC106" s="50">
        <v>100</v>
      </c>
      <c r="AD106" s="49">
        <v>13</v>
      </c>
    </row>
    <row r="107" spans="1:30" ht="15">
      <c r="A107" s="68" t="s">
        <v>370</v>
      </c>
      <c r="B107" s="68" t="s">
        <v>369</v>
      </c>
      <c r="C107" s="69" t="s">
        <v>1691</v>
      </c>
      <c r="D107" s="70">
        <v>3</v>
      </c>
      <c r="E107" s="71"/>
      <c r="F107" s="72">
        <v>70</v>
      </c>
      <c r="G107" s="69"/>
      <c r="H107" s="73"/>
      <c r="I107" s="74"/>
      <c r="J107" s="74"/>
      <c r="K107" s="35" t="s">
        <v>65</v>
      </c>
      <c r="L107" s="81">
        <v>107</v>
      </c>
      <c r="M107" s="81"/>
      <c r="N107" s="76"/>
      <c r="O107" s="83" t="s">
        <v>520</v>
      </c>
      <c r="P107" s="83">
        <v>1</v>
      </c>
      <c r="Q107" s="83" t="s">
        <v>521</v>
      </c>
      <c r="R107" s="83" t="s">
        <v>593</v>
      </c>
      <c r="S107" s="83">
        <v>66910</v>
      </c>
      <c r="T107" s="82" t="str">
        <f>REPLACE(INDEX(GroupVertices[Group],MATCH(Edges[[#This Row],[Vertex 1]],GroupVertices[Vertex],0)),1,1,"")</f>
        <v>9</v>
      </c>
      <c r="U107" s="82" t="str">
        <f>REPLACE(INDEX(GroupVertices[Group],MATCH(Edges[[#This Row],[Vertex 2]],GroupVertices[Vertex],0)),1,1,"")</f>
        <v>9</v>
      </c>
      <c r="V107" s="49">
        <v>0</v>
      </c>
      <c r="W107" s="50">
        <v>0</v>
      </c>
      <c r="X107" s="49">
        <v>0</v>
      </c>
      <c r="Y107" s="50">
        <v>0</v>
      </c>
      <c r="Z107" s="49">
        <v>0</v>
      </c>
      <c r="AA107" s="50">
        <v>0</v>
      </c>
      <c r="AB107" s="49">
        <v>8</v>
      </c>
      <c r="AC107" s="50">
        <v>100</v>
      </c>
      <c r="AD107" s="49">
        <v>8</v>
      </c>
    </row>
    <row r="108" spans="1:30" ht="15">
      <c r="A108" s="68" t="s">
        <v>328</v>
      </c>
      <c r="B108" s="68" t="s">
        <v>370</v>
      </c>
      <c r="C108" s="69" t="s">
        <v>1691</v>
      </c>
      <c r="D108" s="70">
        <v>3</v>
      </c>
      <c r="E108" s="71"/>
      <c r="F108" s="72">
        <v>70</v>
      </c>
      <c r="G108" s="69"/>
      <c r="H108" s="73"/>
      <c r="I108" s="74"/>
      <c r="J108" s="74"/>
      <c r="K108" s="35" t="s">
        <v>65</v>
      </c>
      <c r="L108" s="81">
        <v>108</v>
      </c>
      <c r="M108" s="81"/>
      <c r="N108" s="76"/>
      <c r="O108" s="83" t="s">
        <v>520</v>
      </c>
      <c r="P108" s="83">
        <v>1</v>
      </c>
      <c r="Q108" s="83" t="s">
        <v>521</v>
      </c>
      <c r="R108" s="83" t="s">
        <v>594</v>
      </c>
      <c r="S108" s="83">
        <v>67214</v>
      </c>
      <c r="T108" s="82" t="str">
        <f>REPLACE(INDEX(GroupVertices[Group],MATCH(Edges[[#This Row],[Vertex 1]],GroupVertices[Vertex],0)),1,1,"")</f>
        <v>1</v>
      </c>
      <c r="U108" s="82" t="str">
        <f>REPLACE(INDEX(GroupVertices[Group],MATCH(Edges[[#This Row],[Vertex 2]],GroupVertices[Vertex],0)),1,1,"")</f>
        <v>9</v>
      </c>
      <c r="V108" s="49">
        <v>0</v>
      </c>
      <c r="W108" s="50">
        <v>0</v>
      </c>
      <c r="X108" s="49">
        <v>0</v>
      </c>
      <c r="Y108" s="50">
        <v>0</v>
      </c>
      <c r="Z108" s="49">
        <v>0</v>
      </c>
      <c r="AA108" s="50">
        <v>0</v>
      </c>
      <c r="AB108" s="49">
        <v>21</v>
      </c>
      <c r="AC108" s="50">
        <v>100</v>
      </c>
      <c r="AD108" s="49">
        <v>21</v>
      </c>
    </row>
    <row r="109" spans="1:30" ht="15">
      <c r="A109" s="68" t="s">
        <v>371</v>
      </c>
      <c r="B109" s="68" t="s">
        <v>328</v>
      </c>
      <c r="C109" s="69" t="s">
        <v>1691</v>
      </c>
      <c r="D109" s="70">
        <v>3</v>
      </c>
      <c r="E109" s="71"/>
      <c r="F109" s="72">
        <v>70</v>
      </c>
      <c r="G109" s="69"/>
      <c r="H109" s="73"/>
      <c r="I109" s="74"/>
      <c r="J109" s="74"/>
      <c r="K109" s="35" t="s">
        <v>65</v>
      </c>
      <c r="L109" s="81">
        <v>109</v>
      </c>
      <c r="M109" s="81"/>
      <c r="N109" s="76"/>
      <c r="O109" s="83" t="s">
        <v>520</v>
      </c>
      <c r="P109" s="83">
        <v>1</v>
      </c>
      <c r="Q109" s="83" t="s">
        <v>521</v>
      </c>
      <c r="R109" s="83"/>
      <c r="S109" s="83">
        <v>67308</v>
      </c>
      <c r="T109" s="82" t="str">
        <f>REPLACE(INDEX(GroupVertices[Group],MATCH(Edges[[#This Row],[Vertex 1]],GroupVertices[Vertex],0)),1,1,"")</f>
        <v>9</v>
      </c>
      <c r="U109" s="82" t="str">
        <f>REPLACE(INDEX(GroupVertices[Group],MATCH(Edges[[#This Row],[Vertex 2]],GroupVertices[Vertex],0)),1,1,"")</f>
        <v>1</v>
      </c>
      <c r="V109" s="49"/>
      <c r="W109" s="50"/>
      <c r="X109" s="49"/>
      <c r="Y109" s="50"/>
      <c r="Z109" s="49"/>
      <c r="AA109" s="50"/>
      <c r="AB109" s="49"/>
      <c r="AC109" s="50"/>
      <c r="AD109" s="49"/>
    </row>
    <row r="110" spans="1:30" ht="15">
      <c r="A110" s="68" t="s">
        <v>372</v>
      </c>
      <c r="B110" s="68" t="s">
        <v>371</v>
      </c>
      <c r="C110" s="69" t="s">
        <v>1691</v>
      </c>
      <c r="D110" s="70">
        <v>3</v>
      </c>
      <c r="E110" s="71"/>
      <c r="F110" s="72">
        <v>70</v>
      </c>
      <c r="G110" s="69"/>
      <c r="H110" s="73"/>
      <c r="I110" s="74"/>
      <c r="J110" s="74"/>
      <c r="K110" s="35" t="s">
        <v>65</v>
      </c>
      <c r="L110" s="81">
        <v>110</v>
      </c>
      <c r="M110" s="81"/>
      <c r="N110" s="76"/>
      <c r="O110" s="83" t="s">
        <v>520</v>
      </c>
      <c r="P110" s="83">
        <v>1</v>
      </c>
      <c r="Q110" s="83" t="s">
        <v>521</v>
      </c>
      <c r="R110" s="83" t="s">
        <v>595</v>
      </c>
      <c r="S110" s="83">
        <v>65096</v>
      </c>
      <c r="T110" s="82" t="str">
        <f>REPLACE(INDEX(GroupVertices[Group],MATCH(Edges[[#This Row],[Vertex 1]],GroupVertices[Vertex],0)),1,1,"")</f>
        <v>9</v>
      </c>
      <c r="U110" s="82" t="str">
        <f>REPLACE(INDEX(GroupVertices[Group],MATCH(Edges[[#This Row],[Vertex 2]],GroupVertices[Vertex],0)),1,1,"")</f>
        <v>9</v>
      </c>
      <c r="V110" s="49">
        <v>0</v>
      </c>
      <c r="W110" s="50">
        <v>0</v>
      </c>
      <c r="X110" s="49">
        <v>1</v>
      </c>
      <c r="Y110" s="50">
        <v>11.11111111111111</v>
      </c>
      <c r="Z110" s="49">
        <v>0</v>
      </c>
      <c r="AA110" s="50">
        <v>0</v>
      </c>
      <c r="AB110" s="49">
        <v>8</v>
      </c>
      <c r="AC110" s="50">
        <v>88.88888888888889</v>
      </c>
      <c r="AD110" s="49">
        <v>9</v>
      </c>
    </row>
    <row r="111" spans="1:30" ht="15">
      <c r="A111" s="68" t="s">
        <v>372</v>
      </c>
      <c r="B111" s="68" t="s">
        <v>372</v>
      </c>
      <c r="C111" s="69" t="s">
        <v>1691</v>
      </c>
      <c r="D111" s="70">
        <v>3</v>
      </c>
      <c r="E111" s="71"/>
      <c r="F111" s="72">
        <v>70</v>
      </c>
      <c r="G111" s="69"/>
      <c r="H111" s="73"/>
      <c r="I111" s="74"/>
      <c r="J111" s="74"/>
      <c r="K111" s="35" t="s">
        <v>65</v>
      </c>
      <c r="L111" s="81">
        <v>111</v>
      </c>
      <c r="M111" s="81"/>
      <c r="N111" s="76"/>
      <c r="O111" s="83" t="s">
        <v>520</v>
      </c>
      <c r="P111" s="83">
        <v>1</v>
      </c>
      <c r="Q111" s="83" t="s">
        <v>521</v>
      </c>
      <c r="R111" s="83" t="s">
        <v>596</v>
      </c>
      <c r="S111" s="83">
        <v>68077</v>
      </c>
      <c r="T111" s="82" t="str">
        <f>REPLACE(INDEX(GroupVertices[Group],MATCH(Edges[[#This Row],[Vertex 1]],GroupVertices[Vertex],0)),1,1,"")</f>
        <v>9</v>
      </c>
      <c r="U111" s="82" t="str">
        <f>REPLACE(INDEX(GroupVertices[Group],MATCH(Edges[[#This Row],[Vertex 2]],GroupVertices[Vertex],0)),1,1,"")</f>
        <v>9</v>
      </c>
      <c r="V111" s="49">
        <v>0</v>
      </c>
      <c r="W111" s="50">
        <v>0</v>
      </c>
      <c r="X111" s="49">
        <v>0</v>
      </c>
      <c r="Y111" s="50">
        <v>0</v>
      </c>
      <c r="Z111" s="49">
        <v>0</v>
      </c>
      <c r="AA111" s="50">
        <v>0</v>
      </c>
      <c r="AB111" s="49">
        <v>9</v>
      </c>
      <c r="AC111" s="50">
        <v>100</v>
      </c>
      <c r="AD111" s="49">
        <v>9</v>
      </c>
    </row>
    <row r="112" spans="1:30" ht="15">
      <c r="A112" s="68" t="s">
        <v>373</v>
      </c>
      <c r="B112" s="68" t="s">
        <v>372</v>
      </c>
      <c r="C112" s="69" t="s">
        <v>1691</v>
      </c>
      <c r="D112" s="70">
        <v>3</v>
      </c>
      <c r="E112" s="71"/>
      <c r="F112" s="72">
        <v>70</v>
      </c>
      <c r="G112" s="69"/>
      <c r="H112" s="73"/>
      <c r="I112" s="74"/>
      <c r="J112" s="74"/>
      <c r="K112" s="35" t="s">
        <v>65</v>
      </c>
      <c r="L112" s="81">
        <v>112</v>
      </c>
      <c r="M112" s="81"/>
      <c r="N112" s="76"/>
      <c r="O112" s="83" t="s">
        <v>520</v>
      </c>
      <c r="P112" s="83">
        <v>1</v>
      </c>
      <c r="Q112" s="83" t="s">
        <v>521</v>
      </c>
      <c r="R112" s="83" t="s">
        <v>597</v>
      </c>
      <c r="S112" s="83">
        <v>68812</v>
      </c>
      <c r="T112" s="82" t="str">
        <f>REPLACE(INDEX(GroupVertices[Group],MATCH(Edges[[#This Row],[Vertex 1]],GroupVertices[Vertex],0)),1,1,"")</f>
        <v>9</v>
      </c>
      <c r="U112" s="82" t="str">
        <f>REPLACE(INDEX(GroupVertices[Group],MATCH(Edges[[#This Row],[Vertex 2]],GroupVertices[Vertex],0)),1,1,"")</f>
        <v>9</v>
      </c>
      <c r="V112" s="49">
        <v>0</v>
      </c>
      <c r="W112" s="50">
        <v>0</v>
      </c>
      <c r="X112" s="49">
        <v>0</v>
      </c>
      <c r="Y112" s="50">
        <v>0</v>
      </c>
      <c r="Z112" s="49">
        <v>0</v>
      </c>
      <c r="AA112" s="50">
        <v>0</v>
      </c>
      <c r="AB112" s="49">
        <v>8</v>
      </c>
      <c r="AC112" s="50">
        <v>100</v>
      </c>
      <c r="AD112" s="49">
        <v>8</v>
      </c>
    </row>
    <row r="113" spans="1:30" ht="15">
      <c r="A113" s="68" t="s">
        <v>374</v>
      </c>
      <c r="B113" s="68" t="s">
        <v>373</v>
      </c>
      <c r="C113" s="69" t="s">
        <v>1691</v>
      </c>
      <c r="D113" s="70">
        <v>3</v>
      </c>
      <c r="E113" s="71"/>
      <c r="F113" s="72">
        <v>70</v>
      </c>
      <c r="G113" s="69"/>
      <c r="H113" s="73"/>
      <c r="I113" s="74"/>
      <c r="J113" s="74"/>
      <c r="K113" s="35" t="s">
        <v>65</v>
      </c>
      <c r="L113" s="81">
        <v>113</v>
      </c>
      <c r="M113" s="81"/>
      <c r="N113" s="76"/>
      <c r="O113" s="83" t="s">
        <v>520</v>
      </c>
      <c r="P113" s="83">
        <v>1</v>
      </c>
      <c r="Q113" s="83" t="s">
        <v>521</v>
      </c>
      <c r="R113" s="83" t="s">
        <v>598</v>
      </c>
      <c r="S113" s="83">
        <v>69499</v>
      </c>
      <c r="T113" s="82" t="str">
        <f>REPLACE(INDEX(GroupVertices[Group],MATCH(Edges[[#This Row],[Vertex 1]],GroupVertices[Vertex],0)),1,1,"")</f>
        <v>9</v>
      </c>
      <c r="U113" s="82" t="str">
        <f>REPLACE(INDEX(GroupVertices[Group],MATCH(Edges[[#This Row],[Vertex 2]],GroupVertices[Vertex],0)),1,1,"")</f>
        <v>9</v>
      </c>
      <c r="V113" s="49">
        <v>0</v>
      </c>
      <c r="W113" s="50">
        <v>0</v>
      </c>
      <c r="X113" s="49">
        <v>0</v>
      </c>
      <c r="Y113" s="50">
        <v>0</v>
      </c>
      <c r="Z113" s="49">
        <v>0</v>
      </c>
      <c r="AA113" s="50">
        <v>0</v>
      </c>
      <c r="AB113" s="49">
        <v>7</v>
      </c>
      <c r="AC113" s="50">
        <v>100</v>
      </c>
      <c r="AD113" s="49">
        <v>7</v>
      </c>
    </row>
    <row r="114" spans="1:30" ht="15">
      <c r="A114" s="68" t="s">
        <v>375</v>
      </c>
      <c r="B114" s="68" t="s">
        <v>374</v>
      </c>
      <c r="C114" s="69" t="s">
        <v>1691</v>
      </c>
      <c r="D114" s="70">
        <v>3</v>
      </c>
      <c r="E114" s="71"/>
      <c r="F114" s="72">
        <v>70</v>
      </c>
      <c r="G114" s="69"/>
      <c r="H114" s="73"/>
      <c r="I114" s="74"/>
      <c r="J114" s="74"/>
      <c r="K114" s="35" t="s">
        <v>65</v>
      </c>
      <c r="L114" s="81">
        <v>114</v>
      </c>
      <c r="M114" s="81"/>
      <c r="N114" s="76"/>
      <c r="O114" s="83" t="s">
        <v>520</v>
      </c>
      <c r="P114" s="83">
        <v>1</v>
      </c>
      <c r="Q114" s="83" t="s">
        <v>521</v>
      </c>
      <c r="R114" s="83" t="s">
        <v>599</v>
      </c>
      <c r="S114" s="83">
        <v>69780</v>
      </c>
      <c r="T114" s="82" t="str">
        <f>REPLACE(INDEX(GroupVertices[Group],MATCH(Edges[[#This Row],[Vertex 1]],GroupVertices[Vertex],0)),1,1,"")</f>
        <v>9</v>
      </c>
      <c r="U114" s="82" t="str">
        <f>REPLACE(INDEX(GroupVertices[Group],MATCH(Edges[[#This Row],[Vertex 2]],GroupVertices[Vertex],0)),1,1,"")</f>
        <v>9</v>
      </c>
      <c r="V114" s="49">
        <v>0</v>
      </c>
      <c r="W114" s="50">
        <v>0</v>
      </c>
      <c r="X114" s="49">
        <v>0</v>
      </c>
      <c r="Y114" s="50">
        <v>0</v>
      </c>
      <c r="Z114" s="49">
        <v>0</v>
      </c>
      <c r="AA114" s="50">
        <v>0</v>
      </c>
      <c r="AB114" s="49">
        <v>8</v>
      </c>
      <c r="AC114" s="50">
        <v>100</v>
      </c>
      <c r="AD114" s="49">
        <v>8</v>
      </c>
    </row>
    <row r="115" spans="1:30" ht="15">
      <c r="A115" s="68" t="s">
        <v>369</v>
      </c>
      <c r="B115" s="68" t="s">
        <v>375</v>
      </c>
      <c r="C115" s="69" t="s">
        <v>1691</v>
      </c>
      <c r="D115" s="70">
        <v>3</v>
      </c>
      <c r="E115" s="71"/>
      <c r="F115" s="72">
        <v>70</v>
      </c>
      <c r="G115" s="69"/>
      <c r="H115" s="73"/>
      <c r="I115" s="74"/>
      <c r="J115" s="74"/>
      <c r="K115" s="35" t="s">
        <v>65</v>
      </c>
      <c r="L115" s="81">
        <v>115</v>
      </c>
      <c r="M115" s="81"/>
      <c r="N115" s="76"/>
      <c r="O115" s="83" t="s">
        <v>520</v>
      </c>
      <c r="P115" s="83">
        <v>1</v>
      </c>
      <c r="Q115" s="83" t="s">
        <v>521</v>
      </c>
      <c r="R115" s="83" t="s">
        <v>600</v>
      </c>
      <c r="S115" s="83">
        <v>71122</v>
      </c>
      <c r="T115" s="82" t="str">
        <f>REPLACE(INDEX(GroupVertices[Group],MATCH(Edges[[#This Row],[Vertex 1]],GroupVertices[Vertex],0)),1,1,"")</f>
        <v>9</v>
      </c>
      <c r="U115" s="82" t="str">
        <f>REPLACE(INDEX(GroupVertices[Group],MATCH(Edges[[#This Row],[Vertex 2]],GroupVertices[Vertex],0)),1,1,"")</f>
        <v>9</v>
      </c>
      <c r="V115" s="49">
        <v>0</v>
      </c>
      <c r="W115" s="50">
        <v>0</v>
      </c>
      <c r="X115" s="49">
        <v>0</v>
      </c>
      <c r="Y115" s="50">
        <v>0</v>
      </c>
      <c r="Z115" s="49">
        <v>0</v>
      </c>
      <c r="AA115" s="50">
        <v>0</v>
      </c>
      <c r="AB115" s="49">
        <v>19</v>
      </c>
      <c r="AC115" s="50">
        <v>100</v>
      </c>
      <c r="AD115" s="49">
        <v>19</v>
      </c>
    </row>
    <row r="116" spans="1:30" ht="15">
      <c r="A116" s="68" t="s">
        <v>376</v>
      </c>
      <c r="B116" s="68" t="s">
        <v>369</v>
      </c>
      <c r="C116" s="69" t="s">
        <v>1691</v>
      </c>
      <c r="D116" s="70">
        <v>3</v>
      </c>
      <c r="E116" s="71"/>
      <c r="F116" s="72">
        <v>70</v>
      </c>
      <c r="G116" s="69"/>
      <c r="H116" s="73"/>
      <c r="I116" s="74"/>
      <c r="J116" s="74"/>
      <c r="K116" s="35" t="s">
        <v>65</v>
      </c>
      <c r="L116" s="81">
        <v>116</v>
      </c>
      <c r="M116" s="81"/>
      <c r="N116" s="76"/>
      <c r="O116" s="83" t="s">
        <v>520</v>
      </c>
      <c r="P116" s="83">
        <v>1</v>
      </c>
      <c r="Q116" s="83" t="s">
        <v>521</v>
      </c>
      <c r="R116" s="83" t="s">
        <v>601</v>
      </c>
      <c r="S116" s="83">
        <v>71465</v>
      </c>
      <c r="T116" s="82" t="str">
        <f>REPLACE(INDEX(GroupVertices[Group],MATCH(Edges[[#This Row],[Vertex 1]],GroupVertices[Vertex],0)),1,1,"")</f>
        <v>9</v>
      </c>
      <c r="U116" s="82" t="str">
        <f>REPLACE(INDEX(GroupVertices[Group],MATCH(Edges[[#This Row],[Vertex 2]],GroupVertices[Vertex],0)),1,1,"")</f>
        <v>9</v>
      </c>
      <c r="V116" s="49">
        <v>0</v>
      </c>
      <c r="W116" s="50">
        <v>0</v>
      </c>
      <c r="X116" s="49">
        <v>1</v>
      </c>
      <c r="Y116" s="50">
        <v>12.5</v>
      </c>
      <c r="Z116" s="49">
        <v>0</v>
      </c>
      <c r="AA116" s="50">
        <v>0</v>
      </c>
      <c r="AB116" s="49">
        <v>7</v>
      </c>
      <c r="AC116" s="50">
        <v>87.5</v>
      </c>
      <c r="AD116" s="49">
        <v>8</v>
      </c>
    </row>
    <row r="117" spans="1:30" ht="15">
      <c r="A117" s="68" t="s">
        <v>328</v>
      </c>
      <c r="B117" s="68" t="s">
        <v>376</v>
      </c>
      <c r="C117" s="69" t="s">
        <v>1691</v>
      </c>
      <c r="D117" s="70">
        <v>3</v>
      </c>
      <c r="E117" s="71"/>
      <c r="F117" s="72">
        <v>70</v>
      </c>
      <c r="G117" s="69"/>
      <c r="H117" s="73"/>
      <c r="I117" s="74"/>
      <c r="J117" s="74"/>
      <c r="K117" s="35" t="s">
        <v>65</v>
      </c>
      <c r="L117" s="81">
        <v>117</v>
      </c>
      <c r="M117" s="81"/>
      <c r="N117" s="76"/>
      <c r="O117" s="83" t="s">
        <v>520</v>
      </c>
      <c r="P117" s="83">
        <v>1</v>
      </c>
      <c r="Q117" s="83" t="s">
        <v>521</v>
      </c>
      <c r="R117" s="83" t="s">
        <v>602</v>
      </c>
      <c r="S117" s="83">
        <v>71776</v>
      </c>
      <c r="T117" s="82" t="str">
        <f>REPLACE(INDEX(GroupVertices[Group],MATCH(Edges[[#This Row],[Vertex 1]],GroupVertices[Vertex],0)),1,1,"")</f>
        <v>1</v>
      </c>
      <c r="U117" s="82" t="str">
        <f>REPLACE(INDEX(GroupVertices[Group],MATCH(Edges[[#This Row],[Vertex 2]],GroupVertices[Vertex],0)),1,1,"")</f>
        <v>9</v>
      </c>
      <c r="V117" s="49">
        <v>0</v>
      </c>
      <c r="W117" s="50">
        <v>0</v>
      </c>
      <c r="X117" s="49">
        <v>1</v>
      </c>
      <c r="Y117" s="50">
        <v>7.142857142857143</v>
      </c>
      <c r="Z117" s="49">
        <v>0</v>
      </c>
      <c r="AA117" s="50">
        <v>0</v>
      </c>
      <c r="AB117" s="49">
        <v>13</v>
      </c>
      <c r="AC117" s="50">
        <v>92.85714285714286</v>
      </c>
      <c r="AD117" s="49">
        <v>14</v>
      </c>
    </row>
    <row r="118" spans="1:30" ht="15">
      <c r="A118" s="68" t="s">
        <v>377</v>
      </c>
      <c r="B118" s="68" t="s">
        <v>328</v>
      </c>
      <c r="C118" s="69" t="s">
        <v>1691</v>
      </c>
      <c r="D118" s="70">
        <v>3</v>
      </c>
      <c r="E118" s="71"/>
      <c r="F118" s="72">
        <v>70</v>
      </c>
      <c r="G118" s="69"/>
      <c r="H118" s="73"/>
      <c r="I118" s="74"/>
      <c r="J118" s="74"/>
      <c r="K118" s="35" t="s">
        <v>65</v>
      </c>
      <c r="L118" s="81">
        <v>118</v>
      </c>
      <c r="M118" s="81"/>
      <c r="N118" s="76"/>
      <c r="O118" s="83" t="s">
        <v>520</v>
      </c>
      <c r="P118" s="83">
        <v>1</v>
      </c>
      <c r="Q118" s="83" t="s">
        <v>521</v>
      </c>
      <c r="R118" s="83" t="s">
        <v>603</v>
      </c>
      <c r="S118" s="83">
        <v>72165</v>
      </c>
      <c r="T118" s="82" t="str">
        <f>REPLACE(INDEX(GroupVertices[Group],MATCH(Edges[[#This Row],[Vertex 1]],GroupVertices[Vertex],0)),1,1,"")</f>
        <v>1</v>
      </c>
      <c r="U118" s="82" t="str">
        <f>REPLACE(INDEX(GroupVertices[Group],MATCH(Edges[[#This Row],[Vertex 2]],GroupVertices[Vertex],0)),1,1,"")</f>
        <v>1</v>
      </c>
      <c r="V118" s="49">
        <v>0</v>
      </c>
      <c r="W118" s="50">
        <v>0</v>
      </c>
      <c r="X118" s="49">
        <v>1</v>
      </c>
      <c r="Y118" s="50">
        <v>12.5</v>
      </c>
      <c r="Z118" s="49">
        <v>0</v>
      </c>
      <c r="AA118" s="50">
        <v>0</v>
      </c>
      <c r="AB118" s="49">
        <v>7</v>
      </c>
      <c r="AC118" s="50">
        <v>87.5</v>
      </c>
      <c r="AD118" s="49">
        <v>8</v>
      </c>
    </row>
    <row r="119" spans="1:30" ht="15">
      <c r="A119" s="68" t="s">
        <v>377</v>
      </c>
      <c r="B119" s="68" t="s">
        <v>377</v>
      </c>
      <c r="C119" s="69" t="s">
        <v>1691</v>
      </c>
      <c r="D119" s="70">
        <v>3</v>
      </c>
      <c r="E119" s="71"/>
      <c r="F119" s="72">
        <v>70</v>
      </c>
      <c r="G119" s="69"/>
      <c r="H119" s="73"/>
      <c r="I119" s="74"/>
      <c r="J119" s="74"/>
      <c r="K119" s="35" t="s">
        <v>65</v>
      </c>
      <c r="L119" s="81">
        <v>119</v>
      </c>
      <c r="M119" s="81"/>
      <c r="N119" s="76"/>
      <c r="O119" s="83" t="s">
        <v>520</v>
      </c>
      <c r="P119" s="83">
        <v>1</v>
      </c>
      <c r="Q119" s="83" t="s">
        <v>521</v>
      </c>
      <c r="R119" s="83" t="s">
        <v>604</v>
      </c>
      <c r="S119" s="83">
        <v>7475</v>
      </c>
      <c r="T119" s="82" t="str">
        <f>REPLACE(INDEX(GroupVertices[Group],MATCH(Edges[[#This Row],[Vertex 1]],GroupVertices[Vertex],0)),1,1,"")</f>
        <v>1</v>
      </c>
      <c r="U119" s="82" t="str">
        <f>REPLACE(INDEX(GroupVertices[Group],MATCH(Edges[[#This Row],[Vertex 2]],GroupVertices[Vertex],0)),1,1,"")</f>
        <v>1</v>
      </c>
      <c r="V119" s="49">
        <v>0</v>
      </c>
      <c r="W119" s="50">
        <v>0</v>
      </c>
      <c r="X119" s="49">
        <v>0</v>
      </c>
      <c r="Y119" s="50">
        <v>0</v>
      </c>
      <c r="Z119" s="49">
        <v>0</v>
      </c>
      <c r="AA119" s="50">
        <v>0</v>
      </c>
      <c r="AB119" s="49">
        <v>5</v>
      </c>
      <c r="AC119" s="50">
        <v>100</v>
      </c>
      <c r="AD119" s="49">
        <v>5</v>
      </c>
    </row>
    <row r="120" spans="1:30" ht="15">
      <c r="A120" s="68" t="s">
        <v>378</v>
      </c>
      <c r="B120" s="68" t="s">
        <v>377</v>
      </c>
      <c r="C120" s="69" t="s">
        <v>1691</v>
      </c>
      <c r="D120" s="70">
        <v>3</v>
      </c>
      <c r="E120" s="71"/>
      <c r="F120" s="72">
        <v>70</v>
      </c>
      <c r="G120" s="69"/>
      <c r="H120" s="73"/>
      <c r="I120" s="74"/>
      <c r="J120" s="74"/>
      <c r="K120" s="35" t="s">
        <v>66</v>
      </c>
      <c r="L120" s="81">
        <v>120</v>
      </c>
      <c r="M120" s="81"/>
      <c r="N120" s="76"/>
      <c r="O120" s="83" t="s">
        <v>520</v>
      </c>
      <c r="P120" s="83">
        <v>1</v>
      </c>
      <c r="Q120" s="83" t="s">
        <v>521</v>
      </c>
      <c r="R120" s="83" t="s">
        <v>605</v>
      </c>
      <c r="S120" s="83">
        <v>8292</v>
      </c>
      <c r="T120" s="82" t="str">
        <f>REPLACE(INDEX(GroupVertices[Group],MATCH(Edges[[#This Row],[Vertex 1]],GroupVertices[Vertex],0)),1,1,"")</f>
        <v>4</v>
      </c>
      <c r="U120" s="82" t="str">
        <f>REPLACE(INDEX(GroupVertices[Group],MATCH(Edges[[#This Row],[Vertex 2]],GroupVertices[Vertex],0)),1,1,"")</f>
        <v>1</v>
      </c>
      <c r="V120" s="49">
        <v>0</v>
      </c>
      <c r="W120" s="50">
        <v>0</v>
      </c>
      <c r="X120" s="49">
        <v>1</v>
      </c>
      <c r="Y120" s="50">
        <v>14.285714285714286</v>
      </c>
      <c r="Z120" s="49">
        <v>0</v>
      </c>
      <c r="AA120" s="50">
        <v>0</v>
      </c>
      <c r="AB120" s="49">
        <v>6</v>
      </c>
      <c r="AC120" s="50">
        <v>85.71428571428571</v>
      </c>
      <c r="AD120" s="49">
        <v>7</v>
      </c>
    </row>
    <row r="121" spans="1:30" ht="15">
      <c r="A121" s="68" t="s">
        <v>377</v>
      </c>
      <c r="B121" s="68" t="s">
        <v>378</v>
      </c>
      <c r="C121" s="69" t="s">
        <v>1691</v>
      </c>
      <c r="D121" s="70">
        <v>3</v>
      </c>
      <c r="E121" s="71"/>
      <c r="F121" s="72">
        <v>70</v>
      </c>
      <c r="G121" s="69"/>
      <c r="H121" s="73"/>
      <c r="I121" s="74"/>
      <c r="J121" s="74"/>
      <c r="K121" s="35" t="s">
        <v>66</v>
      </c>
      <c r="L121" s="81">
        <v>121</v>
      </c>
      <c r="M121" s="81"/>
      <c r="N121" s="76"/>
      <c r="O121" s="83" t="s">
        <v>520</v>
      </c>
      <c r="P121" s="83">
        <v>1</v>
      </c>
      <c r="Q121" s="83" t="s">
        <v>521</v>
      </c>
      <c r="R121" s="83" t="s">
        <v>606</v>
      </c>
      <c r="S121" s="83">
        <v>8540</v>
      </c>
      <c r="T121" s="82" t="str">
        <f>REPLACE(INDEX(GroupVertices[Group],MATCH(Edges[[#This Row],[Vertex 1]],GroupVertices[Vertex],0)),1,1,"")</f>
        <v>1</v>
      </c>
      <c r="U121" s="82" t="str">
        <f>REPLACE(INDEX(GroupVertices[Group],MATCH(Edges[[#This Row],[Vertex 2]],GroupVertices[Vertex],0)),1,1,"")</f>
        <v>4</v>
      </c>
      <c r="V121" s="49">
        <v>0</v>
      </c>
      <c r="W121" s="50">
        <v>0</v>
      </c>
      <c r="X121" s="49">
        <v>1</v>
      </c>
      <c r="Y121" s="50">
        <v>16.666666666666668</v>
      </c>
      <c r="Z121" s="49">
        <v>0</v>
      </c>
      <c r="AA121" s="50">
        <v>0</v>
      </c>
      <c r="AB121" s="49">
        <v>5</v>
      </c>
      <c r="AC121" s="50">
        <v>83.33333333333333</v>
      </c>
      <c r="AD121" s="49">
        <v>6</v>
      </c>
    </row>
    <row r="122" spans="1:30" ht="15">
      <c r="A122" s="68" t="s">
        <v>379</v>
      </c>
      <c r="B122" s="68" t="s">
        <v>377</v>
      </c>
      <c r="C122" s="69" t="s">
        <v>1691</v>
      </c>
      <c r="D122" s="70">
        <v>3</v>
      </c>
      <c r="E122" s="71"/>
      <c r="F122" s="72">
        <v>70</v>
      </c>
      <c r="G122" s="69"/>
      <c r="H122" s="73"/>
      <c r="I122" s="74"/>
      <c r="J122" s="74"/>
      <c r="K122" s="35" t="s">
        <v>65</v>
      </c>
      <c r="L122" s="81">
        <v>122</v>
      </c>
      <c r="M122" s="81"/>
      <c r="N122" s="76"/>
      <c r="O122" s="83" t="s">
        <v>520</v>
      </c>
      <c r="P122" s="83">
        <v>1</v>
      </c>
      <c r="Q122" s="83" t="s">
        <v>521</v>
      </c>
      <c r="R122" s="83" t="s">
        <v>607</v>
      </c>
      <c r="S122" s="83">
        <v>9646</v>
      </c>
      <c r="T122" s="82" t="str">
        <f>REPLACE(INDEX(GroupVertices[Group],MATCH(Edges[[#This Row],[Vertex 1]],GroupVertices[Vertex],0)),1,1,"")</f>
        <v>1</v>
      </c>
      <c r="U122" s="82" t="str">
        <f>REPLACE(INDEX(GroupVertices[Group],MATCH(Edges[[#This Row],[Vertex 2]],GroupVertices[Vertex],0)),1,1,"")</f>
        <v>1</v>
      </c>
      <c r="V122" s="49">
        <v>0</v>
      </c>
      <c r="W122" s="50">
        <v>0</v>
      </c>
      <c r="X122" s="49">
        <v>2</v>
      </c>
      <c r="Y122" s="50">
        <v>18.181818181818183</v>
      </c>
      <c r="Z122" s="49">
        <v>0</v>
      </c>
      <c r="AA122" s="50">
        <v>0</v>
      </c>
      <c r="AB122" s="49">
        <v>9</v>
      </c>
      <c r="AC122" s="50">
        <v>81.81818181818181</v>
      </c>
      <c r="AD122" s="49">
        <v>11</v>
      </c>
    </row>
    <row r="123" spans="1:30" ht="15">
      <c r="A123" s="68" t="s">
        <v>380</v>
      </c>
      <c r="B123" s="68" t="s">
        <v>379</v>
      </c>
      <c r="C123" s="69" t="s">
        <v>1691</v>
      </c>
      <c r="D123" s="70">
        <v>3</v>
      </c>
      <c r="E123" s="71"/>
      <c r="F123" s="72">
        <v>70</v>
      </c>
      <c r="G123" s="69"/>
      <c r="H123" s="73"/>
      <c r="I123" s="74"/>
      <c r="J123" s="74"/>
      <c r="K123" s="35" t="s">
        <v>65</v>
      </c>
      <c r="L123" s="81">
        <v>123</v>
      </c>
      <c r="M123" s="81"/>
      <c r="N123" s="76"/>
      <c r="O123" s="83" t="s">
        <v>520</v>
      </c>
      <c r="P123" s="83">
        <v>1</v>
      </c>
      <c r="Q123" s="83" t="s">
        <v>521</v>
      </c>
      <c r="R123" s="83" t="s">
        <v>608</v>
      </c>
      <c r="S123" s="83">
        <v>9920</v>
      </c>
      <c r="T123" s="82" t="str">
        <f>REPLACE(INDEX(GroupVertices[Group],MATCH(Edges[[#This Row],[Vertex 1]],GroupVertices[Vertex],0)),1,1,"")</f>
        <v>1</v>
      </c>
      <c r="U123" s="82" t="str">
        <f>REPLACE(INDEX(GroupVertices[Group],MATCH(Edges[[#This Row],[Vertex 2]],GroupVertices[Vertex],0)),1,1,"")</f>
        <v>1</v>
      </c>
      <c r="V123" s="49">
        <v>0</v>
      </c>
      <c r="W123" s="50">
        <v>0</v>
      </c>
      <c r="X123" s="49">
        <v>2</v>
      </c>
      <c r="Y123" s="50">
        <v>22.22222222222222</v>
      </c>
      <c r="Z123" s="49">
        <v>0</v>
      </c>
      <c r="AA123" s="50">
        <v>0</v>
      </c>
      <c r="AB123" s="49">
        <v>7</v>
      </c>
      <c r="AC123" s="50">
        <v>77.77777777777777</v>
      </c>
      <c r="AD123" s="49">
        <v>9</v>
      </c>
    </row>
    <row r="124" spans="1:30" ht="15">
      <c r="A124" s="68" t="s">
        <v>328</v>
      </c>
      <c r="B124" s="68" t="s">
        <v>380</v>
      </c>
      <c r="C124" s="69" t="s">
        <v>1691</v>
      </c>
      <c r="D124" s="70">
        <v>3</v>
      </c>
      <c r="E124" s="71"/>
      <c r="F124" s="72">
        <v>70</v>
      </c>
      <c r="G124" s="69"/>
      <c r="H124" s="73"/>
      <c r="I124" s="74"/>
      <c r="J124" s="74"/>
      <c r="K124" s="35" t="s">
        <v>65</v>
      </c>
      <c r="L124" s="81">
        <v>124</v>
      </c>
      <c r="M124" s="81"/>
      <c r="N124" s="76"/>
      <c r="O124" s="83" t="s">
        <v>520</v>
      </c>
      <c r="P124" s="83">
        <v>1</v>
      </c>
      <c r="Q124" s="83" t="s">
        <v>521</v>
      </c>
      <c r="R124" s="83" t="s">
        <v>609</v>
      </c>
      <c r="S124" s="83">
        <v>10226</v>
      </c>
      <c r="T124" s="82" t="str">
        <f>REPLACE(INDEX(GroupVertices[Group],MATCH(Edges[[#This Row],[Vertex 1]],GroupVertices[Vertex],0)),1,1,"")</f>
        <v>1</v>
      </c>
      <c r="U124" s="82" t="str">
        <f>REPLACE(INDEX(GroupVertices[Group],MATCH(Edges[[#This Row],[Vertex 2]],GroupVertices[Vertex],0)),1,1,"")</f>
        <v>1</v>
      </c>
      <c r="V124" s="49">
        <v>0</v>
      </c>
      <c r="W124" s="50">
        <v>0</v>
      </c>
      <c r="X124" s="49">
        <v>2</v>
      </c>
      <c r="Y124" s="50">
        <v>13.333333333333334</v>
      </c>
      <c r="Z124" s="49">
        <v>0</v>
      </c>
      <c r="AA124" s="50">
        <v>0</v>
      </c>
      <c r="AB124" s="49">
        <v>13</v>
      </c>
      <c r="AC124" s="50">
        <v>86.66666666666667</v>
      </c>
      <c r="AD124" s="49">
        <v>15</v>
      </c>
    </row>
    <row r="125" spans="1:30" ht="15">
      <c r="A125" s="68" t="s">
        <v>381</v>
      </c>
      <c r="B125" s="68" t="s">
        <v>328</v>
      </c>
      <c r="C125" s="69" t="s">
        <v>1691</v>
      </c>
      <c r="D125" s="70">
        <v>3</v>
      </c>
      <c r="E125" s="71"/>
      <c r="F125" s="72">
        <v>70</v>
      </c>
      <c r="G125" s="69"/>
      <c r="H125" s="73"/>
      <c r="I125" s="74"/>
      <c r="J125" s="74"/>
      <c r="K125" s="35" t="s">
        <v>66</v>
      </c>
      <c r="L125" s="81">
        <v>125</v>
      </c>
      <c r="M125" s="81"/>
      <c r="N125" s="76"/>
      <c r="O125" s="83" t="s">
        <v>520</v>
      </c>
      <c r="P125" s="83">
        <v>1</v>
      </c>
      <c r="Q125" s="83" t="s">
        <v>521</v>
      </c>
      <c r="R125" s="83" t="s">
        <v>598</v>
      </c>
      <c r="S125" s="83">
        <v>10708</v>
      </c>
      <c r="T125" s="82" t="str">
        <f>REPLACE(INDEX(GroupVertices[Group],MATCH(Edges[[#This Row],[Vertex 1]],GroupVertices[Vertex],0)),1,1,"")</f>
        <v>1</v>
      </c>
      <c r="U125" s="82" t="str">
        <f>REPLACE(INDEX(GroupVertices[Group],MATCH(Edges[[#This Row],[Vertex 2]],GroupVertices[Vertex],0)),1,1,"")</f>
        <v>1</v>
      </c>
      <c r="V125" s="49">
        <v>0</v>
      </c>
      <c r="W125" s="50">
        <v>0</v>
      </c>
      <c r="X125" s="49">
        <v>0</v>
      </c>
      <c r="Y125" s="50">
        <v>0</v>
      </c>
      <c r="Z125" s="49">
        <v>0</v>
      </c>
      <c r="AA125" s="50">
        <v>0</v>
      </c>
      <c r="AB125" s="49">
        <v>7</v>
      </c>
      <c r="AC125" s="50">
        <v>100</v>
      </c>
      <c r="AD125" s="49">
        <v>7</v>
      </c>
    </row>
    <row r="126" spans="1:30" ht="15">
      <c r="A126" s="68" t="s">
        <v>381</v>
      </c>
      <c r="B126" s="68" t="s">
        <v>381</v>
      </c>
      <c r="C126" s="69" t="s">
        <v>1692</v>
      </c>
      <c r="D126" s="70">
        <v>10</v>
      </c>
      <c r="E126" s="71"/>
      <c r="F126" s="72">
        <v>40</v>
      </c>
      <c r="G126" s="69"/>
      <c r="H126" s="73"/>
      <c r="I126" s="74"/>
      <c r="J126" s="74"/>
      <c r="K126" s="35" t="s">
        <v>65</v>
      </c>
      <c r="L126" s="81">
        <v>126</v>
      </c>
      <c r="M126" s="81"/>
      <c r="N126" s="76"/>
      <c r="O126" s="83" t="s">
        <v>520</v>
      </c>
      <c r="P126" s="83">
        <v>14</v>
      </c>
      <c r="Q126" s="83" t="s">
        <v>521</v>
      </c>
      <c r="R126" s="83" t="s">
        <v>610</v>
      </c>
      <c r="S126" s="83">
        <v>12673</v>
      </c>
      <c r="T126" s="82" t="str">
        <f>REPLACE(INDEX(GroupVertices[Group],MATCH(Edges[[#This Row],[Vertex 1]],GroupVertices[Vertex],0)),1,1,"")</f>
        <v>1</v>
      </c>
      <c r="U126" s="82" t="str">
        <f>REPLACE(INDEX(GroupVertices[Group],MATCH(Edges[[#This Row],[Vertex 2]],GroupVertices[Vertex],0)),1,1,"")</f>
        <v>1</v>
      </c>
      <c r="V126" s="49">
        <v>0</v>
      </c>
      <c r="W126" s="50">
        <v>0</v>
      </c>
      <c r="X126" s="49">
        <v>0</v>
      </c>
      <c r="Y126" s="50">
        <v>0</v>
      </c>
      <c r="Z126" s="49">
        <v>0</v>
      </c>
      <c r="AA126" s="50">
        <v>0</v>
      </c>
      <c r="AB126" s="49">
        <v>4</v>
      </c>
      <c r="AC126" s="50">
        <v>100</v>
      </c>
      <c r="AD126" s="49">
        <v>4</v>
      </c>
    </row>
    <row r="127" spans="1:30" ht="15">
      <c r="A127" s="68" t="s">
        <v>328</v>
      </c>
      <c r="B127" s="68" t="s">
        <v>381</v>
      </c>
      <c r="C127" s="69" t="s">
        <v>1691</v>
      </c>
      <c r="D127" s="70">
        <v>3</v>
      </c>
      <c r="E127" s="71"/>
      <c r="F127" s="72">
        <v>70</v>
      </c>
      <c r="G127" s="69"/>
      <c r="H127" s="73"/>
      <c r="I127" s="74"/>
      <c r="J127" s="74"/>
      <c r="K127" s="35" t="s">
        <v>66</v>
      </c>
      <c r="L127" s="81">
        <v>127</v>
      </c>
      <c r="M127" s="81"/>
      <c r="N127" s="76"/>
      <c r="O127" s="83" t="s">
        <v>520</v>
      </c>
      <c r="P127" s="83">
        <v>1</v>
      </c>
      <c r="Q127" s="83" t="s">
        <v>521</v>
      </c>
      <c r="R127" s="83" t="s">
        <v>611</v>
      </c>
      <c r="S127" s="83">
        <v>12975</v>
      </c>
      <c r="T127" s="82" t="str">
        <f>REPLACE(INDEX(GroupVertices[Group],MATCH(Edges[[#This Row],[Vertex 1]],GroupVertices[Vertex],0)),1,1,"")</f>
        <v>1</v>
      </c>
      <c r="U127" s="82" t="str">
        <f>REPLACE(INDEX(GroupVertices[Group],MATCH(Edges[[#This Row],[Vertex 2]],GroupVertices[Vertex],0)),1,1,"")</f>
        <v>1</v>
      </c>
      <c r="V127" s="49">
        <v>0</v>
      </c>
      <c r="W127" s="50">
        <v>0</v>
      </c>
      <c r="X127" s="49">
        <v>0</v>
      </c>
      <c r="Y127" s="50">
        <v>0</v>
      </c>
      <c r="Z127" s="49">
        <v>0</v>
      </c>
      <c r="AA127" s="50">
        <v>0</v>
      </c>
      <c r="AB127" s="49">
        <v>12</v>
      </c>
      <c r="AC127" s="50">
        <v>100</v>
      </c>
      <c r="AD127" s="49">
        <v>12</v>
      </c>
    </row>
    <row r="128" spans="1:30" ht="15">
      <c r="A128" s="68" t="s">
        <v>382</v>
      </c>
      <c r="B128" s="68" t="s">
        <v>328</v>
      </c>
      <c r="C128" s="69" t="s">
        <v>1691</v>
      </c>
      <c r="D128" s="70">
        <v>3</v>
      </c>
      <c r="E128" s="71"/>
      <c r="F128" s="72">
        <v>70</v>
      </c>
      <c r="G128" s="69"/>
      <c r="H128" s="73"/>
      <c r="I128" s="74"/>
      <c r="J128" s="74"/>
      <c r="K128" s="35" t="s">
        <v>65</v>
      </c>
      <c r="L128" s="81">
        <v>128</v>
      </c>
      <c r="M128" s="81"/>
      <c r="N128" s="76"/>
      <c r="O128" s="83" t="s">
        <v>520</v>
      </c>
      <c r="P128" s="83">
        <v>1</v>
      </c>
      <c r="Q128" s="83" t="s">
        <v>521</v>
      </c>
      <c r="R128" s="83"/>
      <c r="S128" s="83">
        <v>14670</v>
      </c>
      <c r="T128" s="82" t="str">
        <f>REPLACE(INDEX(GroupVertices[Group],MATCH(Edges[[#This Row],[Vertex 1]],GroupVertices[Vertex],0)),1,1,"")</f>
        <v>4</v>
      </c>
      <c r="U128" s="82" t="str">
        <f>REPLACE(INDEX(GroupVertices[Group],MATCH(Edges[[#This Row],[Vertex 2]],GroupVertices[Vertex],0)),1,1,"")</f>
        <v>1</v>
      </c>
      <c r="V128" s="49"/>
      <c r="W128" s="50"/>
      <c r="X128" s="49"/>
      <c r="Y128" s="50"/>
      <c r="Z128" s="49"/>
      <c r="AA128" s="50"/>
      <c r="AB128" s="49"/>
      <c r="AC128" s="50"/>
      <c r="AD128" s="49"/>
    </row>
    <row r="129" spans="1:30" ht="15">
      <c r="A129" s="68" t="s">
        <v>383</v>
      </c>
      <c r="B129" s="68" t="s">
        <v>382</v>
      </c>
      <c r="C129" s="69" t="s">
        <v>1691</v>
      </c>
      <c r="D129" s="70">
        <v>3</v>
      </c>
      <c r="E129" s="71"/>
      <c r="F129" s="72">
        <v>70</v>
      </c>
      <c r="G129" s="69"/>
      <c r="H129" s="73"/>
      <c r="I129" s="74"/>
      <c r="J129" s="74"/>
      <c r="K129" s="35" t="s">
        <v>65</v>
      </c>
      <c r="L129" s="81">
        <v>129</v>
      </c>
      <c r="M129" s="81"/>
      <c r="N129" s="76"/>
      <c r="O129" s="83" t="s">
        <v>520</v>
      </c>
      <c r="P129" s="83">
        <v>1</v>
      </c>
      <c r="Q129" s="83" t="s">
        <v>521</v>
      </c>
      <c r="R129" s="83" t="s">
        <v>612</v>
      </c>
      <c r="S129" s="83">
        <v>14773</v>
      </c>
      <c r="T129" s="82" t="str">
        <f>REPLACE(INDEX(GroupVertices[Group],MATCH(Edges[[#This Row],[Vertex 1]],GroupVertices[Vertex],0)),1,1,"")</f>
        <v>4</v>
      </c>
      <c r="U129" s="82" t="str">
        <f>REPLACE(INDEX(GroupVertices[Group],MATCH(Edges[[#This Row],[Vertex 2]],GroupVertices[Vertex],0)),1,1,"")</f>
        <v>4</v>
      </c>
      <c r="V129" s="49">
        <v>0</v>
      </c>
      <c r="W129" s="50">
        <v>0</v>
      </c>
      <c r="X129" s="49">
        <v>0</v>
      </c>
      <c r="Y129" s="50">
        <v>0</v>
      </c>
      <c r="Z129" s="49">
        <v>0</v>
      </c>
      <c r="AA129" s="50">
        <v>0</v>
      </c>
      <c r="AB129" s="49">
        <v>1</v>
      </c>
      <c r="AC129" s="50">
        <v>100</v>
      </c>
      <c r="AD129" s="49">
        <v>1</v>
      </c>
    </row>
    <row r="130" spans="1:30" ht="15">
      <c r="A130" s="68" t="s">
        <v>383</v>
      </c>
      <c r="B130" s="68" t="s">
        <v>383</v>
      </c>
      <c r="C130" s="69" t="s">
        <v>1691</v>
      </c>
      <c r="D130" s="70">
        <v>3</v>
      </c>
      <c r="E130" s="71"/>
      <c r="F130" s="72">
        <v>70</v>
      </c>
      <c r="G130" s="69"/>
      <c r="H130" s="73"/>
      <c r="I130" s="74"/>
      <c r="J130" s="74"/>
      <c r="K130" s="35" t="s">
        <v>65</v>
      </c>
      <c r="L130" s="81">
        <v>130</v>
      </c>
      <c r="M130" s="81"/>
      <c r="N130" s="76"/>
      <c r="O130" s="83" t="s">
        <v>520</v>
      </c>
      <c r="P130" s="83">
        <v>1</v>
      </c>
      <c r="Q130" s="83" t="s">
        <v>521</v>
      </c>
      <c r="R130" s="83" t="s">
        <v>613</v>
      </c>
      <c r="S130" s="83">
        <v>14762</v>
      </c>
      <c r="T130" s="82" t="str">
        <f>REPLACE(INDEX(GroupVertices[Group],MATCH(Edges[[#This Row],[Vertex 1]],GroupVertices[Vertex],0)),1,1,"")</f>
        <v>4</v>
      </c>
      <c r="U130" s="82" t="str">
        <f>REPLACE(INDEX(GroupVertices[Group],MATCH(Edges[[#This Row],[Vertex 2]],GroupVertices[Vertex],0)),1,1,"")</f>
        <v>4</v>
      </c>
      <c r="V130" s="49">
        <v>0</v>
      </c>
      <c r="W130" s="50">
        <v>0</v>
      </c>
      <c r="X130" s="49">
        <v>0</v>
      </c>
      <c r="Y130" s="50">
        <v>0</v>
      </c>
      <c r="Z130" s="49">
        <v>0</v>
      </c>
      <c r="AA130" s="50">
        <v>0</v>
      </c>
      <c r="AB130" s="49">
        <v>2</v>
      </c>
      <c r="AC130" s="50">
        <v>100</v>
      </c>
      <c r="AD130" s="49">
        <v>2</v>
      </c>
    </row>
    <row r="131" spans="1:30" ht="15">
      <c r="A131" s="68" t="s">
        <v>384</v>
      </c>
      <c r="B131" s="68" t="s">
        <v>383</v>
      </c>
      <c r="C131" s="69" t="s">
        <v>1691</v>
      </c>
      <c r="D131" s="70">
        <v>3</v>
      </c>
      <c r="E131" s="71"/>
      <c r="F131" s="72">
        <v>70</v>
      </c>
      <c r="G131" s="69"/>
      <c r="H131" s="73"/>
      <c r="I131" s="74"/>
      <c r="J131" s="74"/>
      <c r="K131" s="35" t="s">
        <v>65</v>
      </c>
      <c r="L131" s="81">
        <v>131</v>
      </c>
      <c r="M131" s="81"/>
      <c r="N131" s="76"/>
      <c r="O131" s="83" t="s">
        <v>520</v>
      </c>
      <c r="P131" s="83">
        <v>1</v>
      </c>
      <c r="Q131" s="83" t="s">
        <v>521</v>
      </c>
      <c r="R131" s="83" t="s">
        <v>598</v>
      </c>
      <c r="S131" s="83">
        <v>16008</v>
      </c>
      <c r="T131" s="82" t="str">
        <f>REPLACE(INDEX(GroupVertices[Group],MATCH(Edges[[#This Row],[Vertex 1]],GroupVertices[Vertex],0)),1,1,"")</f>
        <v>4</v>
      </c>
      <c r="U131" s="82" t="str">
        <f>REPLACE(INDEX(GroupVertices[Group],MATCH(Edges[[#This Row],[Vertex 2]],GroupVertices[Vertex],0)),1,1,"")</f>
        <v>4</v>
      </c>
      <c r="V131" s="49">
        <v>0</v>
      </c>
      <c r="W131" s="50">
        <v>0</v>
      </c>
      <c r="X131" s="49">
        <v>0</v>
      </c>
      <c r="Y131" s="50">
        <v>0</v>
      </c>
      <c r="Z131" s="49">
        <v>0</v>
      </c>
      <c r="AA131" s="50">
        <v>0</v>
      </c>
      <c r="AB131" s="49">
        <v>7</v>
      </c>
      <c r="AC131" s="50">
        <v>100</v>
      </c>
      <c r="AD131" s="49">
        <v>7</v>
      </c>
    </row>
    <row r="132" spans="1:30" ht="15">
      <c r="A132" s="68" t="s">
        <v>385</v>
      </c>
      <c r="B132" s="68" t="s">
        <v>384</v>
      </c>
      <c r="C132" s="69" t="s">
        <v>1691</v>
      </c>
      <c r="D132" s="70">
        <v>3</v>
      </c>
      <c r="E132" s="71"/>
      <c r="F132" s="72">
        <v>70</v>
      </c>
      <c r="G132" s="69"/>
      <c r="H132" s="73"/>
      <c r="I132" s="74"/>
      <c r="J132" s="74"/>
      <c r="K132" s="35" t="s">
        <v>65</v>
      </c>
      <c r="L132" s="81">
        <v>132</v>
      </c>
      <c r="M132" s="81"/>
      <c r="N132" s="76"/>
      <c r="O132" s="83" t="s">
        <v>520</v>
      </c>
      <c r="P132" s="83">
        <v>1</v>
      </c>
      <c r="Q132" s="83" t="s">
        <v>521</v>
      </c>
      <c r="R132" s="83" t="s">
        <v>614</v>
      </c>
      <c r="S132" s="83">
        <v>16028</v>
      </c>
      <c r="T132" s="82" t="str">
        <f>REPLACE(INDEX(GroupVertices[Group],MATCH(Edges[[#This Row],[Vertex 1]],GroupVertices[Vertex],0)),1,1,"")</f>
        <v>4</v>
      </c>
      <c r="U132" s="82" t="str">
        <f>REPLACE(INDEX(GroupVertices[Group],MATCH(Edges[[#This Row],[Vertex 2]],GroupVertices[Vertex],0)),1,1,"")</f>
        <v>4</v>
      </c>
      <c r="V132" s="49">
        <v>0</v>
      </c>
      <c r="W132" s="50">
        <v>0</v>
      </c>
      <c r="X132" s="49">
        <v>0</v>
      </c>
      <c r="Y132" s="50">
        <v>0</v>
      </c>
      <c r="Z132" s="49">
        <v>0</v>
      </c>
      <c r="AA132" s="50">
        <v>0</v>
      </c>
      <c r="AB132" s="49">
        <v>13</v>
      </c>
      <c r="AC132" s="50">
        <v>100</v>
      </c>
      <c r="AD132" s="49">
        <v>13</v>
      </c>
    </row>
    <row r="133" spans="1:30" ht="15">
      <c r="A133" s="68" t="s">
        <v>386</v>
      </c>
      <c r="B133" s="68" t="s">
        <v>385</v>
      </c>
      <c r="C133" s="69" t="s">
        <v>1691</v>
      </c>
      <c r="D133" s="70">
        <v>3</v>
      </c>
      <c r="E133" s="71"/>
      <c r="F133" s="72">
        <v>70</v>
      </c>
      <c r="G133" s="69"/>
      <c r="H133" s="73"/>
      <c r="I133" s="74"/>
      <c r="J133" s="74"/>
      <c r="K133" s="35" t="s">
        <v>65</v>
      </c>
      <c r="L133" s="81">
        <v>133</v>
      </c>
      <c r="M133" s="81"/>
      <c r="N133" s="76"/>
      <c r="O133" s="83" t="s">
        <v>520</v>
      </c>
      <c r="P133" s="83">
        <v>1</v>
      </c>
      <c r="Q133" s="83" t="s">
        <v>521</v>
      </c>
      <c r="R133" s="83"/>
      <c r="S133" s="83">
        <v>17959</v>
      </c>
      <c r="T133" s="82" t="str">
        <f>REPLACE(INDEX(GroupVertices[Group],MATCH(Edges[[#This Row],[Vertex 1]],GroupVertices[Vertex],0)),1,1,"")</f>
        <v>4</v>
      </c>
      <c r="U133" s="82" t="str">
        <f>REPLACE(INDEX(GroupVertices[Group],MATCH(Edges[[#This Row],[Vertex 2]],GroupVertices[Vertex],0)),1,1,"")</f>
        <v>4</v>
      </c>
      <c r="V133" s="49"/>
      <c r="W133" s="50"/>
      <c r="X133" s="49"/>
      <c r="Y133" s="50"/>
      <c r="Z133" s="49"/>
      <c r="AA133" s="50"/>
      <c r="AB133" s="49"/>
      <c r="AC133" s="50"/>
      <c r="AD133" s="49"/>
    </row>
    <row r="134" spans="1:30" ht="15">
      <c r="A134" s="68" t="s">
        <v>378</v>
      </c>
      <c r="B134" s="68" t="s">
        <v>386</v>
      </c>
      <c r="C134" s="69" t="s">
        <v>1691</v>
      </c>
      <c r="D134" s="70">
        <v>3</v>
      </c>
      <c r="E134" s="71"/>
      <c r="F134" s="72">
        <v>70</v>
      </c>
      <c r="G134" s="69"/>
      <c r="H134" s="73"/>
      <c r="I134" s="74"/>
      <c r="J134" s="74"/>
      <c r="K134" s="35" t="s">
        <v>65</v>
      </c>
      <c r="L134" s="81">
        <v>134</v>
      </c>
      <c r="M134" s="81"/>
      <c r="N134" s="76"/>
      <c r="O134" s="83" t="s">
        <v>520</v>
      </c>
      <c r="P134" s="83">
        <v>1</v>
      </c>
      <c r="Q134" s="83" t="s">
        <v>521</v>
      </c>
      <c r="R134" s="83" t="s">
        <v>615</v>
      </c>
      <c r="S134" s="83">
        <v>16028</v>
      </c>
      <c r="T134" s="82" t="str">
        <f>REPLACE(INDEX(GroupVertices[Group],MATCH(Edges[[#This Row],[Vertex 1]],GroupVertices[Vertex],0)),1,1,"")</f>
        <v>4</v>
      </c>
      <c r="U134" s="82" t="str">
        <f>REPLACE(INDEX(GroupVertices[Group],MATCH(Edges[[#This Row],[Vertex 2]],GroupVertices[Vertex],0)),1,1,"")</f>
        <v>4</v>
      </c>
      <c r="V134" s="49">
        <v>2</v>
      </c>
      <c r="W134" s="50">
        <v>6.666666666666667</v>
      </c>
      <c r="X134" s="49">
        <v>0</v>
      </c>
      <c r="Y134" s="50">
        <v>0</v>
      </c>
      <c r="Z134" s="49">
        <v>0</v>
      </c>
      <c r="AA134" s="50">
        <v>0</v>
      </c>
      <c r="AB134" s="49">
        <v>28</v>
      </c>
      <c r="AC134" s="50">
        <v>93.33333333333333</v>
      </c>
      <c r="AD134" s="49">
        <v>30</v>
      </c>
    </row>
    <row r="135" spans="1:30" ht="15">
      <c r="A135" s="68" t="s">
        <v>387</v>
      </c>
      <c r="B135" s="68" t="s">
        <v>378</v>
      </c>
      <c r="C135" s="69" t="s">
        <v>1691</v>
      </c>
      <c r="D135" s="70">
        <v>3</v>
      </c>
      <c r="E135" s="71"/>
      <c r="F135" s="72">
        <v>70</v>
      </c>
      <c r="G135" s="69"/>
      <c r="H135" s="73"/>
      <c r="I135" s="74"/>
      <c r="J135" s="74"/>
      <c r="K135" s="35" t="s">
        <v>65</v>
      </c>
      <c r="L135" s="81">
        <v>135</v>
      </c>
      <c r="M135" s="81"/>
      <c r="N135" s="76"/>
      <c r="O135" s="83" t="s">
        <v>520</v>
      </c>
      <c r="P135" s="83">
        <v>1</v>
      </c>
      <c r="Q135" s="83" t="s">
        <v>521</v>
      </c>
      <c r="R135" s="83" t="s">
        <v>613</v>
      </c>
      <c r="S135" s="83">
        <v>16447</v>
      </c>
      <c r="T135" s="82" t="str">
        <f>REPLACE(INDEX(GroupVertices[Group],MATCH(Edges[[#This Row],[Vertex 1]],GroupVertices[Vertex],0)),1,1,"")</f>
        <v>4</v>
      </c>
      <c r="U135" s="82" t="str">
        <f>REPLACE(INDEX(GroupVertices[Group],MATCH(Edges[[#This Row],[Vertex 2]],GroupVertices[Vertex],0)),1,1,"")</f>
        <v>4</v>
      </c>
      <c r="V135" s="49">
        <v>0</v>
      </c>
      <c r="W135" s="50">
        <v>0</v>
      </c>
      <c r="X135" s="49">
        <v>0</v>
      </c>
      <c r="Y135" s="50">
        <v>0</v>
      </c>
      <c r="Z135" s="49">
        <v>0</v>
      </c>
      <c r="AA135" s="50">
        <v>0</v>
      </c>
      <c r="AB135" s="49">
        <v>2</v>
      </c>
      <c r="AC135" s="50">
        <v>100</v>
      </c>
      <c r="AD135" s="49">
        <v>2</v>
      </c>
    </row>
    <row r="136" spans="1:30" ht="15">
      <c r="A136" s="68" t="s">
        <v>388</v>
      </c>
      <c r="B136" s="68" t="s">
        <v>387</v>
      </c>
      <c r="C136" s="69" t="s">
        <v>1691</v>
      </c>
      <c r="D136" s="70">
        <v>3</v>
      </c>
      <c r="E136" s="71"/>
      <c r="F136" s="72">
        <v>70</v>
      </c>
      <c r="G136" s="69"/>
      <c r="H136" s="73"/>
      <c r="I136" s="74"/>
      <c r="J136" s="74"/>
      <c r="K136" s="35" t="s">
        <v>65</v>
      </c>
      <c r="L136" s="81">
        <v>136</v>
      </c>
      <c r="M136" s="81"/>
      <c r="N136" s="76"/>
      <c r="O136" s="83" t="s">
        <v>520</v>
      </c>
      <c r="P136" s="83">
        <v>1</v>
      </c>
      <c r="Q136" s="83" t="s">
        <v>521</v>
      </c>
      <c r="R136" s="83" t="s">
        <v>613</v>
      </c>
      <c r="S136" s="83">
        <v>16727</v>
      </c>
      <c r="T136" s="82" t="str">
        <f>REPLACE(INDEX(GroupVertices[Group],MATCH(Edges[[#This Row],[Vertex 1]],GroupVertices[Vertex],0)),1,1,"")</f>
        <v>4</v>
      </c>
      <c r="U136" s="82" t="str">
        <f>REPLACE(INDEX(GroupVertices[Group],MATCH(Edges[[#This Row],[Vertex 2]],GroupVertices[Vertex],0)),1,1,"")</f>
        <v>4</v>
      </c>
      <c r="V136" s="49">
        <v>0</v>
      </c>
      <c r="W136" s="50">
        <v>0</v>
      </c>
      <c r="X136" s="49">
        <v>0</v>
      </c>
      <c r="Y136" s="50">
        <v>0</v>
      </c>
      <c r="Z136" s="49">
        <v>0</v>
      </c>
      <c r="AA136" s="50">
        <v>0</v>
      </c>
      <c r="AB136" s="49">
        <v>2</v>
      </c>
      <c r="AC136" s="50">
        <v>100</v>
      </c>
      <c r="AD136" s="49">
        <v>2</v>
      </c>
    </row>
    <row r="137" spans="1:30" ht="15">
      <c r="A137" s="68" t="s">
        <v>389</v>
      </c>
      <c r="B137" s="68" t="s">
        <v>388</v>
      </c>
      <c r="C137" s="69" t="s">
        <v>1691</v>
      </c>
      <c r="D137" s="70">
        <v>3</v>
      </c>
      <c r="E137" s="71"/>
      <c r="F137" s="72">
        <v>70</v>
      </c>
      <c r="G137" s="69"/>
      <c r="H137" s="73"/>
      <c r="I137" s="74"/>
      <c r="J137" s="74"/>
      <c r="K137" s="35" t="s">
        <v>65</v>
      </c>
      <c r="L137" s="81">
        <v>137</v>
      </c>
      <c r="M137" s="81"/>
      <c r="N137" s="76"/>
      <c r="O137" s="83" t="s">
        <v>520</v>
      </c>
      <c r="P137" s="83">
        <v>1</v>
      </c>
      <c r="Q137" s="83" t="s">
        <v>521</v>
      </c>
      <c r="R137" s="83" t="s">
        <v>616</v>
      </c>
      <c r="S137" s="83">
        <v>16706</v>
      </c>
      <c r="T137" s="82" t="str">
        <f>REPLACE(INDEX(GroupVertices[Group],MATCH(Edges[[#This Row],[Vertex 1]],GroupVertices[Vertex],0)),1,1,"")</f>
        <v>4</v>
      </c>
      <c r="U137" s="82" t="str">
        <f>REPLACE(INDEX(GroupVertices[Group],MATCH(Edges[[#This Row],[Vertex 2]],GroupVertices[Vertex],0)),1,1,"")</f>
        <v>4</v>
      </c>
      <c r="V137" s="49">
        <v>0</v>
      </c>
      <c r="W137" s="50">
        <v>0</v>
      </c>
      <c r="X137" s="49">
        <v>2</v>
      </c>
      <c r="Y137" s="50">
        <v>12.5</v>
      </c>
      <c r="Z137" s="49">
        <v>0</v>
      </c>
      <c r="AA137" s="50">
        <v>0</v>
      </c>
      <c r="AB137" s="49">
        <v>14</v>
      </c>
      <c r="AC137" s="50">
        <v>87.5</v>
      </c>
      <c r="AD137" s="49">
        <v>16</v>
      </c>
    </row>
    <row r="138" spans="1:30" ht="15">
      <c r="A138" s="68" t="s">
        <v>390</v>
      </c>
      <c r="B138" s="68" t="s">
        <v>389</v>
      </c>
      <c r="C138" s="69" t="s">
        <v>1691</v>
      </c>
      <c r="D138" s="70">
        <v>3</v>
      </c>
      <c r="E138" s="71"/>
      <c r="F138" s="72">
        <v>70</v>
      </c>
      <c r="G138" s="69"/>
      <c r="H138" s="73"/>
      <c r="I138" s="74"/>
      <c r="J138" s="74"/>
      <c r="K138" s="35" t="s">
        <v>65</v>
      </c>
      <c r="L138" s="81">
        <v>138</v>
      </c>
      <c r="M138" s="81"/>
      <c r="N138" s="76"/>
      <c r="O138" s="83" t="s">
        <v>520</v>
      </c>
      <c r="P138" s="83">
        <v>1</v>
      </c>
      <c r="Q138" s="83" t="s">
        <v>521</v>
      </c>
      <c r="R138" s="83" t="s">
        <v>617</v>
      </c>
      <c r="S138" s="83">
        <v>16964</v>
      </c>
      <c r="T138" s="82" t="str">
        <f>REPLACE(INDEX(GroupVertices[Group],MATCH(Edges[[#This Row],[Vertex 1]],GroupVertices[Vertex],0)),1,1,"")</f>
        <v>4</v>
      </c>
      <c r="U138" s="82" t="str">
        <f>REPLACE(INDEX(GroupVertices[Group],MATCH(Edges[[#This Row],[Vertex 2]],GroupVertices[Vertex],0)),1,1,"")</f>
        <v>4</v>
      </c>
      <c r="V138" s="49">
        <v>0</v>
      </c>
      <c r="W138" s="50">
        <v>0</v>
      </c>
      <c r="X138" s="49">
        <v>0</v>
      </c>
      <c r="Y138" s="50">
        <v>0</v>
      </c>
      <c r="Z138" s="49">
        <v>0</v>
      </c>
      <c r="AA138" s="50">
        <v>0</v>
      </c>
      <c r="AB138" s="49">
        <v>5</v>
      </c>
      <c r="AC138" s="50">
        <v>100</v>
      </c>
      <c r="AD138" s="49">
        <v>5</v>
      </c>
    </row>
    <row r="139" spans="1:30" ht="15">
      <c r="A139" s="68" t="s">
        <v>378</v>
      </c>
      <c r="B139" s="68" t="s">
        <v>390</v>
      </c>
      <c r="C139" s="69" t="s">
        <v>1691</v>
      </c>
      <c r="D139" s="70">
        <v>3</v>
      </c>
      <c r="E139" s="71"/>
      <c r="F139" s="72">
        <v>70</v>
      </c>
      <c r="G139" s="69"/>
      <c r="H139" s="73"/>
      <c r="I139" s="74"/>
      <c r="J139" s="74"/>
      <c r="K139" s="35" t="s">
        <v>65</v>
      </c>
      <c r="L139" s="81">
        <v>139</v>
      </c>
      <c r="M139" s="81"/>
      <c r="N139" s="76"/>
      <c r="O139" s="83" t="s">
        <v>520</v>
      </c>
      <c r="P139" s="83">
        <v>1</v>
      </c>
      <c r="Q139" s="83" t="s">
        <v>521</v>
      </c>
      <c r="R139" s="83" t="s">
        <v>618</v>
      </c>
      <c r="S139" s="83">
        <v>16706</v>
      </c>
      <c r="T139" s="82" t="str">
        <f>REPLACE(INDEX(GroupVertices[Group],MATCH(Edges[[#This Row],[Vertex 1]],GroupVertices[Vertex],0)),1,1,"")</f>
        <v>4</v>
      </c>
      <c r="U139" s="82" t="str">
        <f>REPLACE(INDEX(GroupVertices[Group],MATCH(Edges[[#This Row],[Vertex 2]],GroupVertices[Vertex],0)),1,1,"")</f>
        <v>4</v>
      </c>
      <c r="V139" s="49">
        <v>0</v>
      </c>
      <c r="W139" s="50">
        <v>0</v>
      </c>
      <c r="X139" s="49">
        <v>0</v>
      </c>
      <c r="Y139" s="50">
        <v>0</v>
      </c>
      <c r="Z139" s="49">
        <v>0</v>
      </c>
      <c r="AA139" s="50">
        <v>0</v>
      </c>
      <c r="AB139" s="49">
        <v>26</v>
      </c>
      <c r="AC139" s="50">
        <v>100</v>
      </c>
      <c r="AD139" s="49">
        <v>26</v>
      </c>
    </row>
    <row r="140" spans="1:30" ht="15">
      <c r="A140" s="68" t="s">
        <v>391</v>
      </c>
      <c r="B140" s="68" t="s">
        <v>378</v>
      </c>
      <c r="C140" s="69" t="s">
        <v>1691</v>
      </c>
      <c r="D140" s="70">
        <v>3</v>
      </c>
      <c r="E140" s="71"/>
      <c r="F140" s="72">
        <v>70</v>
      </c>
      <c r="G140" s="69"/>
      <c r="H140" s="73"/>
      <c r="I140" s="74"/>
      <c r="J140" s="74"/>
      <c r="K140" s="35" t="s">
        <v>65</v>
      </c>
      <c r="L140" s="81">
        <v>140</v>
      </c>
      <c r="M140" s="81"/>
      <c r="N140" s="76"/>
      <c r="O140" s="83" t="s">
        <v>520</v>
      </c>
      <c r="P140" s="83">
        <v>1</v>
      </c>
      <c r="Q140" s="83" t="s">
        <v>521</v>
      </c>
      <c r="R140" s="83" t="s">
        <v>619</v>
      </c>
      <c r="S140" s="83">
        <v>17018</v>
      </c>
      <c r="T140" s="82" t="str">
        <f>REPLACE(INDEX(GroupVertices[Group],MATCH(Edges[[#This Row],[Vertex 1]],GroupVertices[Vertex],0)),1,1,"")</f>
        <v>4</v>
      </c>
      <c r="U140" s="82" t="str">
        <f>REPLACE(INDEX(GroupVertices[Group],MATCH(Edges[[#This Row],[Vertex 2]],GroupVertices[Vertex],0)),1,1,"")</f>
        <v>4</v>
      </c>
      <c r="V140" s="49">
        <v>0</v>
      </c>
      <c r="W140" s="50">
        <v>0</v>
      </c>
      <c r="X140" s="49">
        <v>0</v>
      </c>
      <c r="Y140" s="50">
        <v>0</v>
      </c>
      <c r="Z140" s="49">
        <v>0</v>
      </c>
      <c r="AA140" s="50">
        <v>0</v>
      </c>
      <c r="AB140" s="49">
        <v>5</v>
      </c>
      <c r="AC140" s="50">
        <v>100</v>
      </c>
      <c r="AD140" s="49">
        <v>5</v>
      </c>
    </row>
    <row r="141" spans="1:30" ht="15">
      <c r="A141" s="68" t="s">
        <v>388</v>
      </c>
      <c r="B141" s="68" t="s">
        <v>391</v>
      </c>
      <c r="C141" s="69" t="s">
        <v>1691</v>
      </c>
      <c r="D141" s="70">
        <v>3</v>
      </c>
      <c r="E141" s="71"/>
      <c r="F141" s="72">
        <v>70</v>
      </c>
      <c r="G141" s="69"/>
      <c r="H141" s="73"/>
      <c r="I141" s="74"/>
      <c r="J141" s="74"/>
      <c r="K141" s="35" t="s">
        <v>65</v>
      </c>
      <c r="L141" s="81">
        <v>141</v>
      </c>
      <c r="M141" s="81"/>
      <c r="N141" s="76"/>
      <c r="O141" s="83" t="s">
        <v>520</v>
      </c>
      <c r="P141" s="83">
        <v>1</v>
      </c>
      <c r="Q141" s="83" t="s">
        <v>521</v>
      </c>
      <c r="R141" s="83"/>
      <c r="S141" s="83">
        <v>17494</v>
      </c>
      <c r="T141" s="82" t="str">
        <f>REPLACE(INDEX(GroupVertices[Group],MATCH(Edges[[#This Row],[Vertex 1]],GroupVertices[Vertex],0)),1,1,"")</f>
        <v>4</v>
      </c>
      <c r="U141" s="82" t="str">
        <f>REPLACE(INDEX(GroupVertices[Group],MATCH(Edges[[#This Row],[Vertex 2]],GroupVertices[Vertex],0)),1,1,"")</f>
        <v>4</v>
      </c>
      <c r="V141" s="49"/>
      <c r="W141" s="50"/>
      <c r="X141" s="49"/>
      <c r="Y141" s="50"/>
      <c r="Z141" s="49"/>
      <c r="AA141" s="50"/>
      <c r="AB141" s="49"/>
      <c r="AC141" s="50"/>
      <c r="AD141" s="49"/>
    </row>
    <row r="142" spans="1:30" ht="15">
      <c r="A142" s="68" t="s">
        <v>388</v>
      </c>
      <c r="B142" s="68" t="s">
        <v>388</v>
      </c>
      <c r="C142" s="69" t="s">
        <v>1691</v>
      </c>
      <c r="D142" s="70">
        <v>3</v>
      </c>
      <c r="E142" s="71"/>
      <c r="F142" s="72">
        <v>70</v>
      </c>
      <c r="G142" s="69"/>
      <c r="H142" s="73"/>
      <c r="I142" s="74"/>
      <c r="J142" s="74"/>
      <c r="K142" s="35" t="s">
        <v>65</v>
      </c>
      <c r="L142" s="81">
        <v>142</v>
      </c>
      <c r="M142" s="81"/>
      <c r="N142" s="76"/>
      <c r="O142" s="83" t="s">
        <v>520</v>
      </c>
      <c r="P142" s="83">
        <v>1</v>
      </c>
      <c r="Q142" s="83" t="s">
        <v>521</v>
      </c>
      <c r="R142" s="83"/>
      <c r="S142" s="83">
        <v>17521</v>
      </c>
      <c r="T142" s="82" t="str">
        <f>REPLACE(INDEX(GroupVertices[Group],MATCH(Edges[[#This Row],[Vertex 1]],GroupVertices[Vertex],0)),1,1,"")</f>
        <v>4</v>
      </c>
      <c r="U142" s="82" t="str">
        <f>REPLACE(INDEX(GroupVertices[Group],MATCH(Edges[[#This Row],[Vertex 2]],GroupVertices[Vertex],0)),1,1,"")</f>
        <v>4</v>
      </c>
      <c r="V142" s="49"/>
      <c r="W142" s="50"/>
      <c r="X142" s="49"/>
      <c r="Y142" s="50"/>
      <c r="Z142" s="49"/>
      <c r="AA142" s="50"/>
      <c r="AB142" s="49"/>
      <c r="AC142" s="50"/>
      <c r="AD142" s="49"/>
    </row>
    <row r="143" spans="1:30" ht="15">
      <c r="A143" s="68" t="s">
        <v>361</v>
      </c>
      <c r="B143" s="68" t="s">
        <v>388</v>
      </c>
      <c r="C143" s="69" t="s">
        <v>1691</v>
      </c>
      <c r="D143" s="70">
        <v>3</v>
      </c>
      <c r="E143" s="71"/>
      <c r="F143" s="72">
        <v>70</v>
      </c>
      <c r="G143" s="69"/>
      <c r="H143" s="73"/>
      <c r="I143" s="74"/>
      <c r="J143" s="74"/>
      <c r="K143" s="35" t="s">
        <v>65</v>
      </c>
      <c r="L143" s="81">
        <v>143</v>
      </c>
      <c r="M143" s="81"/>
      <c r="N143" s="76"/>
      <c r="O143" s="83" t="s">
        <v>520</v>
      </c>
      <c r="P143" s="83">
        <v>1</v>
      </c>
      <c r="Q143" s="83" t="s">
        <v>521</v>
      </c>
      <c r="R143" s="83" t="s">
        <v>620</v>
      </c>
      <c r="S143" s="83">
        <v>17930</v>
      </c>
      <c r="T143" s="82" t="str">
        <f>REPLACE(INDEX(GroupVertices[Group],MATCH(Edges[[#This Row],[Vertex 1]],GroupVertices[Vertex],0)),1,1,"")</f>
        <v>4</v>
      </c>
      <c r="U143" s="82" t="str">
        <f>REPLACE(INDEX(GroupVertices[Group],MATCH(Edges[[#This Row],[Vertex 2]],GroupVertices[Vertex],0)),1,1,"")</f>
        <v>4</v>
      </c>
      <c r="V143" s="49">
        <v>0</v>
      </c>
      <c r="W143" s="50">
        <v>0</v>
      </c>
      <c r="X143" s="49">
        <v>0</v>
      </c>
      <c r="Y143" s="50">
        <v>0</v>
      </c>
      <c r="Z143" s="49">
        <v>0</v>
      </c>
      <c r="AA143" s="50">
        <v>0</v>
      </c>
      <c r="AB143" s="49">
        <v>3</v>
      </c>
      <c r="AC143" s="50">
        <v>100</v>
      </c>
      <c r="AD143" s="49">
        <v>3</v>
      </c>
    </row>
    <row r="144" spans="1:30" ht="15">
      <c r="A144" s="68" t="s">
        <v>361</v>
      </c>
      <c r="B144" s="68" t="s">
        <v>361</v>
      </c>
      <c r="C144" s="69" t="s">
        <v>1691</v>
      </c>
      <c r="D144" s="70">
        <v>3</v>
      </c>
      <c r="E144" s="71"/>
      <c r="F144" s="72">
        <v>70</v>
      </c>
      <c r="G144" s="69"/>
      <c r="H144" s="73"/>
      <c r="I144" s="74"/>
      <c r="J144" s="74"/>
      <c r="K144" s="35" t="s">
        <v>65</v>
      </c>
      <c r="L144" s="81">
        <v>144</v>
      </c>
      <c r="M144" s="81"/>
      <c r="N144" s="76"/>
      <c r="O144" s="83" t="s">
        <v>520</v>
      </c>
      <c r="P144" s="83">
        <v>1</v>
      </c>
      <c r="Q144" s="83" t="s">
        <v>521</v>
      </c>
      <c r="R144" s="83" t="s">
        <v>621</v>
      </c>
      <c r="S144" s="83">
        <v>18033</v>
      </c>
      <c r="T144" s="82" t="str">
        <f>REPLACE(INDEX(GroupVertices[Group],MATCH(Edges[[#This Row],[Vertex 1]],GroupVertices[Vertex],0)),1,1,"")</f>
        <v>4</v>
      </c>
      <c r="U144" s="82" t="str">
        <f>REPLACE(INDEX(GroupVertices[Group],MATCH(Edges[[#This Row],[Vertex 2]],GroupVertices[Vertex],0)),1,1,"")</f>
        <v>4</v>
      </c>
      <c r="V144" s="49">
        <v>0</v>
      </c>
      <c r="W144" s="50">
        <v>0</v>
      </c>
      <c r="X144" s="49">
        <v>0</v>
      </c>
      <c r="Y144" s="50">
        <v>0</v>
      </c>
      <c r="Z144" s="49">
        <v>0</v>
      </c>
      <c r="AA144" s="50">
        <v>0</v>
      </c>
      <c r="AB144" s="49">
        <v>5</v>
      </c>
      <c r="AC144" s="50">
        <v>100</v>
      </c>
      <c r="AD144" s="49">
        <v>5</v>
      </c>
    </row>
    <row r="145" spans="1:30" ht="15">
      <c r="A145" s="68" t="s">
        <v>392</v>
      </c>
      <c r="B145" s="68" t="s">
        <v>361</v>
      </c>
      <c r="C145" s="69" t="s">
        <v>1691</v>
      </c>
      <c r="D145" s="70">
        <v>3</v>
      </c>
      <c r="E145" s="71"/>
      <c r="F145" s="72">
        <v>70</v>
      </c>
      <c r="G145" s="69"/>
      <c r="H145" s="73"/>
      <c r="I145" s="74"/>
      <c r="J145" s="74"/>
      <c r="K145" s="35" t="s">
        <v>65</v>
      </c>
      <c r="L145" s="81">
        <v>145</v>
      </c>
      <c r="M145" s="81"/>
      <c r="N145" s="76"/>
      <c r="O145" s="83" t="s">
        <v>520</v>
      </c>
      <c r="P145" s="83">
        <v>1</v>
      </c>
      <c r="Q145" s="83" t="s">
        <v>521</v>
      </c>
      <c r="R145" s="83"/>
      <c r="S145" s="83">
        <v>18193</v>
      </c>
      <c r="T145" s="82" t="str">
        <f>REPLACE(INDEX(GroupVertices[Group],MATCH(Edges[[#This Row],[Vertex 1]],GroupVertices[Vertex],0)),1,1,"")</f>
        <v>4</v>
      </c>
      <c r="U145" s="82" t="str">
        <f>REPLACE(INDEX(GroupVertices[Group],MATCH(Edges[[#This Row],[Vertex 2]],GroupVertices[Vertex],0)),1,1,"")</f>
        <v>4</v>
      </c>
      <c r="V145" s="49"/>
      <c r="W145" s="50"/>
      <c r="X145" s="49"/>
      <c r="Y145" s="50"/>
      <c r="Z145" s="49"/>
      <c r="AA145" s="50"/>
      <c r="AB145" s="49"/>
      <c r="AC145" s="50"/>
      <c r="AD145" s="49"/>
    </row>
    <row r="146" spans="1:30" ht="15">
      <c r="A146" s="68" t="s">
        <v>393</v>
      </c>
      <c r="B146" s="68" t="s">
        <v>392</v>
      </c>
      <c r="C146" s="69" t="s">
        <v>1691</v>
      </c>
      <c r="D146" s="70">
        <v>3</v>
      </c>
      <c r="E146" s="71"/>
      <c r="F146" s="72">
        <v>70</v>
      </c>
      <c r="G146" s="69"/>
      <c r="H146" s="73"/>
      <c r="I146" s="74"/>
      <c r="J146" s="74"/>
      <c r="K146" s="35" t="s">
        <v>65</v>
      </c>
      <c r="L146" s="81">
        <v>146</v>
      </c>
      <c r="M146" s="81"/>
      <c r="N146" s="76"/>
      <c r="O146" s="83" t="s">
        <v>520</v>
      </c>
      <c r="P146" s="83">
        <v>1</v>
      </c>
      <c r="Q146" s="83" t="s">
        <v>521</v>
      </c>
      <c r="R146" s="83"/>
      <c r="S146" s="83">
        <v>18248</v>
      </c>
      <c r="T146" s="82" t="str">
        <f>REPLACE(INDEX(GroupVertices[Group],MATCH(Edges[[#This Row],[Vertex 1]],GroupVertices[Vertex],0)),1,1,"")</f>
        <v>4</v>
      </c>
      <c r="U146" s="82" t="str">
        <f>REPLACE(INDEX(GroupVertices[Group],MATCH(Edges[[#This Row],[Vertex 2]],GroupVertices[Vertex],0)),1,1,"")</f>
        <v>4</v>
      </c>
      <c r="V146" s="49"/>
      <c r="W146" s="50"/>
      <c r="X146" s="49"/>
      <c r="Y146" s="50"/>
      <c r="Z146" s="49"/>
      <c r="AA146" s="50"/>
      <c r="AB146" s="49"/>
      <c r="AC146" s="50"/>
      <c r="AD146" s="49"/>
    </row>
    <row r="147" spans="1:30" ht="15">
      <c r="A147" s="68" t="s">
        <v>393</v>
      </c>
      <c r="B147" s="68" t="s">
        <v>393</v>
      </c>
      <c r="C147" s="69" t="s">
        <v>1692</v>
      </c>
      <c r="D147" s="70">
        <v>10</v>
      </c>
      <c r="E147" s="71"/>
      <c r="F147" s="72">
        <v>40</v>
      </c>
      <c r="G147" s="69"/>
      <c r="H147" s="73"/>
      <c r="I147" s="74"/>
      <c r="J147" s="74"/>
      <c r="K147" s="35" t="s">
        <v>65</v>
      </c>
      <c r="L147" s="81">
        <v>147</v>
      </c>
      <c r="M147" s="81"/>
      <c r="N147" s="76"/>
      <c r="O147" s="83" t="s">
        <v>520</v>
      </c>
      <c r="P147" s="83">
        <v>2</v>
      </c>
      <c r="Q147" s="83" t="s">
        <v>521</v>
      </c>
      <c r="R147" s="83"/>
      <c r="S147" s="83">
        <v>18221</v>
      </c>
      <c r="T147" s="82" t="str">
        <f>REPLACE(INDEX(GroupVertices[Group],MATCH(Edges[[#This Row],[Vertex 1]],GroupVertices[Vertex],0)),1,1,"")</f>
        <v>4</v>
      </c>
      <c r="U147" s="82" t="str">
        <f>REPLACE(INDEX(GroupVertices[Group],MATCH(Edges[[#This Row],[Vertex 2]],GroupVertices[Vertex],0)),1,1,"")</f>
        <v>4</v>
      </c>
      <c r="V147" s="49"/>
      <c r="W147" s="50"/>
      <c r="X147" s="49"/>
      <c r="Y147" s="50"/>
      <c r="Z147" s="49"/>
      <c r="AA147" s="50"/>
      <c r="AB147" s="49"/>
      <c r="AC147" s="50"/>
      <c r="AD147" s="49"/>
    </row>
    <row r="148" spans="1:30" ht="15">
      <c r="A148" s="68" t="s">
        <v>378</v>
      </c>
      <c r="B148" s="68" t="s">
        <v>393</v>
      </c>
      <c r="C148" s="69" t="s">
        <v>1691</v>
      </c>
      <c r="D148" s="70">
        <v>3</v>
      </c>
      <c r="E148" s="71"/>
      <c r="F148" s="72">
        <v>70</v>
      </c>
      <c r="G148" s="69"/>
      <c r="H148" s="73"/>
      <c r="I148" s="74"/>
      <c r="J148" s="74"/>
      <c r="K148" s="35" t="s">
        <v>65</v>
      </c>
      <c r="L148" s="81">
        <v>148</v>
      </c>
      <c r="M148" s="81"/>
      <c r="N148" s="76"/>
      <c r="O148" s="83" t="s">
        <v>520</v>
      </c>
      <c r="P148" s="83">
        <v>1</v>
      </c>
      <c r="Q148" s="83" t="s">
        <v>521</v>
      </c>
      <c r="R148" s="83" t="s">
        <v>622</v>
      </c>
      <c r="S148" s="83">
        <v>18193</v>
      </c>
      <c r="T148" s="82" t="str">
        <f>REPLACE(INDEX(GroupVertices[Group],MATCH(Edges[[#This Row],[Vertex 1]],GroupVertices[Vertex],0)),1,1,"")</f>
        <v>4</v>
      </c>
      <c r="U148" s="82" t="str">
        <f>REPLACE(INDEX(GroupVertices[Group],MATCH(Edges[[#This Row],[Vertex 2]],GroupVertices[Vertex],0)),1,1,"")</f>
        <v>4</v>
      </c>
      <c r="V148" s="49">
        <v>0</v>
      </c>
      <c r="W148" s="50">
        <v>0</v>
      </c>
      <c r="X148" s="49">
        <v>0</v>
      </c>
      <c r="Y148" s="50">
        <v>0</v>
      </c>
      <c r="Z148" s="49">
        <v>0</v>
      </c>
      <c r="AA148" s="50">
        <v>0</v>
      </c>
      <c r="AB148" s="49">
        <v>24</v>
      </c>
      <c r="AC148" s="50">
        <v>100</v>
      </c>
      <c r="AD148" s="49">
        <v>24</v>
      </c>
    </row>
    <row r="149" spans="1:30" ht="15">
      <c r="A149" s="68" t="s">
        <v>394</v>
      </c>
      <c r="B149" s="68" t="s">
        <v>378</v>
      </c>
      <c r="C149" s="69" t="s">
        <v>1691</v>
      </c>
      <c r="D149" s="70">
        <v>3</v>
      </c>
      <c r="E149" s="71"/>
      <c r="F149" s="72">
        <v>70</v>
      </c>
      <c r="G149" s="69"/>
      <c r="H149" s="73"/>
      <c r="I149" s="74"/>
      <c r="J149" s="74"/>
      <c r="K149" s="35" t="s">
        <v>65</v>
      </c>
      <c r="L149" s="81">
        <v>149</v>
      </c>
      <c r="M149" s="81"/>
      <c r="N149" s="76"/>
      <c r="O149" s="83" t="s">
        <v>520</v>
      </c>
      <c r="P149" s="83">
        <v>1</v>
      </c>
      <c r="Q149" s="83" t="s">
        <v>521</v>
      </c>
      <c r="R149" s="83" t="s">
        <v>623</v>
      </c>
      <c r="S149" s="83">
        <v>18603</v>
      </c>
      <c r="T149" s="82" t="str">
        <f>REPLACE(INDEX(GroupVertices[Group],MATCH(Edges[[#This Row],[Vertex 1]],GroupVertices[Vertex],0)),1,1,"")</f>
        <v>4</v>
      </c>
      <c r="U149" s="82" t="str">
        <f>REPLACE(INDEX(GroupVertices[Group],MATCH(Edges[[#This Row],[Vertex 2]],GroupVertices[Vertex],0)),1,1,"")</f>
        <v>4</v>
      </c>
      <c r="V149" s="49">
        <v>0</v>
      </c>
      <c r="W149" s="50">
        <v>0</v>
      </c>
      <c r="X149" s="49">
        <v>0</v>
      </c>
      <c r="Y149" s="50">
        <v>0</v>
      </c>
      <c r="Z149" s="49">
        <v>0</v>
      </c>
      <c r="AA149" s="50">
        <v>0</v>
      </c>
      <c r="AB149" s="49">
        <v>8</v>
      </c>
      <c r="AC149" s="50">
        <v>100</v>
      </c>
      <c r="AD149" s="49">
        <v>8</v>
      </c>
    </row>
    <row r="150" spans="1:30" ht="15">
      <c r="A150" s="68" t="s">
        <v>394</v>
      </c>
      <c r="B150" s="68" t="s">
        <v>394</v>
      </c>
      <c r="C150" s="69" t="s">
        <v>1692</v>
      </c>
      <c r="D150" s="70">
        <v>10</v>
      </c>
      <c r="E150" s="71"/>
      <c r="F150" s="72">
        <v>40</v>
      </c>
      <c r="G150" s="69"/>
      <c r="H150" s="73"/>
      <c r="I150" s="74"/>
      <c r="J150" s="74"/>
      <c r="K150" s="35" t="s">
        <v>65</v>
      </c>
      <c r="L150" s="81">
        <v>150</v>
      </c>
      <c r="M150" s="81"/>
      <c r="N150" s="76"/>
      <c r="O150" s="83" t="s">
        <v>520</v>
      </c>
      <c r="P150" s="83">
        <v>2</v>
      </c>
      <c r="Q150" s="83" t="s">
        <v>521</v>
      </c>
      <c r="R150" s="83" t="s">
        <v>624</v>
      </c>
      <c r="S150" s="83">
        <v>18603</v>
      </c>
      <c r="T150" s="82" t="str">
        <f>REPLACE(INDEX(GroupVertices[Group],MATCH(Edges[[#This Row],[Vertex 1]],GroupVertices[Vertex],0)),1,1,"")</f>
        <v>4</v>
      </c>
      <c r="U150" s="82" t="str">
        <f>REPLACE(INDEX(GroupVertices[Group],MATCH(Edges[[#This Row],[Vertex 2]],GroupVertices[Vertex],0)),1,1,"")</f>
        <v>4</v>
      </c>
      <c r="V150" s="49">
        <v>0</v>
      </c>
      <c r="W150" s="50">
        <v>0</v>
      </c>
      <c r="X150" s="49">
        <v>0</v>
      </c>
      <c r="Y150" s="50">
        <v>0</v>
      </c>
      <c r="Z150" s="49">
        <v>0</v>
      </c>
      <c r="AA150" s="50">
        <v>0</v>
      </c>
      <c r="AB150" s="49">
        <v>6</v>
      </c>
      <c r="AC150" s="50">
        <v>100</v>
      </c>
      <c r="AD150" s="49">
        <v>6</v>
      </c>
    </row>
    <row r="151" spans="1:30" ht="15">
      <c r="A151" s="68" t="s">
        <v>395</v>
      </c>
      <c r="B151" s="68" t="s">
        <v>394</v>
      </c>
      <c r="C151" s="69" t="s">
        <v>1691</v>
      </c>
      <c r="D151" s="70">
        <v>3</v>
      </c>
      <c r="E151" s="71"/>
      <c r="F151" s="72">
        <v>70</v>
      </c>
      <c r="G151" s="69"/>
      <c r="H151" s="73"/>
      <c r="I151" s="74"/>
      <c r="J151" s="74"/>
      <c r="K151" s="35" t="s">
        <v>65</v>
      </c>
      <c r="L151" s="81">
        <v>151</v>
      </c>
      <c r="M151" s="81"/>
      <c r="N151" s="76"/>
      <c r="O151" s="83" t="s">
        <v>520</v>
      </c>
      <c r="P151" s="83">
        <v>1</v>
      </c>
      <c r="Q151" s="83" t="s">
        <v>521</v>
      </c>
      <c r="R151" s="83"/>
      <c r="S151" s="83">
        <v>18614</v>
      </c>
      <c r="T151" s="82" t="str">
        <f>REPLACE(INDEX(GroupVertices[Group],MATCH(Edges[[#This Row],[Vertex 1]],GroupVertices[Vertex],0)),1,1,"")</f>
        <v>4</v>
      </c>
      <c r="U151" s="82" t="str">
        <f>REPLACE(INDEX(GroupVertices[Group],MATCH(Edges[[#This Row],[Vertex 2]],GroupVertices[Vertex],0)),1,1,"")</f>
        <v>4</v>
      </c>
      <c r="V151" s="49"/>
      <c r="W151" s="50"/>
      <c r="X151" s="49"/>
      <c r="Y151" s="50"/>
      <c r="Z151" s="49"/>
      <c r="AA151" s="50"/>
      <c r="AB151" s="49"/>
      <c r="AC151" s="50"/>
      <c r="AD151" s="49"/>
    </row>
    <row r="152" spans="1:30" ht="15">
      <c r="A152" s="68" t="s">
        <v>396</v>
      </c>
      <c r="B152" s="68" t="s">
        <v>395</v>
      </c>
      <c r="C152" s="69" t="s">
        <v>1691</v>
      </c>
      <c r="D152" s="70">
        <v>3</v>
      </c>
      <c r="E152" s="71"/>
      <c r="F152" s="72">
        <v>70</v>
      </c>
      <c r="G152" s="69"/>
      <c r="H152" s="73"/>
      <c r="I152" s="74"/>
      <c r="J152" s="74"/>
      <c r="K152" s="35" t="s">
        <v>65</v>
      </c>
      <c r="L152" s="81">
        <v>152</v>
      </c>
      <c r="M152" s="81"/>
      <c r="N152" s="76"/>
      <c r="O152" s="83" t="s">
        <v>520</v>
      </c>
      <c r="P152" s="83">
        <v>1</v>
      </c>
      <c r="Q152" s="83" t="s">
        <v>521</v>
      </c>
      <c r="R152" s="83" t="s">
        <v>625</v>
      </c>
      <c r="S152" s="83">
        <v>18603</v>
      </c>
      <c r="T152" s="82" t="str">
        <f>REPLACE(INDEX(GroupVertices[Group],MATCH(Edges[[#This Row],[Vertex 1]],GroupVertices[Vertex],0)),1,1,"")</f>
        <v>4</v>
      </c>
      <c r="U152" s="82" t="str">
        <f>REPLACE(INDEX(GroupVertices[Group],MATCH(Edges[[#This Row],[Vertex 2]],GroupVertices[Vertex],0)),1,1,"")</f>
        <v>4</v>
      </c>
      <c r="V152" s="49">
        <v>0</v>
      </c>
      <c r="W152" s="50">
        <v>0</v>
      </c>
      <c r="X152" s="49">
        <v>1</v>
      </c>
      <c r="Y152" s="50">
        <v>5.2631578947368425</v>
      </c>
      <c r="Z152" s="49">
        <v>0</v>
      </c>
      <c r="AA152" s="50">
        <v>0</v>
      </c>
      <c r="AB152" s="49">
        <v>18</v>
      </c>
      <c r="AC152" s="50">
        <v>94.73684210526316</v>
      </c>
      <c r="AD152" s="49">
        <v>19</v>
      </c>
    </row>
    <row r="153" spans="1:30" ht="15">
      <c r="A153" s="68" t="s">
        <v>397</v>
      </c>
      <c r="B153" s="68" t="s">
        <v>396</v>
      </c>
      <c r="C153" s="69" t="s">
        <v>1691</v>
      </c>
      <c r="D153" s="70">
        <v>3</v>
      </c>
      <c r="E153" s="71"/>
      <c r="F153" s="72">
        <v>70</v>
      </c>
      <c r="G153" s="69"/>
      <c r="H153" s="73"/>
      <c r="I153" s="74"/>
      <c r="J153" s="74"/>
      <c r="K153" s="35" t="s">
        <v>65</v>
      </c>
      <c r="L153" s="81">
        <v>153</v>
      </c>
      <c r="M153" s="81"/>
      <c r="N153" s="76"/>
      <c r="O153" s="83" t="s">
        <v>520</v>
      </c>
      <c r="P153" s="83">
        <v>1</v>
      </c>
      <c r="Q153" s="83" t="s">
        <v>521</v>
      </c>
      <c r="R153" s="83" t="s">
        <v>606</v>
      </c>
      <c r="S153" s="83">
        <v>17155</v>
      </c>
      <c r="T153" s="82" t="str">
        <f>REPLACE(INDEX(GroupVertices[Group],MATCH(Edges[[#This Row],[Vertex 1]],GroupVertices[Vertex],0)),1,1,"")</f>
        <v>4</v>
      </c>
      <c r="U153" s="82" t="str">
        <f>REPLACE(INDEX(GroupVertices[Group],MATCH(Edges[[#This Row],[Vertex 2]],GroupVertices[Vertex],0)),1,1,"")</f>
        <v>4</v>
      </c>
      <c r="V153" s="49">
        <v>0</v>
      </c>
      <c r="W153" s="50">
        <v>0</v>
      </c>
      <c r="X153" s="49">
        <v>1</v>
      </c>
      <c r="Y153" s="50">
        <v>16.666666666666668</v>
      </c>
      <c r="Z153" s="49">
        <v>0</v>
      </c>
      <c r="AA153" s="50">
        <v>0</v>
      </c>
      <c r="AB153" s="49">
        <v>5</v>
      </c>
      <c r="AC153" s="50">
        <v>83.33333333333333</v>
      </c>
      <c r="AD153" s="49">
        <v>6</v>
      </c>
    </row>
    <row r="154" spans="1:30" ht="15">
      <c r="A154" s="68" t="s">
        <v>378</v>
      </c>
      <c r="B154" s="68" t="s">
        <v>397</v>
      </c>
      <c r="C154" s="69" t="s">
        <v>1691</v>
      </c>
      <c r="D154" s="70">
        <v>3</v>
      </c>
      <c r="E154" s="71"/>
      <c r="F154" s="72">
        <v>70</v>
      </c>
      <c r="G154" s="69"/>
      <c r="H154" s="73"/>
      <c r="I154" s="74"/>
      <c r="J154" s="74"/>
      <c r="K154" s="35" t="s">
        <v>65</v>
      </c>
      <c r="L154" s="81">
        <v>154</v>
      </c>
      <c r="M154" s="81"/>
      <c r="N154" s="76"/>
      <c r="O154" s="83" t="s">
        <v>520</v>
      </c>
      <c r="P154" s="83">
        <v>1</v>
      </c>
      <c r="Q154" s="83" t="s">
        <v>521</v>
      </c>
      <c r="R154" s="83" t="s">
        <v>626</v>
      </c>
      <c r="S154" s="83">
        <v>18603</v>
      </c>
      <c r="T154" s="82" t="str">
        <f>REPLACE(INDEX(GroupVertices[Group],MATCH(Edges[[#This Row],[Vertex 1]],GroupVertices[Vertex],0)),1,1,"")</f>
        <v>4</v>
      </c>
      <c r="U154" s="82" t="str">
        <f>REPLACE(INDEX(GroupVertices[Group],MATCH(Edges[[#This Row],[Vertex 2]],GroupVertices[Vertex],0)),1,1,"")</f>
        <v>4</v>
      </c>
      <c r="V154" s="49">
        <v>0</v>
      </c>
      <c r="W154" s="50">
        <v>0</v>
      </c>
      <c r="X154" s="49">
        <v>0</v>
      </c>
      <c r="Y154" s="50">
        <v>0</v>
      </c>
      <c r="Z154" s="49">
        <v>0</v>
      </c>
      <c r="AA154" s="50">
        <v>0</v>
      </c>
      <c r="AB154" s="49">
        <v>29</v>
      </c>
      <c r="AC154" s="50">
        <v>100</v>
      </c>
      <c r="AD154" s="49">
        <v>29</v>
      </c>
    </row>
    <row r="155" spans="1:30" ht="15">
      <c r="A155" s="68" t="s">
        <v>398</v>
      </c>
      <c r="B155" s="68" t="s">
        <v>406</v>
      </c>
      <c r="C155" s="69" t="s">
        <v>1691</v>
      </c>
      <c r="D155" s="70">
        <v>3</v>
      </c>
      <c r="E155" s="71"/>
      <c r="F155" s="72">
        <v>70</v>
      </c>
      <c r="G155" s="69"/>
      <c r="H155" s="73"/>
      <c r="I155" s="74"/>
      <c r="J155" s="74"/>
      <c r="K155" s="35" t="s">
        <v>65</v>
      </c>
      <c r="L155" s="81">
        <v>155</v>
      </c>
      <c r="M155" s="81"/>
      <c r="N155" s="76"/>
      <c r="O155" s="83" t="s">
        <v>520</v>
      </c>
      <c r="P155" s="83">
        <v>1</v>
      </c>
      <c r="Q155" s="83" t="s">
        <v>521</v>
      </c>
      <c r="R155" s="83"/>
      <c r="S155" s="83">
        <v>20642</v>
      </c>
      <c r="T155" s="82" t="str">
        <f>REPLACE(INDEX(GroupVertices[Group],MATCH(Edges[[#This Row],[Vertex 1]],GroupVertices[Vertex],0)),1,1,"")</f>
        <v>1</v>
      </c>
      <c r="U155" s="82" t="str">
        <f>REPLACE(INDEX(GroupVertices[Group],MATCH(Edges[[#This Row],[Vertex 2]],GroupVertices[Vertex],0)),1,1,"")</f>
        <v>1</v>
      </c>
      <c r="V155" s="49"/>
      <c r="W155" s="50"/>
      <c r="X155" s="49"/>
      <c r="Y155" s="50"/>
      <c r="Z155" s="49"/>
      <c r="AA155" s="50"/>
      <c r="AB155" s="49"/>
      <c r="AC155" s="50"/>
      <c r="AD155" s="49"/>
    </row>
    <row r="156" spans="1:30" ht="15">
      <c r="A156" s="68" t="s">
        <v>328</v>
      </c>
      <c r="B156" s="68" t="s">
        <v>398</v>
      </c>
      <c r="C156" s="69" t="s">
        <v>1691</v>
      </c>
      <c r="D156" s="70">
        <v>3</v>
      </c>
      <c r="E156" s="71"/>
      <c r="F156" s="72">
        <v>70</v>
      </c>
      <c r="G156" s="69"/>
      <c r="H156" s="73"/>
      <c r="I156" s="74"/>
      <c r="J156" s="74"/>
      <c r="K156" s="35" t="s">
        <v>65</v>
      </c>
      <c r="L156" s="81">
        <v>156</v>
      </c>
      <c r="M156" s="81"/>
      <c r="N156" s="76"/>
      <c r="O156" s="83" t="s">
        <v>520</v>
      </c>
      <c r="P156" s="83">
        <v>1</v>
      </c>
      <c r="Q156" s="83" t="s">
        <v>521</v>
      </c>
      <c r="R156" s="83" t="s">
        <v>627</v>
      </c>
      <c r="S156" s="83">
        <v>20944</v>
      </c>
      <c r="T156" s="82" t="str">
        <f>REPLACE(INDEX(GroupVertices[Group],MATCH(Edges[[#This Row],[Vertex 1]],GroupVertices[Vertex],0)),1,1,"")</f>
        <v>1</v>
      </c>
      <c r="U156" s="82" t="str">
        <f>REPLACE(INDEX(GroupVertices[Group],MATCH(Edges[[#This Row],[Vertex 2]],GroupVertices[Vertex],0)),1,1,"")</f>
        <v>1</v>
      </c>
      <c r="V156" s="49">
        <v>0</v>
      </c>
      <c r="W156" s="50">
        <v>0</v>
      </c>
      <c r="X156" s="49">
        <v>0</v>
      </c>
      <c r="Y156" s="50">
        <v>0</v>
      </c>
      <c r="Z156" s="49">
        <v>0</v>
      </c>
      <c r="AA156" s="50">
        <v>0</v>
      </c>
      <c r="AB156" s="49">
        <v>13</v>
      </c>
      <c r="AC156" s="50">
        <v>100</v>
      </c>
      <c r="AD156" s="49">
        <v>13</v>
      </c>
    </row>
    <row r="157" spans="1:30" ht="15">
      <c r="A157" s="68" t="s">
        <v>399</v>
      </c>
      <c r="B157" s="68" t="s">
        <v>328</v>
      </c>
      <c r="C157" s="69" t="s">
        <v>1691</v>
      </c>
      <c r="D157" s="70">
        <v>3</v>
      </c>
      <c r="E157" s="71"/>
      <c r="F157" s="72">
        <v>70</v>
      </c>
      <c r="G157" s="69"/>
      <c r="H157" s="73"/>
      <c r="I157" s="74"/>
      <c r="J157" s="74"/>
      <c r="K157" s="35" t="s">
        <v>65</v>
      </c>
      <c r="L157" s="81">
        <v>157</v>
      </c>
      <c r="M157" s="81"/>
      <c r="N157" s="76"/>
      <c r="O157" s="83" t="s">
        <v>520</v>
      </c>
      <c r="P157" s="83">
        <v>1</v>
      </c>
      <c r="Q157" s="83" t="s">
        <v>521</v>
      </c>
      <c r="R157" s="83" t="s">
        <v>628</v>
      </c>
      <c r="S157" s="83">
        <v>20999</v>
      </c>
      <c r="T157" s="82" t="str">
        <f>REPLACE(INDEX(GroupVertices[Group],MATCH(Edges[[#This Row],[Vertex 1]],GroupVertices[Vertex],0)),1,1,"")</f>
        <v>1</v>
      </c>
      <c r="U157" s="82" t="str">
        <f>REPLACE(INDEX(GroupVertices[Group],MATCH(Edges[[#This Row],[Vertex 2]],GroupVertices[Vertex],0)),1,1,"")</f>
        <v>1</v>
      </c>
      <c r="V157" s="49">
        <v>0</v>
      </c>
      <c r="W157" s="50">
        <v>0</v>
      </c>
      <c r="X157" s="49">
        <v>0</v>
      </c>
      <c r="Y157" s="50">
        <v>0</v>
      </c>
      <c r="Z157" s="49">
        <v>0</v>
      </c>
      <c r="AA157" s="50">
        <v>0</v>
      </c>
      <c r="AB157" s="49">
        <v>6</v>
      </c>
      <c r="AC157" s="50">
        <v>100</v>
      </c>
      <c r="AD157" s="49">
        <v>6</v>
      </c>
    </row>
    <row r="158" spans="1:30" ht="15">
      <c r="A158" s="68" t="s">
        <v>400</v>
      </c>
      <c r="B158" s="68" t="s">
        <v>399</v>
      </c>
      <c r="C158" s="69" t="s">
        <v>1691</v>
      </c>
      <c r="D158" s="70">
        <v>3</v>
      </c>
      <c r="E158" s="71"/>
      <c r="F158" s="72">
        <v>70</v>
      </c>
      <c r="G158" s="69"/>
      <c r="H158" s="73"/>
      <c r="I158" s="74"/>
      <c r="J158" s="74"/>
      <c r="K158" s="35" t="s">
        <v>65</v>
      </c>
      <c r="L158" s="81">
        <v>158</v>
      </c>
      <c r="M158" s="81"/>
      <c r="N158" s="76"/>
      <c r="O158" s="83" t="s">
        <v>520</v>
      </c>
      <c r="P158" s="83">
        <v>1</v>
      </c>
      <c r="Q158" s="83" t="s">
        <v>521</v>
      </c>
      <c r="R158" s="83" t="s">
        <v>629</v>
      </c>
      <c r="S158" s="83">
        <v>21691</v>
      </c>
      <c r="T158" s="82" t="str">
        <f>REPLACE(INDEX(GroupVertices[Group],MATCH(Edges[[#This Row],[Vertex 1]],GroupVertices[Vertex],0)),1,1,"")</f>
        <v>1</v>
      </c>
      <c r="U158" s="82" t="str">
        <f>REPLACE(INDEX(GroupVertices[Group],MATCH(Edges[[#This Row],[Vertex 2]],GroupVertices[Vertex],0)),1,1,"")</f>
        <v>1</v>
      </c>
      <c r="V158" s="49">
        <v>0</v>
      </c>
      <c r="W158" s="50">
        <v>0</v>
      </c>
      <c r="X158" s="49">
        <v>0</v>
      </c>
      <c r="Y158" s="50">
        <v>0</v>
      </c>
      <c r="Z158" s="49">
        <v>0</v>
      </c>
      <c r="AA158" s="50">
        <v>0</v>
      </c>
      <c r="AB158" s="49">
        <v>12</v>
      </c>
      <c r="AC158" s="50">
        <v>100</v>
      </c>
      <c r="AD158" s="49">
        <v>12</v>
      </c>
    </row>
    <row r="159" spans="1:30" ht="15">
      <c r="A159" s="68" t="s">
        <v>400</v>
      </c>
      <c r="B159" s="68" t="s">
        <v>400</v>
      </c>
      <c r="C159" s="69" t="s">
        <v>1692</v>
      </c>
      <c r="D159" s="70">
        <v>10</v>
      </c>
      <c r="E159" s="71"/>
      <c r="F159" s="72">
        <v>40</v>
      </c>
      <c r="G159" s="69"/>
      <c r="H159" s="73"/>
      <c r="I159" s="74"/>
      <c r="J159" s="74"/>
      <c r="K159" s="35" t="s">
        <v>65</v>
      </c>
      <c r="L159" s="81">
        <v>159</v>
      </c>
      <c r="M159" s="81"/>
      <c r="N159" s="76"/>
      <c r="O159" s="83" t="s">
        <v>520</v>
      </c>
      <c r="P159" s="83">
        <v>2</v>
      </c>
      <c r="Q159" s="83" t="s">
        <v>521</v>
      </c>
      <c r="R159" s="83" t="s">
        <v>630</v>
      </c>
      <c r="S159" s="83">
        <v>22216</v>
      </c>
      <c r="T159" s="82" t="str">
        <f>REPLACE(INDEX(GroupVertices[Group],MATCH(Edges[[#This Row],[Vertex 1]],GroupVertices[Vertex],0)),1,1,"")</f>
        <v>1</v>
      </c>
      <c r="U159" s="82" t="str">
        <f>REPLACE(INDEX(GroupVertices[Group],MATCH(Edges[[#This Row],[Vertex 2]],GroupVertices[Vertex],0)),1,1,"")</f>
        <v>1</v>
      </c>
      <c r="V159" s="49">
        <v>0</v>
      </c>
      <c r="W159" s="50">
        <v>0</v>
      </c>
      <c r="X159" s="49">
        <v>0</v>
      </c>
      <c r="Y159" s="50">
        <v>0</v>
      </c>
      <c r="Z159" s="49">
        <v>0</v>
      </c>
      <c r="AA159" s="50">
        <v>0</v>
      </c>
      <c r="AB159" s="49">
        <v>4</v>
      </c>
      <c r="AC159" s="50">
        <v>100</v>
      </c>
      <c r="AD159" s="49">
        <v>4</v>
      </c>
    </row>
    <row r="160" spans="1:30" ht="15">
      <c r="A160" s="68" t="s">
        <v>401</v>
      </c>
      <c r="B160" s="68" t="s">
        <v>400</v>
      </c>
      <c r="C160" s="69" t="s">
        <v>1691</v>
      </c>
      <c r="D160" s="70">
        <v>3</v>
      </c>
      <c r="E160" s="71"/>
      <c r="F160" s="72">
        <v>70</v>
      </c>
      <c r="G160" s="69"/>
      <c r="H160" s="73"/>
      <c r="I160" s="74"/>
      <c r="J160" s="74"/>
      <c r="K160" s="35" t="s">
        <v>65</v>
      </c>
      <c r="L160" s="81">
        <v>160</v>
      </c>
      <c r="M160" s="81"/>
      <c r="N160" s="76"/>
      <c r="O160" s="83" t="s">
        <v>520</v>
      </c>
      <c r="P160" s="83">
        <v>1</v>
      </c>
      <c r="Q160" s="83" t="s">
        <v>521</v>
      </c>
      <c r="R160" s="83" t="s">
        <v>610</v>
      </c>
      <c r="S160" s="83">
        <v>22773</v>
      </c>
      <c r="T160" s="82" t="str">
        <f>REPLACE(INDEX(GroupVertices[Group],MATCH(Edges[[#This Row],[Vertex 1]],GroupVertices[Vertex],0)),1,1,"")</f>
        <v>1</v>
      </c>
      <c r="U160" s="82" t="str">
        <f>REPLACE(INDEX(GroupVertices[Group],MATCH(Edges[[#This Row],[Vertex 2]],GroupVertices[Vertex],0)),1,1,"")</f>
        <v>1</v>
      </c>
      <c r="V160" s="49">
        <v>0</v>
      </c>
      <c r="W160" s="50">
        <v>0</v>
      </c>
      <c r="X160" s="49">
        <v>0</v>
      </c>
      <c r="Y160" s="50">
        <v>0</v>
      </c>
      <c r="Z160" s="49">
        <v>0</v>
      </c>
      <c r="AA160" s="50">
        <v>0</v>
      </c>
      <c r="AB160" s="49">
        <v>4</v>
      </c>
      <c r="AC160" s="50">
        <v>100</v>
      </c>
      <c r="AD160" s="49">
        <v>4</v>
      </c>
    </row>
    <row r="161" spans="1:30" ht="15">
      <c r="A161" s="68" t="s">
        <v>402</v>
      </c>
      <c r="B161" s="68" t="s">
        <v>401</v>
      </c>
      <c r="C161" s="69" t="s">
        <v>1691</v>
      </c>
      <c r="D161" s="70">
        <v>3</v>
      </c>
      <c r="E161" s="71"/>
      <c r="F161" s="72">
        <v>70</v>
      </c>
      <c r="G161" s="69"/>
      <c r="H161" s="73"/>
      <c r="I161" s="74"/>
      <c r="J161" s="74"/>
      <c r="K161" s="35" t="s">
        <v>65</v>
      </c>
      <c r="L161" s="81">
        <v>161</v>
      </c>
      <c r="M161" s="81"/>
      <c r="N161" s="76"/>
      <c r="O161" s="83" t="s">
        <v>520</v>
      </c>
      <c r="P161" s="83">
        <v>1</v>
      </c>
      <c r="Q161" s="83" t="s">
        <v>521</v>
      </c>
      <c r="R161" s="83" t="s">
        <v>631</v>
      </c>
      <c r="S161" s="83">
        <v>22921</v>
      </c>
      <c r="T161" s="82" t="str">
        <f>REPLACE(INDEX(GroupVertices[Group],MATCH(Edges[[#This Row],[Vertex 1]],GroupVertices[Vertex],0)),1,1,"")</f>
        <v>1</v>
      </c>
      <c r="U161" s="82" t="str">
        <f>REPLACE(INDEX(GroupVertices[Group],MATCH(Edges[[#This Row],[Vertex 2]],GroupVertices[Vertex],0)),1,1,"")</f>
        <v>1</v>
      </c>
      <c r="V161" s="49">
        <v>0</v>
      </c>
      <c r="W161" s="50">
        <v>0</v>
      </c>
      <c r="X161" s="49">
        <v>0</v>
      </c>
      <c r="Y161" s="50">
        <v>0</v>
      </c>
      <c r="Z161" s="49">
        <v>0</v>
      </c>
      <c r="AA161" s="50">
        <v>0</v>
      </c>
      <c r="AB161" s="49">
        <v>1</v>
      </c>
      <c r="AC161" s="50">
        <v>100</v>
      </c>
      <c r="AD161" s="49">
        <v>1</v>
      </c>
    </row>
    <row r="162" spans="1:30" ht="15">
      <c r="A162" s="68" t="s">
        <v>403</v>
      </c>
      <c r="B162" s="68" t="s">
        <v>402</v>
      </c>
      <c r="C162" s="69" t="s">
        <v>1691</v>
      </c>
      <c r="D162" s="70">
        <v>3</v>
      </c>
      <c r="E162" s="71"/>
      <c r="F162" s="72">
        <v>70</v>
      </c>
      <c r="G162" s="69"/>
      <c r="H162" s="73"/>
      <c r="I162" s="74"/>
      <c r="J162" s="74"/>
      <c r="K162" s="35" t="s">
        <v>65</v>
      </c>
      <c r="L162" s="81">
        <v>162</v>
      </c>
      <c r="M162" s="81"/>
      <c r="N162" s="76"/>
      <c r="O162" s="83" t="s">
        <v>520</v>
      </c>
      <c r="P162" s="83">
        <v>1</v>
      </c>
      <c r="Q162" s="83" t="s">
        <v>521</v>
      </c>
      <c r="R162" s="83"/>
      <c r="S162" s="83">
        <v>23039</v>
      </c>
      <c r="T162" s="82" t="str">
        <f>REPLACE(INDEX(GroupVertices[Group],MATCH(Edges[[#This Row],[Vertex 1]],GroupVertices[Vertex],0)),1,1,"")</f>
        <v>1</v>
      </c>
      <c r="U162" s="82" t="str">
        <f>REPLACE(INDEX(GroupVertices[Group],MATCH(Edges[[#This Row],[Vertex 2]],GroupVertices[Vertex],0)),1,1,"")</f>
        <v>1</v>
      </c>
      <c r="V162" s="49"/>
      <c r="W162" s="50"/>
      <c r="X162" s="49"/>
      <c r="Y162" s="50"/>
      <c r="Z162" s="49"/>
      <c r="AA162" s="50"/>
      <c r="AB162" s="49"/>
      <c r="AC162" s="50"/>
      <c r="AD162" s="49"/>
    </row>
    <row r="163" spans="1:30" ht="15">
      <c r="A163" s="68" t="s">
        <v>328</v>
      </c>
      <c r="B163" s="68" t="s">
        <v>403</v>
      </c>
      <c r="C163" s="69" t="s">
        <v>1691</v>
      </c>
      <c r="D163" s="70">
        <v>3</v>
      </c>
      <c r="E163" s="71"/>
      <c r="F163" s="72">
        <v>70</v>
      </c>
      <c r="G163" s="69"/>
      <c r="H163" s="73"/>
      <c r="I163" s="74"/>
      <c r="J163" s="74"/>
      <c r="K163" s="35" t="s">
        <v>65</v>
      </c>
      <c r="L163" s="81">
        <v>163</v>
      </c>
      <c r="M163" s="81"/>
      <c r="N163" s="76"/>
      <c r="O163" s="83" t="s">
        <v>520</v>
      </c>
      <c r="P163" s="83">
        <v>1</v>
      </c>
      <c r="Q163" s="83" t="s">
        <v>521</v>
      </c>
      <c r="R163" s="83" t="s">
        <v>632</v>
      </c>
      <c r="S163" s="83">
        <v>23340</v>
      </c>
      <c r="T163" s="82" t="str">
        <f>REPLACE(INDEX(GroupVertices[Group],MATCH(Edges[[#This Row],[Vertex 1]],GroupVertices[Vertex],0)),1,1,"")</f>
        <v>1</v>
      </c>
      <c r="U163" s="82" t="str">
        <f>REPLACE(INDEX(GroupVertices[Group],MATCH(Edges[[#This Row],[Vertex 2]],GroupVertices[Vertex],0)),1,1,"")</f>
        <v>1</v>
      </c>
      <c r="V163" s="49">
        <v>0</v>
      </c>
      <c r="W163" s="50">
        <v>0</v>
      </c>
      <c r="X163" s="49">
        <v>0</v>
      </c>
      <c r="Y163" s="50">
        <v>0</v>
      </c>
      <c r="Z163" s="49">
        <v>0</v>
      </c>
      <c r="AA163" s="50">
        <v>0</v>
      </c>
      <c r="AB163" s="49">
        <v>6</v>
      </c>
      <c r="AC163" s="50">
        <v>100</v>
      </c>
      <c r="AD163" s="49">
        <v>6</v>
      </c>
    </row>
    <row r="164" spans="1:30" ht="15">
      <c r="A164" s="68" t="s">
        <v>404</v>
      </c>
      <c r="B164" s="68" t="s">
        <v>328</v>
      </c>
      <c r="C164" s="69" t="s">
        <v>1691</v>
      </c>
      <c r="D164" s="70">
        <v>3</v>
      </c>
      <c r="E164" s="71"/>
      <c r="F164" s="72">
        <v>70</v>
      </c>
      <c r="G164" s="69"/>
      <c r="H164" s="73"/>
      <c r="I164" s="74"/>
      <c r="J164" s="74"/>
      <c r="K164" s="35" t="s">
        <v>66</v>
      </c>
      <c r="L164" s="81">
        <v>164</v>
      </c>
      <c r="M164" s="81"/>
      <c r="N164" s="76"/>
      <c r="O164" s="83" t="s">
        <v>520</v>
      </c>
      <c r="P164" s="83">
        <v>1</v>
      </c>
      <c r="Q164" s="83" t="s">
        <v>521</v>
      </c>
      <c r="R164" s="83" t="s">
        <v>633</v>
      </c>
      <c r="S164" s="83">
        <v>24278</v>
      </c>
      <c r="T164" s="82" t="str">
        <f>REPLACE(INDEX(GroupVertices[Group],MATCH(Edges[[#This Row],[Vertex 1]],GroupVertices[Vertex],0)),1,1,"")</f>
        <v>1</v>
      </c>
      <c r="U164" s="82" t="str">
        <f>REPLACE(INDEX(GroupVertices[Group],MATCH(Edges[[#This Row],[Vertex 2]],GroupVertices[Vertex],0)),1,1,"")</f>
        <v>1</v>
      </c>
      <c r="V164" s="49">
        <v>0</v>
      </c>
      <c r="W164" s="50">
        <v>0</v>
      </c>
      <c r="X164" s="49">
        <v>0</v>
      </c>
      <c r="Y164" s="50">
        <v>0</v>
      </c>
      <c r="Z164" s="49">
        <v>0</v>
      </c>
      <c r="AA164" s="50">
        <v>0</v>
      </c>
      <c r="AB164" s="49">
        <v>15</v>
      </c>
      <c r="AC164" s="50">
        <v>100</v>
      </c>
      <c r="AD164" s="49">
        <v>15</v>
      </c>
    </row>
    <row r="165" spans="1:30" ht="15">
      <c r="A165" s="68" t="s">
        <v>328</v>
      </c>
      <c r="B165" s="68" t="s">
        <v>404</v>
      </c>
      <c r="C165" s="69" t="s">
        <v>1691</v>
      </c>
      <c r="D165" s="70">
        <v>3</v>
      </c>
      <c r="E165" s="71"/>
      <c r="F165" s="72">
        <v>70</v>
      </c>
      <c r="G165" s="69"/>
      <c r="H165" s="73"/>
      <c r="I165" s="74"/>
      <c r="J165" s="74"/>
      <c r="K165" s="35" t="s">
        <v>66</v>
      </c>
      <c r="L165" s="81">
        <v>165</v>
      </c>
      <c r="M165" s="81"/>
      <c r="N165" s="76"/>
      <c r="O165" s="83" t="s">
        <v>520</v>
      </c>
      <c r="P165" s="83">
        <v>1</v>
      </c>
      <c r="Q165" s="83" t="s">
        <v>521</v>
      </c>
      <c r="R165" s="83" t="s">
        <v>634</v>
      </c>
      <c r="S165" s="83">
        <v>24653</v>
      </c>
      <c r="T165" s="82" t="str">
        <f>REPLACE(INDEX(GroupVertices[Group],MATCH(Edges[[#This Row],[Vertex 1]],GroupVertices[Vertex],0)),1,1,"")</f>
        <v>1</v>
      </c>
      <c r="U165" s="82" t="str">
        <f>REPLACE(INDEX(GroupVertices[Group],MATCH(Edges[[#This Row],[Vertex 2]],GroupVertices[Vertex],0)),1,1,"")</f>
        <v>1</v>
      </c>
      <c r="V165" s="49">
        <v>0</v>
      </c>
      <c r="W165" s="50">
        <v>0</v>
      </c>
      <c r="X165" s="49">
        <v>0</v>
      </c>
      <c r="Y165" s="50">
        <v>0</v>
      </c>
      <c r="Z165" s="49">
        <v>0</v>
      </c>
      <c r="AA165" s="50">
        <v>0</v>
      </c>
      <c r="AB165" s="49">
        <v>36</v>
      </c>
      <c r="AC165" s="50">
        <v>100</v>
      </c>
      <c r="AD165" s="49">
        <v>36</v>
      </c>
    </row>
    <row r="166" spans="1:30" ht="15">
      <c r="A166" s="68" t="s">
        <v>405</v>
      </c>
      <c r="B166" s="68" t="s">
        <v>405</v>
      </c>
      <c r="C166" s="69" t="s">
        <v>1691</v>
      </c>
      <c r="D166" s="70">
        <v>3</v>
      </c>
      <c r="E166" s="71"/>
      <c r="F166" s="72">
        <v>70</v>
      </c>
      <c r="G166" s="69"/>
      <c r="H166" s="73"/>
      <c r="I166" s="74"/>
      <c r="J166" s="74"/>
      <c r="K166" s="35" t="s">
        <v>65</v>
      </c>
      <c r="L166" s="81">
        <v>166</v>
      </c>
      <c r="M166" s="81"/>
      <c r="N166" s="76"/>
      <c r="O166" s="83" t="s">
        <v>520</v>
      </c>
      <c r="P166" s="83">
        <v>1</v>
      </c>
      <c r="Q166" s="83" t="s">
        <v>521</v>
      </c>
      <c r="R166" s="83" t="s">
        <v>635</v>
      </c>
      <c r="S166" s="83">
        <v>25967</v>
      </c>
      <c r="T166" s="82" t="str">
        <f>REPLACE(INDEX(GroupVertices[Group],MATCH(Edges[[#This Row],[Vertex 1]],GroupVertices[Vertex],0)),1,1,"")</f>
        <v>1</v>
      </c>
      <c r="U166" s="82" t="str">
        <f>REPLACE(INDEX(GroupVertices[Group],MATCH(Edges[[#This Row],[Vertex 2]],GroupVertices[Vertex],0)),1,1,"")</f>
        <v>1</v>
      </c>
      <c r="V166" s="49">
        <v>0</v>
      </c>
      <c r="W166" s="50">
        <v>0</v>
      </c>
      <c r="X166" s="49">
        <v>0</v>
      </c>
      <c r="Y166" s="50">
        <v>0</v>
      </c>
      <c r="Z166" s="49">
        <v>0</v>
      </c>
      <c r="AA166" s="50">
        <v>0</v>
      </c>
      <c r="AB166" s="49">
        <v>6</v>
      </c>
      <c r="AC166" s="50">
        <v>100</v>
      </c>
      <c r="AD166" s="49">
        <v>6</v>
      </c>
    </row>
    <row r="167" spans="1:30" ht="15">
      <c r="A167" s="68" t="s">
        <v>405</v>
      </c>
      <c r="B167" s="68" t="s">
        <v>328</v>
      </c>
      <c r="C167" s="69" t="s">
        <v>1692</v>
      </c>
      <c r="D167" s="70">
        <v>10</v>
      </c>
      <c r="E167" s="71"/>
      <c r="F167" s="72">
        <v>40</v>
      </c>
      <c r="G167" s="69"/>
      <c r="H167" s="73"/>
      <c r="I167" s="74"/>
      <c r="J167" s="74"/>
      <c r="K167" s="35" t="s">
        <v>66</v>
      </c>
      <c r="L167" s="81">
        <v>167</v>
      </c>
      <c r="M167" s="81"/>
      <c r="N167" s="76"/>
      <c r="O167" s="83" t="s">
        <v>520</v>
      </c>
      <c r="P167" s="83">
        <v>2</v>
      </c>
      <c r="Q167" s="83" t="s">
        <v>521</v>
      </c>
      <c r="R167" s="83"/>
      <c r="S167" s="83">
        <v>27238</v>
      </c>
      <c r="T167" s="82" t="str">
        <f>REPLACE(INDEX(GroupVertices[Group],MATCH(Edges[[#This Row],[Vertex 1]],GroupVertices[Vertex],0)),1,1,"")</f>
        <v>1</v>
      </c>
      <c r="U167" s="82" t="str">
        <f>REPLACE(INDEX(GroupVertices[Group],MATCH(Edges[[#This Row],[Vertex 2]],GroupVertices[Vertex],0)),1,1,"")</f>
        <v>1</v>
      </c>
      <c r="V167" s="49"/>
      <c r="W167" s="50"/>
      <c r="X167" s="49"/>
      <c r="Y167" s="50"/>
      <c r="Z167" s="49"/>
      <c r="AA167" s="50"/>
      <c r="AB167" s="49"/>
      <c r="AC167" s="50"/>
      <c r="AD167" s="49"/>
    </row>
    <row r="168" spans="1:30" ht="15">
      <c r="A168" s="68" t="s">
        <v>328</v>
      </c>
      <c r="B168" s="68" t="s">
        <v>405</v>
      </c>
      <c r="C168" s="69" t="s">
        <v>1692</v>
      </c>
      <c r="D168" s="70">
        <v>10</v>
      </c>
      <c r="E168" s="71"/>
      <c r="F168" s="72">
        <v>40</v>
      </c>
      <c r="G168" s="69"/>
      <c r="H168" s="73"/>
      <c r="I168" s="74"/>
      <c r="J168" s="74"/>
      <c r="K168" s="35" t="s">
        <v>66</v>
      </c>
      <c r="L168" s="81">
        <v>168</v>
      </c>
      <c r="M168" s="81"/>
      <c r="N168" s="76"/>
      <c r="O168" s="83" t="s">
        <v>520</v>
      </c>
      <c r="P168" s="83">
        <v>2</v>
      </c>
      <c r="Q168" s="83" t="s">
        <v>521</v>
      </c>
      <c r="R168" s="83" t="s">
        <v>636</v>
      </c>
      <c r="S168" s="83">
        <v>27544</v>
      </c>
      <c r="T168" s="82" t="str">
        <f>REPLACE(INDEX(GroupVertices[Group],MATCH(Edges[[#This Row],[Vertex 1]],GroupVertices[Vertex],0)),1,1,"")</f>
        <v>1</v>
      </c>
      <c r="U168" s="82" t="str">
        <f>REPLACE(INDEX(GroupVertices[Group],MATCH(Edges[[#This Row],[Vertex 2]],GroupVertices[Vertex],0)),1,1,"")</f>
        <v>1</v>
      </c>
      <c r="V168" s="49">
        <v>0</v>
      </c>
      <c r="W168" s="50">
        <v>0</v>
      </c>
      <c r="X168" s="49">
        <v>0</v>
      </c>
      <c r="Y168" s="50">
        <v>0</v>
      </c>
      <c r="Z168" s="49">
        <v>0</v>
      </c>
      <c r="AA168" s="50">
        <v>0</v>
      </c>
      <c r="AB168" s="49">
        <v>13</v>
      </c>
      <c r="AC168" s="50">
        <v>100</v>
      </c>
      <c r="AD168" s="49">
        <v>13</v>
      </c>
    </row>
    <row r="169" spans="1:30" ht="15">
      <c r="A169" s="68" t="s">
        <v>406</v>
      </c>
      <c r="B169" s="68" t="s">
        <v>378</v>
      </c>
      <c r="C169" s="69" t="s">
        <v>1691</v>
      </c>
      <c r="D169" s="70">
        <v>3</v>
      </c>
      <c r="E169" s="71"/>
      <c r="F169" s="72">
        <v>70</v>
      </c>
      <c r="G169" s="69"/>
      <c r="H169" s="73"/>
      <c r="I169" s="74"/>
      <c r="J169" s="74"/>
      <c r="K169" s="35" t="s">
        <v>65</v>
      </c>
      <c r="L169" s="81">
        <v>169</v>
      </c>
      <c r="M169" s="81"/>
      <c r="N169" s="76"/>
      <c r="O169" s="83" t="s">
        <v>520</v>
      </c>
      <c r="P169" s="83">
        <v>1</v>
      </c>
      <c r="Q169" s="83" t="s">
        <v>521</v>
      </c>
      <c r="R169" s="83" t="s">
        <v>637</v>
      </c>
      <c r="S169" s="83">
        <v>18799</v>
      </c>
      <c r="T169" s="82" t="str">
        <f>REPLACE(INDEX(GroupVertices[Group],MATCH(Edges[[#This Row],[Vertex 1]],GroupVertices[Vertex],0)),1,1,"")</f>
        <v>1</v>
      </c>
      <c r="U169" s="82" t="str">
        <f>REPLACE(INDEX(GroupVertices[Group],MATCH(Edges[[#This Row],[Vertex 2]],GroupVertices[Vertex],0)),1,1,"")</f>
        <v>4</v>
      </c>
      <c r="V169" s="49">
        <v>0</v>
      </c>
      <c r="W169" s="50">
        <v>0</v>
      </c>
      <c r="X169" s="49">
        <v>0</v>
      </c>
      <c r="Y169" s="50">
        <v>0</v>
      </c>
      <c r="Z169" s="49">
        <v>0</v>
      </c>
      <c r="AA169" s="50">
        <v>0</v>
      </c>
      <c r="AB169" s="49">
        <v>3</v>
      </c>
      <c r="AC169" s="50">
        <v>100</v>
      </c>
      <c r="AD169" s="49">
        <v>3</v>
      </c>
    </row>
    <row r="170" spans="1:30" ht="15">
      <c r="A170" s="68" t="s">
        <v>378</v>
      </c>
      <c r="B170" s="68" t="s">
        <v>328</v>
      </c>
      <c r="C170" s="69" t="s">
        <v>1691</v>
      </c>
      <c r="D170" s="70">
        <v>3</v>
      </c>
      <c r="E170" s="71"/>
      <c r="F170" s="72">
        <v>70</v>
      </c>
      <c r="G170" s="69"/>
      <c r="H170" s="73"/>
      <c r="I170" s="74"/>
      <c r="J170" s="74"/>
      <c r="K170" s="35" t="s">
        <v>65</v>
      </c>
      <c r="L170" s="81">
        <v>170</v>
      </c>
      <c r="M170" s="81"/>
      <c r="N170" s="76"/>
      <c r="O170" s="83" t="s">
        <v>520</v>
      </c>
      <c r="P170" s="83">
        <v>1</v>
      </c>
      <c r="Q170" s="83" t="s">
        <v>521</v>
      </c>
      <c r="R170" s="83" t="s">
        <v>638</v>
      </c>
      <c r="S170" s="83">
        <v>24653</v>
      </c>
      <c r="T170" s="82" t="str">
        <f>REPLACE(INDEX(GroupVertices[Group],MATCH(Edges[[#This Row],[Vertex 1]],GroupVertices[Vertex],0)),1,1,"")</f>
        <v>4</v>
      </c>
      <c r="U170" s="82" t="str">
        <f>REPLACE(INDEX(GroupVertices[Group],MATCH(Edges[[#This Row],[Vertex 2]],GroupVertices[Vertex],0)),1,1,"")</f>
        <v>1</v>
      </c>
      <c r="V170" s="49">
        <v>0</v>
      </c>
      <c r="W170" s="50">
        <v>0</v>
      </c>
      <c r="X170" s="49">
        <v>0</v>
      </c>
      <c r="Y170" s="50">
        <v>0</v>
      </c>
      <c r="Z170" s="49">
        <v>0</v>
      </c>
      <c r="AA170" s="50">
        <v>0</v>
      </c>
      <c r="AB170" s="49">
        <v>22</v>
      </c>
      <c r="AC170" s="50">
        <v>100</v>
      </c>
      <c r="AD170" s="49">
        <v>22</v>
      </c>
    </row>
    <row r="171" spans="1:30" ht="15">
      <c r="A171" s="68" t="s">
        <v>407</v>
      </c>
      <c r="B171" s="68" t="s">
        <v>378</v>
      </c>
      <c r="C171" s="69" t="s">
        <v>1691</v>
      </c>
      <c r="D171" s="70">
        <v>3</v>
      </c>
      <c r="E171" s="71"/>
      <c r="F171" s="72">
        <v>70</v>
      </c>
      <c r="G171" s="69"/>
      <c r="H171" s="73"/>
      <c r="I171" s="74"/>
      <c r="J171" s="74"/>
      <c r="K171" s="35" t="s">
        <v>65</v>
      </c>
      <c r="L171" s="81">
        <v>171</v>
      </c>
      <c r="M171" s="81"/>
      <c r="N171" s="76"/>
      <c r="O171" s="83" t="s">
        <v>520</v>
      </c>
      <c r="P171" s="83">
        <v>1</v>
      </c>
      <c r="Q171" s="83" t="s">
        <v>521</v>
      </c>
      <c r="R171" s="83" t="s">
        <v>639</v>
      </c>
      <c r="S171" s="83">
        <v>25535</v>
      </c>
      <c r="T171" s="82" t="str">
        <f>REPLACE(INDEX(GroupVertices[Group],MATCH(Edges[[#This Row],[Vertex 1]],GroupVertices[Vertex],0)),1,1,"")</f>
        <v>4</v>
      </c>
      <c r="U171" s="82" t="str">
        <f>REPLACE(INDEX(GroupVertices[Group],MATCH(Edges[[#This Row],[Vertex 2]],GroupVertices[Vertex],0)),1,1,"")</f>
        <v>4</v>
      </c>
      <c r="V171" s="49">
        <v>0</v>
      </c>
      <c r="W171" s="50">
        <v>0</v>
      </c>
      <c r="X171" s="49">
        <v>0</v>
      </c>
      <c r="Y171" s="50">
        <v>0</v>
      </c>
      <c r="Z171" s="49">
        <v>0</v>
      </c>
      <c r="AA171" s="50">
        <v>0</v>
      </c>
      <c r="AB171" s="49">
        <v>4</v>
      </c>
      <c r="AC171" s="50">
        <v>100</v>
      </c>
      <c r="AD171" s="49">
        <v>4</v>
      </c>
    </row>
    <row r="172" spans="1:30" ht="15">
      <c r="A172" s="68" t="s">
        <v>328</v>
      </c>
      <c r="B172" s="68" t="s">
        <v>407</v>
      </c>
      <c r="C172" s="69" t="s">
        <v>1691</v>
      </c>
      <c r="D172" s="70">
        <v>3</v>
      </c>
      <c r="E172" s="71"/>
      <c r="F172" s="72">
        <v>70</v>
      </c>
      <c r="G172" s="69"/>
      <c r="H172" s="73"/>
      <c r="I172" s="74"/>
      <c r="J172" s="74"/>
      <c r="K172" s="35" t="s">
        <v>65</v>
      </c>
      <c r="L172" s="81">
        <v>172</v>
      </c>
      <c r="M172" s="81"/>
      <c r="N172" s="76"/>
      <c r="O172" s="83" t="s">
        <v>520</v>
      </c>
      <c r="P172" s="83">
        <v>1</v>
      </c>
      <c r="Q172" s="83" t="s">
        <v>521</v>
      </c>
      <c r="R172" s="83" t="s">
        <v>640</v>
      </c>
      <c r="S172" s="83">
        <v>25852</v>
      </c>
      <c r="T172" s="82" t="str">
        <f>REPLACE(INDEX(GroupVertices[Group],MATCH(Edges[[#This Row],[Vertex 1]],GroupVertices[Vertex],0)),1,1,"")</f>
        <v>1</v>
      </c>
      <c r="U172" s="82" t="str">
        <f>REPLACE(INDEX(GroupVertices[Group],MATCH(Edges[[#This Row],[Vertex 2]],GroupVertices[Vertex],0)),1,1,"")</f>
        <v>4</v>
      </c>
      <c r="V172" s="49">
        <v>0</v>
      </c>
      <c r="W172" s="50">
        <v>0</v>
      </c>
      <c r="X172" s="49">
        <v>0</v>
      </c>
      <c r="Y172" s="50">
        <v>0</v>
      </c>
      <c r="Z172" s="49">
        <v>0</v>
      </c>
      <c r="AA172" s="50">
        <v>0</v>
      </c>
      <c r="AB172" s="49">
        <v>10</v>
      </c>
      <c r="AC172" s="50">
        <v>100</v>
      </c>
      <c r="AD172" s="49">
        <v>10</v>
      </c>
    </row>
    <row r="173" spans="1:30" ht="15">
      <c r="A173" s="68" t="s">
        <v>406</v>
      </c>
      <c r="B173" s="68" t="s">
        <v>328</v>
      </c>
      <c r="C173" s="69" t="s">
        <v>1691</v>
      </c>
      <c r="D173" s="70">
        <v>3</v>
      </c>
      <c r="E173" s="71"/>
      <c r="F173" s="72">
        <v>70</v>
      </c>
      <c r="G173" s="69"/>
      <c r="H173" s="73"/>
      <c r="I173" s="74"/>
      <c r="J173" s="74"/>
      <c r="K173" s="35" t="s">
        <v>65</v>
      </c>
      <c r="L173" s="81">
        <v>173</v>
      </c>
      <c r="M173" s="81"/>
      <c r="N173" s="76"/>
      <c r="O173" s="83" t="s">
        <v>520</v>
      </c>
      <c r="P173" s="83">
        <v>1</v>
      </c>
      <c r="Q173" s="83" t="s">
        <v>521</v>
      </c>
      <c r="R173" s="83" t="s">
        <v>637</v>
      </c>
      <c r="S173" s="83">
        <v>26063</v>
      </c>
      <c r="T173" s="82" t="str">
        <f>REPLACE(INDEX(GroupVertices[Group],MATCH(Edges[[#This Row],[Vertex 1]],GroupVertices[Vertex],0)),1,1,"")</f>
        <v>1</v>
      </c>
      <c r="U173" s="82" t="str">
        <f>REPLACE(INDEX(GroupVertices[Group],MATCH(Edges[[#This Row],[Vertex 2]],GroupVertices[Vertex],0)),1,1,"")</f>
        <v>1</v>
      </c>
      <c r="V173" s="49">
        <v>0</v>
      </c>
      <c r="W173" s="50">
        <v>0</v>
      </c>
      <c r="X173" s="49">
        <v>0</v>
      </c>
      <c r="Y173" s="50">
        <v>0</v>
      </c>
      <c r="Z173" s="49">
        <v>0</v>
      </c>
      <c r="AA173" s="50">
        <v>0</v>
      </c>
      <c r="AB173" s="49">
        <v>3</v>
      </c>
      <c r="AC173" s="50">
        <v>100</v>
      </c>
      <c r="AD173" s="49">
        <v>3</v>
      </c>
    </row>
    <row r="174" spans="1:30" ht="15">
      <c r="A174" s="68" t="s">
        <v>408</v>
      </c>
      <c r="B174" s="68" t="s">
        <v>406</v>
      </c>
      <c r="C174" s="69" t="s">
        <v>1691</v>
      </c>
      <c r="D174" s="70">
        <v>3</v>
      </c>
      <c r="E174" s="71"/>
      <c r="F174" s="72">
        <v>70</v>
      </c>
      <c r="G174" s="69"/>
      <c r="H174" s="73"/>
      <c r="I174" s="74"/>
      <c r="J174" s="74"/>
      <c r="K174" s="35" t="s">
        <v>65</v>
      </c>
      <c r="L174" s="81">
        <v>174</v>
      </c>
      <c r="M174" s="81"/>
      <c r="N174" s="76"/>
      <c r="O174" s="83" t="s">
        <v>520</v>
      </c>
      <c r="P174" s="83">
        <v>1</v>
      </c>
      <c r="Q174" s="83" t="s">
        <v>521</v>
      </c>
      <c r="R174" s="83" t="s">
        <v>641</v>
      </c>
      <c r="S174" s="83">
        <v>26047</v>
      </c>
      <c r="T174" s="82" t="str">
        <f>REPLACE(INDEX(GroupVertices[Group],MATCH(Edges[[#This Row],[Vertex 1]],GroupVertices[Vertex],0)),1,1,"")</f>
        <v>12</v>
      </c>
      <c r="U174" s="82" t="str">
        <f>REPLACE(INDEX(GroupVertices[Group],MATCH(Edges[[#This Row],[Vertex 2]],GroupVertices[Vertex],0)),1,1,"")</f>
        <v>1</v>
      </c>
      <c r="V174" s="49">
        <v>1</v>
      </c>
      <c r="W174" s="50">
        <v>25</v>
      </c>
      <c r="X174" s="49">
        <v>0</v>
      </c>
      <c r="Y174" s="50">
        <v>0</v>
      </c>
      <c r="Z174" s="49">
        <v>0</v>
      </c>
      <c r="AA174" s="50">
        <v>0</v>
      </c>
      <c r="AB174" s="49">
        <v>3</v>
      </c>
      <c r="AC174" s="50">
        <v>75</v>
      </c>
      <c r="AD174" s="49">
        <v>4</v>
      </c>
    </row>
    <row r="175" spans="1:30" ht="15">
      <c r="A175" s="68" t="s">
        <v>409</v>
      </c>
      <c r="B175" s="68" t="s">
        <v>408</v>
      </c>
      <c r="C175" s="69" t="s">
        <v>1691</v>
      </c>
      <c r="D175" s="70">
        <v>3</v>
      </c>
      <c r="E175" s="71"/>
      <c r="F175" s="72">
        <v>70</v>
      </c>
      <c r="G175" s="69"/>
      <c r="H175" s="73"/>
      <c r="I175" s="74"/>
      <c r="J175" s="74"/>
      <c r="K175" s="35" t="s">
        <v>65</v>
      </c>
      <c r="L175" s="81">
        <v>175</v>
      </c>
      <c r="M175" s="81"/>
      <c r="N175" s="76"/>
      <c r="O175" s="83" t="s">
        <v>520</v>
      </c>
      <c r="P175" s="83">
        <v>1</v>
      </c>
      <c r="Q175" s="83" t="s">
        <v>521</v>
      </c>
      <c r="R175" s="83" t="s">
        <v>642</v>
      </c>
      <c r="S175" s="83">
        <v>26198</v>
      </c>
      <c r="T175" s="82" t="str">
        <f>REPLACE(INDEX(GroupVertices[Group],MATCH(Edges[[#This Row],[Vertex 1]],GroupVertices[Vertex],0)),1,1,"")</f>
        <v>12</v>
      </c>
      <c r="U175" s="82" t="str">
        <f>REPLACE(INDEX(GroupVertices[Group],MATCH(Edges[[#This Row],[Vertex 2]],GroupVertices[Vertex],0)),1,1,"")</f>
        <v>12</v>
      </c>
      <c r="V175" s="49">
        <v>0</v>
      </c>
      <c r="W175" s="50">
        <v>0</v>
      </c>
      <c r="X175" s="49">
        <v>0</v>
      </c>
      <c r="Y175" s="50">
        <v>0</v>
      </c>
      <c r="Z175" s="49">
        <v>0</v>
      </c>
      <c r="AA175" s="50">
        <v>0</v>
      </c>
      <c r="AB175" s="49">
        <v>7</v>
      </c>
      <c r="AC175" s="50">
        <v>100</v>
      </c>
      <c r="AD175" s="49">
        <v>7</v>
      </c>
    </row>
    <row r="176" spans="1:30" ht="15">
      <c r="A176" s="68" t="s">
        <v>410</v>
      </c>
      <c r="B176" s="68" t="s">
        <v>409</v>
      </c>
      <c r="C176" s="69" t="s">
        <v>1691</v>
      </c>
      <c r="D176" s="70">
        <v>3</v>
      </c>
      <c r="E176" s="71"/>
      <c r="F176" s="72">
        <v>70</v>
      </c>
      <c r="G176" s="69"/>
      <c r="H176" s="73"/>
      <c r="I176" s="74"/>
      <c r="J176" s="74"/>
      <c r="K176" s="35" t="s">
        <v>65</v>
      </c>
      <c r="L176" s="81">
        <v>176</v>
      </c>
      <c r="M176" s="81"/>
      <c r="N176" s="76"/>
      <c r="O176" s="83" t="s">
        <v>520</v>
      </c>
      <c r="P176" s="83">
        <v>1</v>
      </c>
      <c r="Q176" s="83" t="s">
        <v>521</v>
      </c>
      <c r="R176" s="83" t="s">
        <v>643</v>
      </c>
      <c r="S176" s="83">
        <v>24999</v>
      </c>
      <c r="T176" s="82" t="str">
        <f>REPLACE(INDEX(GroupVertices[Group],MATCH(Edges[[#This Row],[Vertex 1]],GroupVertices[Vertex],0)),1,1,"")</f>
        <v>12</v>
      </c>
      <c r="U176" s="82" t="str">
        <f>REPLACE(INDEX(GroupVertices[Group],MATCH(Edges[[#This Row],[Vertex 2]],GroupVertices[Vertex],0)),1,1,"")</f>
        <v>12</v>
      </c>
      <c r="V176" s="49">
        <v>0</v>
      </c>
      <c r="W176" s="50">
        <v>0</v>
      </c>
      <c r="X176" s="49">
        <v>0</v>
      </c>
      <c r="Y176" s="50">
        <v>0</v>
      </c>
      <c r="Z176" s="49">
        <v>0</v>
      </c>
      <c r="AA176" s="50">
        <v>0</v>
      </c>
      <c r="AB176" s="49">
        <v>2</v>
      </c>
      <c r="AC176" s="50">
        <v>100</v>
      </c>
      <c r="AD176" s="49">
        <v>2</v>
      </c>
    </row>
    <row r="177" spans="1:30" ht="15">
      <c r="A177" s="68" t="s">
        <v>411</v>
      </c>
      <c r="B177" s="68" t="s">
        <v>410</v>
      </c>
      <c r="C177" s="69" t="s">
        <v>1691</v>
      </c>
      <c r="D177" s="70">
        <v>3</v>
      </c>
      <c r="E177" s="71"/>
      <c r="F177" s="72">
        <v>70</v>
      </c>
      <c r="G177" s="69"/>
      <c r="H177" s="73"/>
      <c r="I177" s="74"/>
      <c r="J177" s="74"/>
      <c r="K177" s="35" t="s">
        <v>65</v>
      </c>
      <c r="L177" s="81">
        <v>177</v>
      </c>
      <c r="M177" s="81"/>
      <c r="N177" s="76"/>
      <c r="O177" s="83" t="s">
        <v>520</v>
      </c>
      <c r="P177" s="83">
        <v>1</v>
      </c>
      <c r="Q177" s="83" t="s">
        <v>521</v>
      </c>
      <c r="R177" s="83" t="s">
        <v>644</v>
      </c>
      <c r="S177" s="83">
        <v>25024</v>
      </c>
      <c r="T177" s="82" t="str">
        <f>REPLACE(INDEX(GroupVertices[Group],MATCH(Edges[[#This Row],[Vertex 1]],GroupVertices[Vertex],0)),1,1,"")</f>
        <v>12</v>
      </c>
      <c r="U177" s="82" t="str">
        <f>REPLACE(INDEX(GroupVertices[Group],MATCH(Edges[[#This Row],[Vertex 2]],GroupVertices[Vertex],0)),1,1,"")</f>
        <v>12</v>
      </c>
      <c r="V177" s="49">
        <v>0</v>
      </c>
      <c r="W177" s="50">
        <v>0</v>
      </c>
      <c r="X177" s="49">
        <v>0</v>
      </c>
      <c r="Y177" s="50">
        <v>0</v>
      </c>
      <c r="Z177" s="49">
        <v>0</v>
      </c>
      <c r="AA177" s="50">
        <v>0</v>
      </c>
      <c r="AB177" s="49">
        <v>1</v>
      </c>
      <c r="AC177" s="50">
        <v>100</v>
      </c>
      <c r="AD177" s="49">
        <v>1</v>
      </c>
    </row>
    <row r="178" spans="1:30" ht="15">
      <c r="A178" s="68" t="s">
        <v>412</v>
      </c>
      <c r="B178" s="68" t="s">
        <v>411</v>
      </c>
      <c r="C178" s="69" t="s">
        <v>1691</v>
      </c>
      <c r="D178" s="70">
        <v>3</v>
      </c>
      <c r="E178" s="71"/>
      <c r="F178" s="72">
        <v>70</v>
      </c>
      <c r="G178" s="69"/>
      <c r="H178" s="73"/>
      <c r="I178" s="74"/>
      <c r="J178" s="74"/>
      <c r="K178" s="35" t="s">
        <v>65</v>
      </c>
      <c r="L178" s="81">
        <v>178</v>
      </c>
      <c r="M178" s="81"/>
      <c r="N178" s="76"/>
      <c r="O178" s="83" t="s">
        <v>520</v>
      </c>
      <c r="P178" s="83">
        <v>1</v>
      </c>
      <c r="Q178" s="83" t="s">
        <v>521</v>
      </c>
      <c r="R178" s="83" t="s">
        <v>645</v>
      </c>
      <c r="S178" s="83">
        <v>25025</v>
      </c>
      <c r="T178" s="82" t="str">
        <f>REPLACE(INDEX(GroupVertices[Group],MATCH(Edges[[#This Row],[Vertex 1]],GroupVertices[Vertex],0)),1,1,"")</f>
        <v>12</v>
      </c>
      <c r="U178" s="82" t="str">
        <f>REPLACE(INDEX(GroupVertices[Group],MATCH(Edges[[#This Row],[Vertex 2]],GroupVertices[Vertex],0)),1,1,"")</f>
        <v>12</v>
      </c>
      <c r="V178" s="49">
        <v>0</v>
      </c>
      <c r="W178" s="50">
        <v>0</v>
      </c>
      <c r="X178" s="49">
        <v>0</v>
      </c>
      <c r="Y178" s="50">
        <v>0</v>
      </c>
      <c r="Z178" s="49">
        <v>0</v>
      </c>
      <c r="AA178" s="50">
        <v>0</v>
      </c>
      <c r="AB178" s="49">
        <v>3</v>
      </c>
      <c r="AC178" s="50">
        <v>100</v>
      </c>
      <c r="AD178" s="49">
        <v>3</v>
      </c>
    </row>
    <row r="179" spans="1:30" ht="15">
      <c r="A179" s="68" t="s">
        <v>412</v>
      </c>
      <c r="B179" s="68" t="s">
        <v>412</v>
      </c>
      <c r="C179" s="69" t="s">
        <v>1691</v>
      </c>
      <c r="D179" s="70">
        <v>3</v>
      </c>
      <c r="E179" s="71"/>
      <c r="F179" s="72">
        <v>70</v>
      </c>
      <c r="G179" s="69"/>
      <c r="H179" s="73"/>
      <c r="I179" s="74"/>
      <c r="J179" s="74"/>
      <c r="K179" s="35" t="s">
        <v>65</v>
      </c>
      <c r="L179" s="81">
        <v>179</v>
      </c>
      <c r="M179" s="81"/>
      <c r="N179" s="76"/>
      <c r="O179" s="83" t="s">
        <v>520</v>
      </c>
      <c r="P179" s="83">
        <v>1</v>
      </c>
      <c r="Q179" s="83" t="s">
        <v>521</v>
      </c>
      <c r="R179" s="83" t="s">
        <v>646</v>
      </c>
      <c r="S179" s="83">
        <v>25024</v>
      </c>
      <c r="T179" s="82" t="str">
        <f>REPLACE(INDEX(GroupVertices[Group],MATCH(Edges[[#This Row],[Vertex 1]],GroupVertices[Vertex],0)),1,1,"")</f>
        <v>12</v>
      </c>
      <c r="U179" s="82" t="str">
        <f>REPLACE(INDEX(GroupVertices[Group],MATCH(Edges[[#This Row],[Vertex 2]],GroupVertices[Vertex],0)),1,1,"")</f>
        <v>12</v>
      </c>
      <c r="V179" s="49">
        <v>0</v>
      </c>
      <c r="W179" s="50">
        <v>0</v>
      </c>
      <c r="X179" s="49">
        <v>0</v>
      </c>
      <c r="Y179" s="50">
        <v>0</v>
      </c>
      <c r="Z179" s="49">
        <v>0</v>
      </c>
      <c r="AA179" s="50">
        <v>0</v>
      </c>
      <c r="AB179" s="49">
        <v>3</v>
      </c>
      <c r="AC179" s="50">
        <v>100</v>
      </c>
      <c r="AD179" s="49">
        <v>3</v>
      </c>
    </row>
    <row r="180" spans="1:30" ht="15">
      <c r="A180" s="68" t="s">
        <v>413</v>
      </c>
      <c r="B180" s="68" t="s">
        <v>412</v>
      </c>
      <c r="C180" s="69" t="s">
        <v>1691</v>
      </c>
      <c r="D180" s="70">
        <v>3</v>
      </c>
      <c r="E180" s="71"/>
      <c r="F180" s="72">
        <v>70</v>
      </c>
      <c r="G180" s="69"/>
      <c r="H180" s="73"/>
      <c r="I180" s="74"/>
      <c r="J180" s="74"/>
      <c r="K180" s="35" t="s">
        <v>65</v>
      </c>
      <c r="L180" s="81">
        <v>180</v>
      </c>
      <c r="M180" s="81"/>
      <c r="N180" s="76"/>
      <c r="O180" s="83" t="s">
        <v>520</v>
      </c>
      <c r="P180" s="83">
        <v>1</v>
      </c>
      <c r="Q180" s="83" t="s">
        <v>521</v>
      </c>
      <c r="R180" s="83" t="s">
        <v>598</v>
      </c>
      <c r="S180" s="83">
        <v>25566</v>
      </c>
      <c r="T180" s="82" t="str">
        <f>REPLACE(INDEX(GroupVertices[Group],MATCH(Edges[[#This Row],[Vertex 1]],GroupVertices[Vertex],0)),1,1,"")</f>
        <v>12</v>
      </c>
      <c r="U180" s="82" t="str">
        <f>REPLACE(INDEX(GroupVertices[Group],MATCH(Edges[[#This Row],[Vertex 2]],GroupVertices[Vertex],0)),1,1,"")</f>
        <v>12</v>
      </c>
      <c r="V180" s="49">
        <v>0</v>
      </c>
      <c r="W180" s="50">
        <v>0</v>
      </c>
      <c r="X180" s="49">
        <v>0</v>
      </c>
      <c r="Y180" s="50">
        <v>0</v>
      </c>
      <c r="Z180" s="49">
        <v>0</v>
      </c>
      <c r="AA180" s="50">
        <v>0</v>
      </c>
      <c r="AB180" s="49">
        <v>7</v>
      </c>
      <c r="AC180" s="50">
        <v>100</v>
      </c>
      <c r="AD180" s="49">
        <v>7</v>
      </c>
    </row>
    <row r="181" spans="1:30" ht="15">
      <c r="A181" s="68" t="s">
        <v>413</v>
      </c>
      <c r="B181" s="68" t="s">
        <v>328</v>
      </c>
      <c r="C181" s="69" t="s">
        <v>1691</v>
      </c>
      <c r="D181" s="70">
        <v>3</v>
      </c>
      <c r="E181" s="71"/>
      <c r="F181" s="72">
        <v>70</v>
      </c>
      <c r="G181" s="69"/>
      <c r="H181" s="73"/>
      <c r="I181" s="74"/>
      <c r="J181" s="74"/>
      <c r="K181" s="35" t="s">
        <v>66</v>
      </c>
      <c r="L181" s="81">
        <v>181</v>
      </c>
      <c r="M181" s="81"/>
      <c r="N181" s="76"/>
      <c r="O181" s="83" t="s">
        <v>520</v>
      </c>
      <c r="P181" s="83">
        <v>1</v>
      </c>
      <c r="Q181" s="83" t="s">
        <v>521</v>
      </c>
      <c r="R181" s="83" t="s">
        <v>647</v>
      </c>
      <c r="S181" s="83">
        <v>26821</v>
      </c>
      <c r="T181" s="82" t="str">
        <f>REPLACE(INDEX(GroupVertices[Group],MATCH(Edges[[#This Row],[Vertex 1]],GroupVertices[Vertex],0)),1,1,"")</f>
        <v>12</v>
      </c>
      <c r="U181" s="82" t="str">
        <f>REPLACE(INDEX(GroupVertices[Group],MATCH(Edges[[#This Row],[Vertex 2]],GroupVertices[Vertex],0)),1,1,"")</f>
        <v>1</v>
      </c>
      <c r="V181" s="49">
        <v>1</v>
      </c>
      <c r="W181" s="50">
        <v>10</v>
      </c>
      <c r="X181" s="49">
        <v>1</v>
      </c>
      <c r="Y181" s="50">
        <v>10</v>
      </c>
      <c r="Z181" s="49">
        <v>0</v>
      </c>
      <c r="AA181" s="50">
        <v>0</v>
      </c>
      <c r="AB181" s="49">
        <v>8</v>
      </c>
      <c r="AC181" s="50">
        <v>80</v>
      </c>
      <c r="AD181" s="49">
        <v>10</v>
      </c>
    </row>
    <row r="182" spans="1:30" ht="15">
      <c r="A182" s="68" t="s">
        <v>328</v>
      </c>
      <c r="B182" s="68" t="s">
        <v>413</v>
      </c>
      <c r="C182" s="69" t="s">
        <v>1692</v>
      </c>
      <c r="D182" s="70">
        <v>10</v>
      </c>
      <c r="E182" s="71"/>
      <c r="F182" s="72">
        <v>40</v>
      </c>
      <c r="G182" s="69"/>
      <c r="H182" s="73"/>
      <c r="I182" s="74"/>
      <c r="J182" s="74"/>
      <c r="K182" s="35" t="s">
        <v>66</v>
      </c>
      <c r="L182" s="81">
        <v>182</v>
      </c>
      <c r="M182" s="81"/>
      <c r="N182" s="76"/>
      <c r="O182" s="83" t="s">
        <v>520</v>
      </c>
      <c r="P182" s="83">
        <v>2</v>
      </c>
      <c r="Q182" s="83" t="s">
        <v>521</v>
      </c>
      <c r="R182" s="83" t="s">
        <v>648</v>
      </c>
      <c r="S182" s="83">
        <v>27096</v>
      </c>
      <c r="T182" s="82" t="str">
        <f>REPLACE(INDEX(GroupVertices[Group],MATCH(Edges[[#This Row],[Vertex 1]],GroupVertices[Vertex],0)),1,1,"")</f>
        <v>1</v>
      </c>
      <c r="U182" s="82" t="str">
        <f>REPLACE(INDEX(GroupVertices[Group],MATCH(Edges[[#This Row],[Vertex 2]],GroupVertices[Vertex],0)),1,1,"")</f>
        <v>12</v>
      </c>
      <c r="V182" s="49">
        <v>1</v>
      </c>
      <c r="W182" s="50">
        <v>4.3478260869565215</v>
      </c>
      <c r="X182" s="49">
        <v>1</v>
      </c>
      <c r="Y182" s="50">
        <v>4.3478260869565215</v>
      </c>
      <c r="Z182" s="49">
        <v>0</v>
      </c>
      <c r="AA182" s="50">
        <v>0</v>
      </c>
      <c r="AB182" s="49">
        <v>21</v>
      </c>
      <c r="AC182" s="50">
        <v>91.30434782608695</v>
      </c>
      <c r="AD182" s="49">
        <v>23</v>
      </c>
    </row>
    <row r="183" spans="1:30" ht="15">
      <c r="A183" s="68" t="s">
        <v>414</v>
      </c>
      <c r="B183" s="68" t="s">
        <v>328</v>
      </c>
      <c r="C183" s="69" t="s">
        <v>1691</v>
      </c>
      <c r="D183" s="70">
        <v>3</v>
      </c>
      <c r="E183" s="71"/>
      <c r="F183" s="72">
        <v>70</v>
      </c>
      <c r="G183" s="69"/>
      <c r="H183" s="73"/>
      <c r="I183" s="74"/>
      <c r="J183" s="74"/>
      <c r="K183" s="35" t="s">
        <v>66</v>
      </c>
      <c r="L183" s="81">
        <v>183</v>
      </c>
      <c r="M183" s="81"/>
      <c r="N183" s="76"/>
      <c r="O183" s="83" t="s">
        <v>520</v>
      </c>
      <c r="P183" s="83">
        <v>1</v>
      </c>
      <c r="Q183" s="83" t="s">
        <v>521</v>
      </c>
      <c r="R183" s="83" t="s">
        <v>649</v>
      </c>
      <c r="S183" s="83">
        <v>27232</v>
      </c>
      <c r="T183" s="82" t="str">
        <f>REPLACE(INDEX(GroupVertices[Group],MATCH(Edges[[#This Row],[Vertex 1]],GroupVertices[Vertex],0)),1,1,"")</f>
        <v>1</v>
      </c>
      <c r="U183" s="82" t="str">
        <f>REPLACE(INDEX(GroupVertices[Group],MATCH(Edges[[#This Row],[Vertex 2]],GroupVertices[Vertex],0)),1,1,"")</f>
        <v>1</v>
      </c>
      <c r="V183" s="49">
        <v>0</v>
      </c>
      <c r="W183" s="50">
        <v>0</v>
      </c>
      <c r="X183" s="49">
        <v>1</v>
      </c>
      <c r="Y183" s="50">
        <v>33.333333333333336</v>
      </c>
      <c r="Z183" s="49">
        <v>0</v>
      </c>
      <c r="AA183" s="50">
        <v>0</v>
      </c>
      <c r="AB183" s="49">
        <v>2</v>
      </c>
      <c r="AC183" s="50">
        <v>66.66666666666667</v>
      </c>
      <c r="AD183" s="49">
        <v>3</v>
      </c>
    </row>
    <row r="184" spans="1:30" ht="15">
      <c r="A184" s="68" t="s">
        <v>328</v>
      </c>
      <c r="B184" s="68" t="s">
        <v>414</v>
      </c>
      <c r="C184" s="69" t="s">
        <v>1691</v>
      </c>
      <c r="D184" s="70">
        <v>3</v>
      </c>
      <c r="E184" s="71"/>
      <c r="F184" s="72">
        <v>70</v>
      </c>
      <c r="G184" s="69"/>
      <c r="H184" s="73"/>
      <c r="I184" s="74"/>
      <c r="J184" s="74"/>
      <c r="K184" s="35" t="s">
        <v>66</v>
      </c>
      <c r="L184" s="81">
        <v>184</v>
      </c>
      <c r="M184" s="81"/>
      <c r="N184" s="76"/>
      <c r="O184" s="83" t="s">
        <v>520</v>
      </c>
      <c r="P184" s="83">
        <v>1</v>
      </c>
      <c r="Q184" s="83" t="s">
        <v>521</v>
      </c>
      <c r="R184" s="83" t="s">
        <v>650</v>
      </c>
      <c r="S184" s="83">
        <v>27507</v>
      </c>
      <c r="T184" s="82" t="str">
        <f>REPLACE(INDEX(GroupVertices[Group],MATCH(Edges[[#This Row],[Vertex 1]],GroupVertices[Vertex],0)),1,1,"")</f>
        <v>1</v>
      </c>
      <c r="U184" s="82" t="str">
        <f>REPLACE(INDEX(GroupVertices[Group],MATCH(Edges[[#This Row],[Vertex 2]],GroupVertices[Vertex],0)),1,1,"")</f>
        <v>1</v>
      </c>
      <c r="V184" s="49">
        <v>0</v>
      </c>
      <c r="W184" s="50">
        <v>0</v>
      </c>
      <c r="X184" s="49">
        <v>1</v>
      </c>
      <c r="Y184" s="50">
        <v>6.25</v>
      </c>
      <c r="Z184" s="49">
        <v>0</v>
      </c>
      <c r="AA184" s="50">
        <v>0</v>
      </c>
      <c r="AB184" s="49">
        <v>15</v>
      </c>
      <c r="AC184" s="50">
        <v>93.75</v>
      </c>
      <c r="AD184" s="49">
        <v>16</v>
      </c>
    </row>
    <row r="185" spans="1:30" ht="15">
      <c r="A185" s="68" t="s">
        <v>415</v>
      </c>
      <c r="B185" s="68" t="s">
        <v>328</v>
      </c>
      <c r="C185" s="69" t="s">
        <v>1691</v>
      </c>
      <c r="D185" s="70">
        <v>3</v>
      </c>
      <c r="E185" s="71"/>
      <c r="F185" s="72">
        <v>70</v>
      </c>
      <c r="G185" s="69"/>
      <c r="H185" s="73"/>
      <c r="I185" s="74"/>
      <c r="J185" s="74"/>
      <c r="K185" s="35" t="s">
        <v>65</v>
      </c>
      <c r="L185" s="81">
        <v>185</v>
      </c>
      <c r="M185" s="81"/>
      <c r="N185" s="76"/>
      <c r="O185" s="83" t="s">
        <v>520</v>
      </c>
      <c r="P185" s="83">
        <v>1</v>
      </c>
      <c r="Q185" s="83" t="s">
        <v>521</v>
      </c>
      <c r="R185" s="83" t="s">
        <v>651</v>
      </c>
      <c r="S185" s="83">
        <v>26252</v>
      </c>
      <c r="T185" s="82" t="str">
        <f>REPLACE(INDEX(GroupVertices[Group],MATCH(Edges[[#This Row],[Vertex 1]],GroupVertices[Vertex],0)),1,1,"")</f>
        <v>10</v>
      </c>
      <c r="U185" s="82" t="str">
        <f>REPLACE(INDEX(GroupVertices[Group],MATCH(Edges[[#This Row],[Vertex 2]],GroupVertices[Vertex],0)),1,1,"")</f>
        <v>1</v>
      </c>
      <c r="V185" s="49">
        <v>1</v>
      </c>
      <c r="W185" s="50">
        <v>5.882352941176471</v>
      </c>
      <c r="X185" s="49">
        <v>1</v>
      </c>
      <c r="Y185" s="50">
        <v>5.882352941176471</v>
      </c>
      <c r="Z185" s="49">
        <v>0</v>
      </c>
      <c r="AA185" s="50">
        <v>0</v>
      </c>
      <c r="AB185" s="49">
        <v>15</v>
      </c>
      <c r="AC185" s="50">
        <v>88.23529411764706</v>
      </c>
      <c r="AD185" s="49">
        <v>17</v>
      </c>
    </row>
    <row r="186" spans="1:30" ht="15">
      <c r="A186" s="68" t="s">
        <v>416</v>
      </c>
      <c r="B186" s="68" t="s">
        <v>415</v>
      </c>
      <c r="C186" s="69" t="s">
        <v>1691</v>
      </c>
      <c r="D186" s="70">
        <v>3</v>
      </c>
      <c r="E186" s="71"/>
      <c r="F186" s="72">
        <v>70</v>
      </c>
      <c r="G186" s="69"/>
      <c r="H186" s="73"/>
      <c r="I186" s="74"/>
      <c r="J186" s="74"/>
      <c r="K186" s="35" t="s">
        <v>65</v>
      </c>
      <c r="L186" s="81">
        <v>186</v>
      </c>
      <c r="M186" s="81"/>
      <c r="N186" s="76"/>
      <c r="O186" s="83" t="s">
        <v>520</v>
      </c>
      <c r="P186" s="83">
        <v>1</v>
      </c>
      <c r="Q186" s="83" t="s">
        <v>521</v>
      </c>
      <c r="R186" s="83" t="s">
        <v>598</v>
      </c>
      <c r="S186" s="83">
        <v>26253</v>
      </c>
      <c r="T186" s="82" t="str">
        <f>REPLACE(INDEX(GroupVertices[Group],MATCH(Edges[[#This Row],[Vertex 1]],GroupVertices[Vertex],0)),1,1,"")</f>
        <v>10</v>
      </c>
      <c r="U186" s="82" t="str">
        <f>REPLACE(INDEX(GroupVertices[Group],MATCH(Edges[[#This Row],[Vertex 2]],GroupVertices[Vertex],0)),1,1,"")</f>
        <v>10</v>
      </c>
      <c r="V186" s="49">
        <v>0</v>
      </c>
      <c r="W186" s="50">
        <v>0</v>
      </c>
      <c r="X186" s="49">
        <v>0</v>
      </c>
      <c r="Y186" s="50">
        <v>0</v>
      </c>
      <c r="Z186" s="49">
        <v>0</v>
      </c>
      <c r="AA186" s="50">
        <v>0</v>
      </c>
      <c r="AB186" s="49">
        <v>7</v>
      </c>
      <c r="AC186" s="50">
        <v>100</v>
      </c>
      <c r="AD186" s="49">
        <v>7</v>
      </c>
    </row>
    <row r="187" spans="1:30" ht="15">
      <c r="A187" s="68" t="s">
        <v>417</v>
      </c>
      <c r="B187" s="68" t="s">
        <v>416</v>
      </c>
      <c r="C187" s="69" t="s">
        <v>1691</v>
      </c>
      <c r="D187" s="70">
        <v>3</v>
      </c>
      <c r="E187" s="71"/>
      <c r="F187" s="72">
        <v>70</v>
      </c>
      <c r="G187" s="69"/>
      <c r="H187" s="73"/>
      <c r="I187" s="74"/>
      <c r="J187" s="74"/>
      <c r="K187" s="35" t="s">
        <v>65</v>
      </c>
      <c r="L187" s="81">
        <v>187</v>
      </c>
      <c r="M187" s="81"/>
      <c r="N187" s="76"/>
      <c r="O187" s="83" t="s">
        <v>520</v>
      </c>
      <c r="P187" s="83">
        <v>1</v>
      </c>
      <c r="Q187" s="83" t="s">
        <v>521</v>
      </c>
      <c r="R187" s="83" t="s">
        <v>652</v>
      </c>
      <c r="S187" s="83">
        <v>26318</v>
      </c>
      <c r="T187" s="82" t="str">
        <f>REPLACE(INDEX(GroupVertices[Group],MATCH(Edges[[#This Row],[Vertex 1]],GroupVertices[Vertex],0)),1,1,"")</f>
        <v>10</v>
      </c>
      <c r="U187" s="82" t="str">
        <f>REPLACE(INDEX(GroupVertices[Group],MATCH(Edges[[#This Row],[Vertex 2]],GroupVertices[Vertex],0)),1,1,"")</f>
        <v>10</v>
      </c>
      <c r="V187" s="49">
        <v>1</v>
      </c>
      <c r="W187" s="50">
        <v>8.333333333333334</v>
      </c>
      <c r="X187" s="49">
        <v>0</v>
      </c>
      <c r="Y187" s="50">
        <v>0</v>
      </c>
      <c r="Z187" s="49">
        <v>0</v>
      </c>
      <c r="AA187" s="50">
        <v>0</v>
      </c>
      <c r="AB187" s="49">
        <v>11</v>
      </c>
      <c r="AC187" s="50">
        <v>91.66666666666667</v>
      </c>
      <c r="AD187" s="49">
        <v>12</v>
      </c>
    </row>
    <row r="188" spans="1:30" ht="15">
      <c r="A188" s="68" t="s">
        <v>418</v>
      </c>
      <c r="B188" s="68" t="s">
        <v>419</v>
      </c>
      <c r="C188" s="69" t="s">
        <v>1691</v>
      </c>
      <c r="D188" s="70">
        <v>3</v>
      </c>
      <c r="E188" s="71"/>
      <c r="F188" s="72">
        <v>70</v>
      </c>
      <c r="G188" s="69"/>
      <c r="H188" s="73"/>
      <c r="I188" s="74"/>
      <c r="J188" s="74"/>
      <c r="K188" s="35" t="s">
        <v>66</v>
      </c>
      <c r="L188" s="81">
        <v>188</v>
      </c>
      <c r="M188" s="81"/>
      <c r="N188" s="76"/>
      <c r="O188" s="83" t="s">
        <v>520</v>
      </c>
      <c r="P188" s="83">
        <v>1</v>
      </c>
      <c r="Q188" s="83" t="s">
        <v>521</v>
      </c>
      <c r="R188" s="83" t="s">
        <v>653</v>
      </c>
      <c r="S188" s="83">
        <v>27042</v>
      </c>
      <c r="T188" s="82" t="str">
        <f>REPLACE(INDEX(GroupVertices[Group],MATCH(Edges[[#This Row],[Vertex 1]],GroupVertices[Vertex],0)),1,1,"")</f>
        <v>10</v>
      </c>
      <c r="U188" s="82" t="str">
        <f>REPLACE(INDEX(GroupVertices[Group],MATCH(Edges[[#This Row],[Vertex 2]],GroupVertices[Vertex],0)),1,1,"")</f>
        <v>10</v>
      </c>
      <c r="V188" s="49">
        <v>0</v>
      </c>
      <c r="W188" s="50">
        <v>0</v>
      </c>
      <c r="X188" s="49">
        <v>0</v>
      </c>
      <c r="Y188" s="50">
        <v>0</v>
      </c>
      <c r="Z188" s="49">
        <v>0</v>
      </c>
      <c r="AA188" s="50">
        <v>0</v>
      </c>
      <c r="AB188" s="49">
        <v>14</v>
      </c>
      <c r="AC188" s="50">
        <v>100</v>
      </c>
      <c r="AD188" s="49">
        <v>14</v>
      </c>
    </row>
    <row r="189" spans="1:30" ht="15">
      <c r="A189" s="68" t="s">
        <v>418</v>
      </c>
      <c r="B189" s="68" t="s">
        <v>418</v>
      </c>
      <c r="C189" s="69" t="s">
        <v>1691</v>
      </c>
      <c r="D189" s="70">
        <v>3</v>
      </c>
      <c r="E189" s="71"/>
      <c r="F189" s="72">
        <v>70</v>
      </c>
      <c r="G189" s="69"/>
      <c r="H189" s="73"/>
      <c r="I189" s="74"/>
      <c r="J189" s="74"/>
      <c r="K189" s="35" t="s">
        <v>65</v>
      </c>
      <c r="L189" s="81">
        <v>189</v>
      </c>
      <c r="M189" s="81"/>
      <c r="N189" s="76"/>
      <c r="O189" s="83" t="s">
        <v>520</v>
      </c>
      <c r="P189" s="83">
        <v>1</v>
      </c>
      <c r="Q189" s="83" t="s">
        <v>521</v>
      </c>
      <c r="R189" s="83" t="s">
        <v>654</v>
      </c>
      <c r="S189" s="83">
        <v>27460</v>
      </c>
      <c r="T189" s="82" t="str">
        <f>REPLACE(INDEX(GroupVertices[Group],MATCH(Edges[[#This Row],[Vertex 1]],GroupVertices[Vertex],0)),1,1,"")</f>
        <v>10</v>
      </c>
      <c r="U189" s="82" t="str">
        <f>REPLACE(INDEX(GroupVertices[Group],MATCH(Edges[[#This Row],[Vertex 2]],GroupVertices[Vertex],0)),1,1,"")</f>
        <v>10</v>
      </c>
      <c r="V189" s="49">
        <v>0</v>
      </c>
      <c r="W189" s="50">
        <v>0</v>
      </c>
      <c r="X189" s="49">
        <v>1</v>
      </c>
      <c r="Y189" s="50">
        <v>20</v>
      </c>
      <c r="Z189" s="49">
        <v>0</v>
      </c>
      <c r="AA189" s="50">
        <v>0</v>
      </c>
      <c r="AB189" s="49">
        <v>4</v>
      </c>
      <c r="AC189" s="50">
        <v>80</v>
      </c>
      <c r="AD189" s="49">
        <v>5</v>
      </c>
    </row>
    <row r="190" spans="1:30" ht="15">
      <c r="A190" s="68" t="s">
        <v>419</v>
      </c>
      <c r="B190" s="68" t="s">
        <v>418</v>
      </c>
      <c r="C190" s="69" t="s">
        <v>1691</v>
      </c>
      <c r="D190" s="70">
        <v>3</v>
      </c>
      <c r="E190" s="71"/>
      <c r="F190" s="72">
        <v>70</v>
      </c>
      <c r="G190" s="69"/>
      <c r="H190" s="73"/>
      <c r="I190" s="74"/>
      <c r="J190" s="74"/>
      <c r="K190" s="35" t="s">
        <v>66</v>
      </c>
      <c r="L190" s="81">
        <v>190</v>
      </c>
      <c r="M190" s="81"/>
      <c r="N190" s="76"/>
      <c r="O190" s="83" t="s">
        <v>520</v>
      </c>
      <c r="P190" s="83">
        <v>1</v>
      </c>
      <c r="Q190" s="83" t="s">
        <v>521</v>
      </c>
      <c r="R190" s="83" t="s">
        <v>655</v>
      </c>
      <c r="S190" s="83">
        <v>27852</v>
      </c>
      <c r="T190" s="82" t="str">
        <f>REPLACE(INDEX(GroupVertices[Group],MATCH(Edges[[#This Row],[Vertex 1]],GroupVertices[Vertex],0)),1,1,"")</f>
        <v>10</v>
      </c>
      <c r="U190" s="82" t="str">
        <f>REPLACE(INDEX(GroupVertices[Group],MATCH(Edges[[#This Row],[Vertex 2]],GroupVertices[Vertex],0)),1,1,"")</f>
        <v>10</v>
      </c>
      <c r="V190" s="49">
        <v>0</v>
      </c>
      <c r="W190" s="50">
        <v>0</v>
      </c>
      <c r="X190" s="49">
        <v>1</v>
      </c>
      <c r="Y190" s="50">
        <v>33.333333333333336</v>
      </c>
      <c r="Z190" s="49">
        <v>0</v>
      </c>
      <c r="AA190" s="50">
        <v>0</v>
      </c>
      <c r="AB190" s="49">
        <v>2</v>
      </c>
      <c r="AC190" s="50">
        <v>66.66666666666667</v>
      </c>
      <c r="AD190" s="49">
        <v>3</v>
      </c>
    </row>
    <row r="191" spans="1:30" ht="15">
      <c r="A191" s="68" t="s">
        <v>419</v>
      </c>
      <c r="B191" s="68" t="s">
        <v>417</v>
      </c>
      <c r="C191" s="69" t="s">
        <v>1691</v>
      </c>
      <c r="D191" s="70">
        <v>3</v>
      </c>
      <c r="E191" s="71"/>
      <c r="F191" s="72">
        <v>70</v>
      </c>
      <c r="G191" s="69"/>
      <c r="H191" s="73"/>
      <c r="I191" s="74"/>
      <c r="J191" s="74"/>
      <c r="K191" s="35" t="s">
        <v>65</v>
      </c>
      <c r="L191" s="81">
        <v>191</v>
      </c>
      <c r="M191" s="81"/>
      <c r="N191" s="76"/>
      <c r="O191" s="83" t="s">
        <v>520</v>
      </c>
      <c r="P191" s="83">
        <v>1</v>
      </c>
      <c r="Q191" s="83" t="s">
        <v>521</v>
      </c>
      <c r="R191" s="83" t="s">
        <v>656</v>
      </c>
      <c r="S191" s="83">
        <v>26726</v>
      </c>
      <c r="T191" s="82" t="str">
        <f>REPLACE(INDEX(GroupVertices[Group],MATCH(Edges[[#This Row],[Vertex 1]],GroupVertices[Vertex],0)),1,1,"")</f>
        <v>10</v>
      </c>
      <c r="U191" s="82" t="str">
        <f>REPLACE(INDEX(GroupVertices[Group],MATCH(Edges[[#This Row],[Vertex 2]],GroupVertices[Vertex],0)),1,1,"")</f>
        <v>10</v>
      </c>
      <c r="V191" s="49">
        <v>0</v>
      </c>
      <c r="W191" s="50">
        <v>0</v>
      </c>
      <c r="X191" s="49">
        <v>1</v>
      </c>
      <c r="Y191" s="50">
        <v>25</v>
      </c>
      <c r="Z191" s="49">
        <v>0</v>
      </c>
      <c r="AA191" s="50">
        <v>0</v>
      </c>
      <c r="AB191" s="49">
        <v>3</v>
      </c>
      <c r="AC191" s="50">
        <v>75</v>
      </c>
      <c r="AD191" s="49">
        <v>4</v>
      </c>
    </row>
    <row r="192" spans="1:30" ht="15">
      <c r="A192" s="68" t="s">
        <v>420</v>
      </c>
      <c r="B192" s="68" t="s">
        <v>419</v>
      </c>
      <c r="C192" s="69" t="s">
        <v>1691</v>
      </c>
      <c r="D192" s="70">
        <v>3</v>
      </c>
      <c r="E192" s="71"/>
      <c r="F192" s="72">
        <v>70</v>
      </c>
      <c r="G192" s="69"/>
      <c r="H192" s="73"/>
      <c r="I192" s="74"/>
      <c r="J192" s="74"/>
      <c r="K192" s="35" t="s">
        <v>65</v>
      </c>
      <c r="L192" s="81">
        <v>192</v>
      </c>
      <c r="M192" s="81"/>
      <c r="N192" s="76"/>
      <c r="O192" s="83" t="s">
        <v>520</v>
      </c>
      <c r="P192" s="83">
        <v>1</v>
      </c>
      <c r="Q192" s="83" t="s">
        <v>521</v>
      </c>
      <c r="R192" s="83" t="s">
        <v>657</v>
      </c>
      <c r="S192" s="83">
        <v>28512</v>
      </c>
      <c r="T192" s="82" t="str">
        <f>REPLACE(INDEX(GroupVertices[Group],MATCH(Edges[[#This Row],[Vertex 1]],GroupVertices[Vertex],0)),1,1,"")</f>
        <v>10</v>
      </c>
      <c r="U192" s="82" t="str">
        <f>REPLACE(INDEX(GroupVertices[Group],MATCH(Edges[[#This Row],[Vertex 2]],GroupVertices[Vertex],0)),1,1,"")</f>
        <v>10</v>
      </c>
      <c r="V192" s="49">
        <v>1</v>
      </c>
      <c r="W192" s="50">
        <v>6.25</v>
      </c>
      <c r="X192" s="49">
        <v>1</v>
      </c>
      <c r="Y192" s="50">
        <v>6.25</v>
      </c>
      <c r="Z192" s="49">
        <v>0</v>
      </c>
      <c r="AA192" s="50">
        <v>0</v>
      </c>
      <c r="AB192" s="49">
        <v>14</v>
      </c>
      <c r="AC192" s="50">
        <v>87.5</v>
      </c>
      <c r="AD192" s="49">
        <v>16</v>
      </c>
    </row>
    <row r="193" spans="1:30" ht="15">
      <c r="A193" s="68" t="s">
        <v>420</v>
      </c>
      <c r="B193" s="68" t="s">
        <v>420</v>
      </c>
      <c r="C193" s="69" t="s">
        <v>1691</v>
      </c>
      <c r="D193" s="70">
        <v>3</v>
      </c>
      <c r="E193" s="71"/>
      <c r="F193" s="72">
        <v>70</v>
      </c>
      <c r="G193" s="69"/>
      <c r="H193" s="73"/>
      <c r="I193" s="74"/>
      <c r="J193" s="74"/>
      <c r="K193" s="35" t="s">
        <v>65</v>
      </c>
      <c r="L193" s="81">
        <v>193</v>
      </c>
      <c r="M193" s="81"/>
      <c r="N193" s="76"/>
      <c r="O193" s="83" t="s">
        <v>520</v>
      </c>
      <c r="P193" s="83">
        <v>1</v>
      </c>
      <c r="Q193" s="83" t="s">
        <v>521</v>
      </c>
      <c r="R193" s="83" t="s">
        <v>613</v>
      </c>
      <c r="S193" s="83">
        <v>28512</v>
      </c>
      <c r="T193" s="82" t="str">
        <f>REPLACE(INDEX(GroupVertices[Group],MATCH(Edges[[#This Row],[Vertex 1]],GroupVertices[Vertex],0)),1,1,"")</f>
        <v>10</v>
      </c>
      <c r="U193" s="82" t="str">
        <f>REPLACE(INDEX(GroupVertices[Group],MATCH(Edges[[#This Row],[Vertex 2]],GroupVertices[Vertex],0)),1,1,"")</f>
        <v>10</v>
      </c>
      <c r="V193" s="49">
        <v>0</v>
      </c>
      <c r="W193" s="50">
        <v>0</v>
      </c>
      <c r="X193" s="49">
        <v>0</v>
      </c>
      <c r="Y193" s="50">
        <v>0</v>
      </c>
      <c r="Z193" s="49">
        <v>0</v>
      </c>
      <c r="AA193" s="50">
        <v>0</v>
      </c>
      <c r="AB193" s="49">
        <v>2</v>
      </c>
      <c r="AC193" s="50">
        <v>100</v>
      </c>
      <c r="AD193" s="49">
        <v>2</v>
      </c>
    </row>
    <row r="194" spans="1:30" ht="15">
      <c r="A194" s="68" t="s">
        <v>417</v>
      </c>
      <c r="B194" s="68" t="s">
        <v>420</v>
      </c>
      <c r="C194" s="69" t="s">
        <v>1691</v>
      </c>
      <c r="D194" s="70">
        <v>3</v>
      </c>
      <c r="E194" s="71"/>
      <c r="F194" s="72">
        <v>70</v>
      </c>
      <c r="G194" s="69"/>
      <c r="H194" s="73"/>
      <c r="I194" s="74"/>
      <c r="J194" s="74"/>
      <c r="K194" s="35" t="s">
        <v>65</v>
      </c>
      <c r="L194" s="81">
        <v>194</v>
      </c>
      <c r="M194" s="81"/>
      <c r="N194" s="76"/>
      <c r="O194" s="83" t="s">
        <v>520</v>
      </c>
      <c r="P194" s="83">
        <v>1</v>
      </c>
      <c r="Q194" s="83" t="s">
        <v>521</v>
      </c>
      <c r="R194" s="83" t="s">
        <v>658</v>
      </c>
      <c r="S194" s="83">
        <v>28821</v>
      </c>
      <c r="T194" s="82" t="str">
        <f>REPLACE(INDEX(GroupVertices[Group],MATCH(Edges[[#This Row],[Vertex 1]],GroupVertices[Vertex],0)),1,1,"")</f>
        <v>10</v>
      </c>
      <c r="U194" s="82" t="str">
        <f>REPLACE(INDEX(GroupVertices[Group],MATCH(Edges[[#This Row],[Vertex 2]],GroupVertices[Vertex],0)),1,1,"")</f>
        <v>10</v>
      </c>
      <c r="V194" s="49">
        <v>1</v>
      </c>
      <c r="W194" s="50">
        <v>10</v>
      </c>
      <c r="X194" s="49">
        <v>0</v>
      </c>
      <c r="Y194" s="50">
        <v>0</v>
      </c>
      <c r="Z194" s="49">
        <v>0</v>
      </c>
      <c r="AA194" s="50">
        <v>0</v>
      </c>
      <c r="AB194" s="49">
        <v>9</v>
      </c>
      <c r="AC194" s="50">
        <v>90</v>
      </c>
      <c r="AD194" s="49">
        <v>10</v>
      </c>
    </row>
    <row r="195" spans="1:30" ht="15">
      <c r="A195" s="68" t="s">
        <v>421</v>
      </c>
      <c r="B195" s="68" t="s">
        <v>417</v>
      </c>
      <c r="C195" s="69" t="s">
        <v>1691</v>
      </c>
      <c r="D195" s="70">
        <v>3</v>
      </c>
      <c r="E195" s="71"/>
      <c r="F195" s="72">
        <v>70</v>
      </c>
      <c r="G195" s="69"/>
      <c r="H195" s="73"/>
      <c r="I195" s="74"/>
      <c r="J195" s="74"/>
      <c r="K195" s="35" t="s">
        <v>65</v>
      </c>
      <c r="L195" s="81">
        <v>195</v>
      </c>
      <c r="M195" s="81"/>
      <c r="N195" s="76"/>
      <c r="O195" s="83" t="s">
        <v>520</v>
      </c>
      <c r="P195" s="83">
        <v>1</v>
      </c>
      <c r="Q195" s="83" t="s">
        <v>521</v>
      </c>
      <c r="R195" s="83"/>
      <c r="S195" s="83">
        <v>30093</v>
      </c>
      <c r="T195" s="82" t="str">
        <f>REPLACE(INDEX(GroupVertices[Group],MATCH(Edges[[#This Row],[Vertex 1]],GroupVertices[Vertex],0)),1,1,"")</f>
        <v>10</v>
      </c>
      <c r="U195" s="82" t="str">
        <f>REPLACE(INDEX(GroupVertices[Group],MATCH(Edges[[#This Row],[Vertex 2]],GroupVertices[Vertex],0)),1,1,"")</f>
        <v>10</v>
      </c>
      <c r="V195" s="49"/>
      <c r="W195" s="50"/>
      <c r="X195" s="49"/>
      <c r="Y195" s="50"/>
      <c r="Z195" s="49"/>
      <c r="AA195" s="50"/>
      <c r="AB195" s="49"/>
      <c r="AC195" s="50"/>
      <c r="AD195" s="49"/>
    </row>
    <row r="196" spans="1:30" ht="15">
      <c r="A196" s="68" t="s">
        <v>422</v>
      </c>
      <c r="B196" s="68" t="s">
        <v>421</v>
      </c>
      <c r="C196" s="69" t="s">
        <v>1691</v>
      </c>
      <c r="D196" s="70">
        <v>3</v>
      </c>
      <c r="E196" s="71"/>
      <c r="F196" s="72">
        <v>70</v>
      </c>
      <c r="G196" s="69"/>
      <c r="H196" s="73"/>
      <c r="I196" s="74"/>
      <c r="J196" s="74"/>
      <c r="K196" s="35" t="s">
        <v>65</v>
      </c>
      <c r="L196" s="81">
        <v>196</v>
      </c>
      <c r="M196" s="81"/>
      <c r="N196" s="76"/>
      <c r="O196" s="83" t="s">
        <v>520</v>
      </c>
      <c r="P196" s="83">
        <v>1</v>
      </c>
      <c r="Q196" s="83" t="s">
        <v>521</v>
      </c>
      <c r="R196" s="83" t="s">
        <v>659</v>
      </c>
      <c r="S196" s="83">
        <v>30655</v>
      </c>
      <c r="T196" s="82" t="str">
        <f>REPLACE(INDEX(GroupVertices[Group],MATCH(Edges[[#This Row],[Vertex 1]],GroupVertices[Vertex],0)),1,1,"")</f>
        <v>10</v>
      </c>
      <c r="U196" s="82" t="str">
        <f>REPLACE(INDEX(GroupVertices[Group],MATCH(Edges[[#This Row],[Vertex 2]],GroupVertices[Vertex],0)),1,1,"")</f>
        <v>10</v>
      </c>
      <c r="V196" s="49">
        <v>1</v>
      </c>
      <c r="W196" s="50">
        <v>14.285714285714286</v>
      </c>
      <c r="X196" s="49">
        <v>0</v>
      </c>
      <c r="Y196" s="50">
        <v>0</v>
      </c>
      <c r="Z196" s="49">
        <v>0</v>
      </c>
      <c r="AA196" s="50">
        <v>0</v>
      </c>
      <c r="AB196" s="49">
        <v>6</v>
      </c>
      <c r="AC196" s="50">
        <v>85.71428571428571</v>
      </c>
      <c r="AD196" s="49">
        <v>7</v>
      </c>
    </row>
    <row r="197" spans="1:30" ht="15">
      <c r="A197" s="68" t="s">
        <v>328</v>
      </c>
      <c r="B197" s="68" t="s">
        <v>422</v>
      </c>
      <c r="C197" s="69" t="s">
        <v>1691</v>
      </c>
      <c r="D197" s="70">
        <v>3</v>
      </c>
      <c r="E197" s="71"/>
      <c r="F197" s="72">
        <v>70</v>
      </c>
      <c r="G197" s="69"/>
      <c r="H197" s="73"/>
      <c r="I197" s="74"/>
      <c r="J197" s="74"/>
      <c r="K197" s="35" t="s">
        <v>65</v>
      </c>
      <c r="L197" s="81">
        <v>197</v>
      </c>
      <c r="M197" s="81"/>
      <c r="N197" s="76"/>
      <c r="O197" s="83" t="s">
        <v>520</v>
      </c>
      <c r="P197" s="83">
        <v>1</v>
      </c>
      <c r="Q197" s="83" t="s">
        <v>521</v>
      </c>
      <c r="R197" s="83" t="s">
        <v>660</v>
      </c>
      <c r="S197" s="83">
        <v>30941</v>
      </c>
      <c r="T197" s="82" t="str">
        <f>REPLACE(INDEX(GroupVertices[Group],MATCH(Edges[[#This Row],[Vertex 1]],GroupVertices[Vertex],0)),1,1,"")</f>
        <v>1</v>
      </c>
      <c r="U197" s="82" t="str">
        <f>REPLACE(INDEX(GroupVertices[Group],MATCH(Edges[[#This Row],[Vertex 2]],GroupVertices[Vertex],0)),1,1,"")</f>
        <v>10</v>
      </c>
      <c r="V197" s="49">
        <v>1</v>
      </c>
      <c r="W197" s="50">
        <v>5</v>
      </c>
      <c r="X197" s="49">
        <v>0</v>
      </c>
      <c r="Y197" s="50">
        <v>0</v>
      </c>
      <c r="Z197" s="49">
        <v>0</v>
      </c>
      <c r="AA197" s="50">
        <v>0</v>
      </c>
      <c r="AB197" s="49">
        <v>19</v>
      </c>
      <c r="AC197" s="50">
        <v>95</v>
      </c>
      <c r="AD197" s="49">
        <v>20</v>
      </c>
    </row>
    <row r="198" spans="1:30" ht="15">
      <c r="A198" s="68" t="s">
        <v>423</v>
      </c>
      <c r="B198" s="68" t="s">
        <v>328</v>
      </c>
      <c r="C198" s="69" t="s">
        <v>1691</v>
      </c>
      <c r="D198" s="70">
        <v>3</v>
      </c>
      <c r="E198" s="71"/>
      <c r="F198" s="72">
        <v>70</v>
      </c>
      <c r="G198" s="69"/>
      <c r="H198" s="73"/>
      <c r="I198" s="74"/>
      <c r="J198" s="74"/>
      <c r="K198" s="35" t="s">
        <v>65</v>
      </c>
      <c r="L198" s="81">
        <v>198</v>
      </c>
      <c r="M198" s="81"/>
      <c r="N198" s="76"/>
      <c r="O198" s="83" t="s">
        <v>520</v>
      </c>
      <c r="P198" s="83">
        <v>1</v>
      </c>
      <c r="Q198" s="83" t="s">
        <v>521</v>
      </c>
      <c r="R198" s="83" t="s">
        <v>661</v>
      </c>
      <c r="S198" s="83">
        <v>32679</v>
      </c>
      <c r="T198" s="82" t="str">
        <f>REPLACE(INDEX(GroupVertices[Group],MATCH(Edges[[#This Row],[Vertex 1]],GroupVertices[Vertex],0)),1,1,"")</f>
        <v>1</v>
      </c>
      <c r="U198" s="82" t="str">
        <f>REPLACE(INDEX(GroupVertices[Group],MATCH(Edges[[#This Row],[Vertex 2]],GroupVertices[Vertex],0)),1,1,"")</f>
        <v>1</v>
      </c>
      <c r="V198" s="49">
        <v>0</v>
      </c>
      <c r="W198" s="50">
        <v>0</v>
      </c>
      <c r="X198" s="49">
        <v>0</v>
      </c>
      <c r="Y198" s="50">
        <v>0</v>
      </c>
      <c r="Z198" s="49">
        <v>0</v>
      </c>
      <c r="AA198" s="50">
        <v>0</v>
      </c>
      <c r="AB198" s="49">
        <v>8</v>
      </c>
      <c r="AC198" s="50">
        <v>100</v>
      </c>
      <c r="AD198" s="49">
        <v>8</v>
      </c>
    </row>
    <row r="199" spans="1:30" ht="15">
      <c r="A199" s="68" t="s">
        <v>424</v>
      </c>
      <c r="B199" s="68" t="s">
        <v>423</v>
      </c>
      <c r="C199" s="69" t="s">
        <v>1691</v>
      </c>
      <c r="D199" s="70">
        <v>3</v>
      </c>
      <c r="E199" s="71"/>
      <c r="F199" s="72">
        <v>70</v>
      </c>
      <c r="G199" s="69"/>
      <c r="H199" s="73"/>
      <c r="I199" s="74"/>
      <c r="J199" s="74"/>
      <c r="K199" s="35" t="s">
        <v>65</v>
      </c>
      <c r="L199" s="81">
        <v>199</v>
      </c>
      <c r="M199" s="81"/>
      <c r="N199" s="76"/>
      <c r="O199" s="83" t="s">
        <v>520</v>
      </c>
      <c r="P199" s="83">
        <v>1</v>
      </c>
      <c r="Q199" s="83" t="s">
        <v>521</v>
      </c>
      <c r="R199" s="83" t="s">
        <v>662</v>
      </c>
      <c r="S199" s="83">
        <v>32927</v>
      </c>
      <c r="T199" s="82" t="str">
        <f>REPLACE(INDEX(GroupVertices[Group],MATCH(Edges[[#This Row],[Vertex 1]],GroupVertices[Vertex],0)),1,1,"")</f>
        <v>1</v>
      </c>
      <c r="U199" s="82" t="str">
        <f>REPLACE(INDEX(GroupVertices[Group],MATCH(Edges[[#This Row],[Vertex 2]],GroupVertices[Vertex],0)),1,1,"")</f>
        <v>1</v>
      </c>
      <c r="V199" s="49">
        <v>0</v>
      </c>
      <c r="W199" s="50">
        <v>0</v>
      </c>
      <c r="X199" s="49">
        <v>0</v>
      </c>
      <c r="Y199" s="50">
        <v>0</v>
      </c>
      <c r="Z199" s="49">
        <v>0</v>
      </c>
      <c r="AA199" s="50">
        <v>0</v>
      </c>
      <c r="AB199" s="49">
        <v>6</v>
      </c>
      <c r="AC199" s="50">
        <v>100</v>
      </c>
      <c r="AD199" s="49">
        <v>6</v>
      </c>
    </row>
    <row r="200" spans="1:30" ht="15">
      <c r="A200" s="68" t="s">
        <v>425</v>
      </c>
      <c r="B200" s="68" t="s">
        <v>424</v>
      </c>
      <c r="C200" s="69" t="s">
        <v>1691</v>
      </c>
      <c r="D200" s="70">
        <v>3</v>
      </c>
      <c r="E200" s="71"/>
      <c r="F200" s="72">
        <v>70</v>
      </c>
      <c r="G200" s="69"/>
      <c r="H200" s="73"/>
      <c r="I200" s="74"/>
      <c r="J200" s="74"/>
      <c r="K200" s="35" t="s">
        <v>65</v>
      </c>
      <c r="L200" s="81">
        <v>200</v>
      </c>
      <c r="M200" s="81"/>
      <c r="N200" s="76"/>
      <c r="O200" s="83" t="s">
        <v>520</v>
      </c>
      <c r="P200" s="83">
        <v>1</v>
      </c>
      <c r="Q200" s="83" t="s">
        <v>521</v>
      </c>
      <c r="R200" s="83" t="s">
        <v>663</v>
      </c>
      <c r="S200" s="83">
        <v>33012</v>
      </c>
      <c r="T200" s="82" t="str">
        <f>REPLACE(INDEX(GroupVertices[Group],MATCH(Edges[[#This Row],[Vertex 1]],GroupVertices[Vertex],0)),1,1,"")</f>
        <v>1</v>
      </c>
      <c r="U200" s="82" t="str">
        <f>REPLACE(INDEX(GroupVertices[Group],MATCH(Edges[[#This Row],[Vertex 2]],GroupVertices[Vertex],0)),1,1,"")</f>
        <v>1</v>
      </c>
      <c r="V200" s="49">
        <v>0</v>
      </c>
      <c r="W200" s="50">
        <v>0</v>
      </c>
      <c r="X200" s="49">
        <v>0</v>
      </c>
      <c r="Y200" s="50">
        <v>0</v>
      </c>
      <c r="Z200" s="49">
        <v>0</v>
      </c>
      <c r="AA200" s="50">
        <v>0</v>
      </c>
      <c r="AB200" s="49">
        <v>6</v>
      </c>
      <c r="AC200" s="50">
        <v>100</v>
      </c>
      <c r="AD200" s="49">
        <v>6</v>
      </c>
    </row>
    <row r="201" spans="1:30" ht="15">
      <c r="A201" s="68" t="s">
        <v>425</v>
      </c>
      <c r="B201" s="68" t="s">
        <v>425</v>
      </c>
      <c r="C201" s="69" t="s">
        <v>1691</v>
      </c>
      <c r="D201" s="70">
        <v>3</v>
      </c>
      <c r="E201" s="71"/>
      <c r="F201" s="72">
        <v>70</v>
      </c>
      <c r="G201" s="69"/>
      <c r="H201" s="73"/>
      <c r="I201" s="74"/>
      <c r="J201" s="74"/>
      <c r="K201" s="35" t="s">
        <v>65</v>
      </c>
      <c r="L201" s="81">
        <v>201</v>
      </c>
      <c r="M201" s="81"/>
      <c r="N201" s="76"/>
      <c r="O201" s="83" t="s">
        <v>520</v>
      </c>
      <c r="P201" s="83">
        <v>1</v>
      </c>
      <c r="Q201" s="83" t="s">
        <v>521</v>
      </c>
      <c r="R201" s="83" t="s">
        <v>664</v>
      </c>
      <c r="S201" s="83">
        <v>32992</v>
      </c>
      <c r="T201" s="82" t="str">
        <f>REPLACE(INDEX(GroupVertices[Group],MATCH(Edges[[#This Row],[Vertex 1]],GroupVertices[Vertex],0)),1,1,"")</f>
        <v>1</v>
      </c>
      <c r="U201" s="82" t="str">
        <f>REPLACE(INDEX(GroupVertices[Group],MATCH(Edges[[#This Row],[Vertex 2]],GroupVertices[Vertex],0)),1,1,"")</f>
        <v>1</v>
      </c>
      <c r="V201" s="49">
        <v>0</v>
      </c>
      <c r="W201" s="50">
        <v>0</v>
      </c>
      <c r="X201" s="49">
        <v>0</v>
      </c>
      <c r="Y201" s="50">
        <v>0</v>
      </c>
      <c r="Z201" s="49">
        <v>0</v>
      </c>
      <c r="AA201" s="50">
        <v>0</v>
      </c>
      <c r="AB201" s="49">
        <v>1</v>
      </c>
      <c r="AC201" s="50">
        <v>100</v>
      </c>
      <c r="AD201" s="49">
        <v>1</v>
      </c>
    </row>
    <row r="202" spans="1:30" ht="15">
      <c r="A202" s="68" t="s">
        <v>426</v>
      </c>
      <c r="B202" s="68" t="s">
        <v>425</v>
      </c>
      <c r="C202" s="69" t="s">
        <v>1691</v>
      </c>
      <c r="D202" s="70">
        <v>3</v>
      </c>
      <c r="E202" s="71"/>
      <c r="F202" s="72">
        <v>70</v>
      </c>
      <c r="G202" s="69"/>
      <c r="H202" s="73"/>
      <c r="I202" s="74"/>
      <c r="J202" s="74"/>
      <c r="K202" s="35" t="s">
        <v>65</v>
      </c>
      <c r="L202" s="81">
        <v>202</v>
      </c>
      <c r="M202" s="81"/>
      <c r="N202" s="76"/>
      <c r="O202" s="83" t="s">
        <v>520</v>
      </c>
      <c r="P202" s="83">
        <v>1</v>
      </c>
      <c r="Q202" s="83" t="s">
        <v>521</v>
      </c>
      <c r="R202" s="83"/>
      <c r="S202" s="83">
        <v>33385</v>
      </c>
      <c r="T202" s="82" t="str">
        <f>REPLACE(INDEX(GroupVertices[Group],MATCH(Edges[[#This Row],[Vertex 1]],GroupVertices[Vertex],0)),1,1,"")</f>
        <v>1</v>
      </c>
      <c r="U202" s="82" t="str">
        <f>REPLACE(INDEX(GroupVertices[Group],MATCH(Edges[[#This Row],[Vertex 2]],GroupVertices[Vertex],0)),1,1,"")</f>
        <v>1</v>
      </c>
      <c r="V202" s="49"/>
      <c r="W202" s="50"/>
      <c r="X202" s="49"/>
      <c r="Y202" s="50"/>
      <c r="Z202" s="49"/>
      <c r="AA202" s="50"/>
      <c r="AB202" s="49"/>
      <c r="AC202" s="50"/>
      <c r="AD202" s="49"/>
    </row>
    <row r="203" spans="1:30" ht="15">
      <c r="A203" s="68" t="s">
        <v>328</v>
      </c>
      <c r="B203" s="68" t="s">
        <v>426</v>
      </c>
      <c r="C203" s="69" t="s">
        <v>1691</v>
      </c>
      <c r="D203" s="70">
        <v>3</v>
      </c>
      <c r="E203" s="71"/>
      <c r="F203" s="72">
        <v>70</v>
      </c>
      <c r="G203" s="69"/>
      <c r="H203" s="73"/>
      <c r="I203" s="74"/>
      <c r="J203" s="74"/>
      <c r="K203" s="35" t="s">
        <v>65</v>
      </c>
      <c r="L203" s="81">
        <v>203</v>
      </c>
      <c r="M203" s="81"/>
      <c r="N203" s="76"/>
      <c r="O203" s="83" t="s">
        <v>520</v>
      </c>
      <c r="P203" s="83">
        <v>1</v>
      </c>
      <c r="Q203" s="83" t="s">
        <v>521</v>
      </c>
      <c r="R203" s="83" t="s">
        <v>665</v>
      </c>
      <c r="S203" s="83">
        <v>33667</v>
      </c>
      <c r="T203" s="82" t="str">
        <f>REPLACE(INDEX(GroupVertices[Group],MATCH(Edges[[#This Row],[Vertex 1]],GroupVertices[Vertex],0)),1,1,"")</f>
        <v>1</v>
      </c>
      <c r="U203" s="82" t="str">
        <f>REPLACE(INDEX(GroupVertices[Group],MATCH(Edges[[#This Row],[Vertex 2]],GroupVertices[Vertex],0)),1,1,"")</f>
        <v>1</v>
      </c>
      <c r="V203" s="49">
        <v>0</v>
      </c>
      <c r="W203" s="50">
        <v>0</v>
      </c>
      <c r="X203" s="49">
        <v>0</v>
      </c>
      <c r="Y203" s="50">
        <v>0</v>
      </c>
      <c r="Z203" s="49">
        <v>0</v>
      </c>
      <c r="AA203" s="50">
        <v>0</v>
      </c>
      <c r="AB203" s="49">
        <v>13</v>
      </c>
      <c r="AC203" s="50">
        <v>100</v>
      </c>
      <c r="AD203" s="49">
        <v>13</v>
      </c>
    </row>
    <row r="204" spans="1:30" ht="15">
      <c r="A204" s="68" t="s">
        <v>427</v>
      </c>
      <c r="B204" s="68" t="s">
        <v>328</v>
      </c>
      <c r="C204" s="69" t="s">
        <v>1691</v>
      </c>
      <c r="D204" s="70">
        <v>3</v>
      </c>
      <c r="E204" s="71"/>
      <c r="F204" s="72">
        <v>70</v>
      </c>
      <c r="G204" s="69"/>
      <c r="H204" s="73"/>
      <c r="I204" s="74"/>
      <c r="J204" s="74"/>
      <c r="K204" s="35" t="s">
        <v>66</v>
      </c>
      <c r="L204" s="81">
        <v>204</v>
      </c>
      <c r="M204" s="81"/>
      <c r="N204" s="76"/>
      <c r="O204" s="83" t="s">
        <v>520</v>
      </c>
      <c r="P204" s="83">
        <v>1</v>
      </c>
      <c r="Q204" s="83" t="s">
        <v>521</v>
      </c>
      <c r="R204" s="83" t="s">
        <v>666</v>
      </c>
      <c r="S204" s="83">
        <v>33888</v>
      </c>
      <c r="T204" s="82" t="str">
        <f>REPLACE(INDEX(GroupVertices[Group],MATCH(Edges[[#This Row],[Vertex 1]],GroupVertices[Vertex],0)),1,1,"")</f>
        <v>1</v>
      </c>
      <c r="U204" s="82" t="str">
        <f>REPLACE(INDEX(GroupVertices[Group],MATCH(Edges[[#This Row],[Vertex 2]],GroupVertices[Vertex],0)),1,1,"")</f>
        <v>1</v>
      </c>
      <c r="V204" s="49">
        <v>0</v>
      </c>
      <c r="W204" s="50">
        <v>0</v>
      </c>
      <c r="X204" s="49">
        <v>0</v>
      </c>
      <c r="Y204" s="50">
        <v>0</v>
      </c>
      <c r="Z204" s="49">
        <v>0</v>
      </c>
      <c r="AA204" s="50">
        <v>0</v>
      </c>
      <c r="AB204" s="49">
        <v>4</v>
      </c>
      <c r="AC204" s="50">
        <v>100</v>
      </c>
      <c r="AD204" s="49">
        <v>4</v>
      </c>
    </row>
    <row r="205" spans="1:30" ht="15">
      <c r="A205" s="68" t="s">
        <v>328</v>
      </c>
      <c r="B205" s="68" t="s">
        <v>427</v>
      </c>
      <c r="C205" s="69" t="s">
        <v>1691</v>
      </c>
      <c r="D205" s="70">
        <v>3</v>
      </c>
      <c r="E205" s="71"/>
      <c r="F205" s="72">
        <v>70</v>
      </c>
      <c r="G205" s="69"/>
      <c r="H205" s="73"/>
      <c r="I205" s="74"/>
      <c r="J205" s="74"/>
      <c r="K205" s="35" t="s">
        <v>66</v>
      </c>
      <c r="L205" s="81">
        <v>205</v>
      </c>
      <c r="M205" s="81"/>
      <c r="N205" s="76"/>
      <c r="O205" s="83" t="s">
        <v>520</v>
      </c>
      <c r="P205" s="83">
        <v>1</v>
      </c>
      <c r="Q205" s="83" t="s">
        <v>521</v>
      </c>
      <c r="R205" s="83" t="s">
        <v>667</v>
      </c>
      <c r="S205" s="83">
        <v>34192</v>
      </c>
      <c r="T205" s="82" t="str">
        <f>REPLACE(INDEX(GroupVertices[Group],MATCH(Edges[[#This Row],[Vertex 1]],GroupVertices[Vertex],0)),1,1,"")</f>
        <v>1</v>
      </c>
      <c r="U205" s="82" t="str">
        <f>REPLACE(INDEX(GroupVertices[Group],MATCH(Edges[[#This Row],[Vertex 2]],GroupVertices[Vertex],0)),1,1,"")</f>
        <v>1</v>
      </c>
      <c r="V205" s="49">
        <v>0</v>
      </c>
      <c r="W205" s="50">
        <v>0</v>
      </c>
      <c r="X205" s="49">
        <v>0</v>
      </c>
      <c r="Y205" s="50">
        <v>0</v>
      </c>
      <c r="Z205" s="49">
        <v>0</v>
      </c>
      <c r="AA205" s="50">
        <v>0</v>
      </c>
      <c r="AB205" s="49">
        <v>10</v>
      </c>
      <c r="AC205" s="50">
        <v>100</v>
      </c>
      <c r="AD205" s="49">
        <v>10</v>
      </c>
    </row>
    <row r="206" spans="1:30" ht="15">
      <c r="A206" s="68" t="s">
        <v>428</v>
      </c>
      <c r="B206" s="68" t="s">
        <v>328</v>
      </c>
      <c r="C206" s="69" t="s">
        <v>1691</v>
      </c>
      <c r="D206" s="70">
        <v>3</v>
      </c>
      <c r="E206" s="71"/>
      <c r="F206" s="72">
        <v>70</v>
      </c>
      <c r="G206" s="69"/>
      <c r="H206" s="73"/>
      <c r="I206" s="74"/>
      <c r="J206" s="74"/>
      <c r="K206" s="35" t="s">
        <v>65</v>
      </c>
      <c r="L206" s="81">
        <v>206</v>
      </c>
      <c r="M206" s="81"/>
      <c r="N206" s="76"/>
      <c r="O206" s="83" t="s">
        <v>520</v>
      </c>
      <c r="P206" s="83">
        <v>1</v>
      </c>
      <c r="Q206" s="83" t="s">
        <v>521</v>
      </c>
      <c r="R206" s="83" t="s">
        <v>668</v>
      </c>
      <c r="S206" s="83">
        <v>34338</v>
      </c>
      <c r="T206" s="82" t="str">
        <f>REPLACE(INDEX(GroupVertices[Group],MATCH(Edges[[#This Row],[Vertex 1]],GroupVertices[Vertex],0)),1,1,"")</f>
        <v>10</v>
      </c>
      <c r="U206" s="82" t="str">
        <f>REPLACE(INDEX(GroupVertices[Group],MATCH(Edges[[#This Row],[Vertex 2]],GroupVertices[Vertex],0)),1,1,"")</f>
        <v>1</v>
      </c>
      <c r="V206" s="49">
        <v>0</v>
      </c>
      <c r="W206" s="50">
        <v>0</v>
      </c>
      <c r="X206" s="49">
        <v>0</v>
      </c>
      <c r="Y206" s="50">
        <v>0</v>
      </c>
      <c r="Z206" s="49">
        <v>0</v>
      </c>
      <c r="AA206" s="50">
        <v>0</v>
      </c>
      <c r="AB206" s="49">
        <v>9</v>
      </c>
      <c r="AC206" s="50">
        <v>100</v>
      </c>
      <c r="AD206" s="49">
        <v>9</v>
      </c>
    </row>
    <row r="207" spans="1:30" ht="15">
      <c r="A207" s="68" t="s">
        <v>429</v>
      </c>
      <c r="B207" s="68" t="s">
        <v>428</v>
      </c>
      <c r="C207" s="69" t="s">
        <v>1691</v>
      </c>
      <c r="D207" s="70">
        <v>3</v>
      </c>
      <c r="E207" s="71"/>
      <c r="F207" s="72">
        <v>70</v>
      </c>
      <c r="G207" s="69"/>
      <c r="H207" s="73"/>
      <c r="I207" s="74"/>
      <c r="J207" s="74"/>
      <c r="K207" s="35" t="s">
        <v>65</v>
      </c>
      <c r="L207" s="81">
        <v>207</v>
      </c>
      <c r="M207" s="81"/>
      <c r="N207" s="76"/>
      <c r="O207" s="83" t="s">
        <v>520</v>
      </c>
      <c r="P207" s="83">
        <v>1</v>
      </c>
      <c r="Q207" s="83" t="s">
        <v>521</v>
      </c>
      <c r="R207" s="83" t="s">
        <v>669</v>
      </c>
      <c r="S207" s="83">
        <v>35092</v>
      </c>
      <c r="T207" s="82" t="str">
        <f>REPLACE(INDEX(GroupVertices[Group],MATCH(Edges[[#This Row],[Vertex 1]],GroupVertices[Vertex],0)),1,1,"")</f>
        <v>10</v>
      </c>
      <c r="U207" s="82" t="str">
        <f>REPLACE(INDEX(GroupVertices[Group],MATCH(Edges[[#This Row],[Vertex 2]],GroupVertices[Vertex],0)),1,1,"")</f>
        <v>10</v>
      </c>
      <c r="V207" s="49">
        <v>0</v>
      </c>
      <c r="W207" s="50">
        <v>0</v>
      </c>
      <c r="X207" s="49">
        <v>0</v>
      </c>
      <c r="Y207" s="50">
        <v>0</v>
      </c>
      <c r="Z207" s="49">
        <v>0</v>
      </c>
      <c r="AA207" s="50">
        <v>0</v>
      </c>
      <c r="AB207" s="49">
        <v>8</v>
      </c>
      <c r="AC207" s="50">
        <v>100</v>
      </c>
      <c r="AD207" s="49">
        <v>8</v>
      </c>
    </row>
    <row r="208" spans="1:30" ht="15">
      <c r="A208" s="68" t="s">
        <v>429</v>
      </c>
      <c r="B208" s="68" t="s">
        <v>429</v>
      </c>
      <c r="C208" s="69" t="s">
        <v>1691</v>
      </c>
      <c r="D208" s="70">
        <v>3</v>
      </c>
      <c r="E208" s="71"/>
      <c r="F208" s="72">
        <v>70</v>
      </c>
      <c r="G208" s="69"/>
      <c r="H208" s="73"/>
      <c r="I208" s="74"/>
      <c r="J208" s="74"/>
      <c r="K208" s="35" t="s">
        <v>65</v>
      </c>
      <c r="L208" s="81">
        <v>208</v>
      </c>
      <c r="M208" s="81"/>
      <c r="N208" s="76"/>
      <c r="O208" s="83" t="s">
        <v>520</v>
      </c>
      <c r="P208" s="83">
        <v>1</v>
      </c>
      <c r="Q208" s="83" t="s">
        <v>521</v>
      </c>
      <c r="R208" s="83" t="s">
        <v>670</v>
      </c>
      <c r="S208" s="83">
        <v>35093</v>
      </c>
      <c r="T208" s="82" t="str">
        <f>REPLACE(INDEX(GroupVertices[Group],MATCH(Edges[[#This Row],[Vertex 1]],GroupVertices[Vertex],0)),1,1,"")</f>
        <v>10</v>
      </c>
      <c r="U208" s="82" t="str">
        <f>REPLACE(INDEX(GroupVertices[Group],MATCH(Edges[[#This Row],[Vertex 2]],GroupVertices[Vertex],0)),1,1,"")</f>
        <v>10</v>
      </c>
      <c r="V208" s="49">
        <v>0</v>
      </c>
      <c r="W208" s="50">
        <v>0</v>
      </c>
      <c r="X208" s="49">
        <v>0</v>
      </c>
      <c r="Y208" s="50">
        <v>0</v>
      </c>
      <c r="Z208" s="49">
        <v>0</v>
      </c>
      <c r="AA208" s="50">
        <v>0</v>
      </c>
      <c r="AB208" s="49">
        <v>6</v>
      </c>
      <c r="AC208" s="50">
        <v>100</v>
      </c>
      <c r="AD208" s="49">
        <v>6</v>
      </c>
    </row>
    <row r="209" spans="1:30" ht="15">
      <c r="A209" s="68" t="s">
        <v>417</v>
      </c>
      <c r="B209" s="68" t="s">
        <v>429</v>
      </c>
      <c r="C209" s="69" t="s">
        <v>1691</v>
      </c>
      <c r="D209" s="70">
        <v>3</v>
      </c>
      <c r="E209" s="71"/>
      <c r="F209" s="72">
        <v>70</v>
      </c>
      <c r="G209" s="69"/>
      <c r="H209" s="73"/>
      <c r="I209" s="74"/>
      <c r="J209" s="74"/>
      <c r="K209" s="35" t="s">
        <v>65</v>
      </c>
      <c r="L209" s="81">
        <v>209</v>
      </c>
      <c r="M209" s="81"/>
      <c r="N209" s="76"/>
      <c r="O209" s="83" t="s">
        <v>520</v>
      </c>
      <c r="P209" s="83">
        <v>1</v>
      </c>
      <c r="Q209" s="83" t="s">
        <v>521</v>
      </c>
      <c r="R209" s="83" t="s">
        <v>671</v>
      </c>
      <c r="S209" s="83">
        <v>35580</v>
      </c>
      <c r="T209" s="82" t="str">
        <f>REPLACE(INDEX(GroupVertices[Group],MATCH(Edges[[#This Row],[Vertex 1]],GroupVertices[Vertex],0)),1,1,"")</f>
        <v>10</v>
      </c>
      <c r="U209" s="82" t="str">
        <f>REPLACE(INDEX(GroupVertices[Group],MATCH(Edges[[#This Row],[Vertex 2]],GroupVertices[Vertex],0)),1,1,"")</f>
        <v>10</v>
      </c>
      <c r="V209" s="49">
        <v>0</v>
      </c>
      <c r="W209" s="50">
        <v>0</v>
      </c>
      <c r="X209" s="49">
        <v>0</v>
      </c>
      <c r="Y209" s="50">
        <v>0</v>
      </c>
      <c r="Z209" s="49">
        <v>0</v>
      </c>
      <c r="AA209" s="50">
        <v>0</v>
      </c>
      <c r="AB209" s="49">
        <v>7</v>
      </c>
      <c r="AC209" s="50">
        <v>100</v>
      </c>
      <c r="AD209" s="49">
        <v>7</v>
      </c>
    </row>
    <row r="210" spans="1:30" ht="15">
      <c r="A210" s="68" t="s">
        <v>430</v>
      </c>
      <c r="B210" s="68" t="s">
        <v>417</v>
      </c>
      <c r="C210" s="69" t="s">
        <v>1691</v>
      </c>
      <c r="D210" s="70">
        <v>3</v>
      </c>
      <c r="E210" s="71"/>
      <c r="F210" s="72">
        <v>70</v>
      </c>
      <c r="G210" s="69"/>
      <c r="H210" s="73"/>
      <c r="I210" s="74"/>
      <c r="J210" s="74"/>
      <c r="K210" s="35" t="s">
        <v>65</v>
      </c>
      <c r="L210" s="81">
        <v>210</v>
      </c>
      <c r="M210" s="81"/>
      <c r="N210" s="76"/>
      <c r="O210" s="83" t="s">
        <v>520</v>
      </c>
      <c r="P210" s="83">
        <v>1</v>
      </c>
      <c r="Q210" s="83" t="s">
        <v>521</v>
      </c>
      <c r="R210" s="83" t="s">
        <v>672</v>
      </c>
      <c r="S210" s="83">
        <v>35738</v>
      </c>
      <c r="T210" s="82" t="str">
        <f>REPLACE(INDEX(GroupVertices[Group],MATCH(Edges[[#This Row],[Vertex 1]],GroupVertices[Vertex],0)),1,1,"")</f>
        <v>10</v>
      </c>
      <c r="U210" s="82" t="str">
        <f>REPLACE(INDEX(GroupVertices[Group],MATCH(Edges[[#This Row],[Vertex 2]],GroupVertices[Vertex],0)),1,1,"")</f>
        <v>10</v>
      </c>
      <c r="V210" s="49">
        <v>0</v>
      </c>
      <c r="W210" s="50">
        <v>0</v>
      </c>
      <c r="X210" s="49">
        <v>0</v>
      </c>
      <c r="Y210" s="50">
        <v>0</v>
      </c>
      <c r="Z210" s="49">
        <v>0</v>
      </c>
      <c r="AA210" s="50">
        <v>0</v>
      </c>
      <c r="AB210" s="49">
        <v>10</v>
      </c>
      <c r="AC210" s="50">
        <v>100</v>
      </c>
      <c r="AD210" s="49">
        <v>10</v>
      </c>
    </row>
    <row r="211" spans="1:30" ht="15">
      <c r="A211" s="68" t="s">
        <v>431</v>
      </c>
      <c r="B211" s="68" t="s">
        <v>430</v>
      </c>
      <c r="C211" s="69" t="s">
        <v>1691</v>
      </c>
      <c r="D211" s="70">
        <v>3</v>
      </c>
      <c r="E211" s="71"/>
      <c r="F211" s="72">
        <v>70</v>
      </c>
      <c r="G211" s="69"/>
      <c r="H211" s="73"/>
      <c r="I211" s="74"/>
      <c r="J211" s="74"/>
      <c r="K211" s="35" t="s">
        <v>65</v>
      </c>
      <c r="L211" s="81">
        <v>211</v>
      </c>
      <c r="M211" s="81"/>
      <c r="N211" s="76"/>
      <c r="O211" s="83" t="s">
        <v>520</v>
      </c>
      <c r="P211" s="83">
        <v>1</v>
      </c>
      <c r="Q211" s="83" t="s">
        <v>521</v>
      </c>
      <c r="R211" s="83" t="s">
        <v>673</v>
      </c>
      <c r="S211" s="83">
        <v>35830</v>
      </c>
      <c r="T211" s="82" t="str">
        <f>REPLACE(INDEX(GroupVertices[Group],MATCH(Edges[[#This Row],[Vertex 1]],GroupVertices[Vertex],0)),1,1,"")</f>
        <v>10</v>
      </c>
      <c r="U211" s="82" t="str">
        <f>REPLACE(INDEX(GroupVertices[Group],MATCH(Edges[[#This Row],[Vertex 2]],GroupVertices[Vertex],0)),1,1,"")</f>
        <v>10</v>
      </c>
      <c r="V211" s="49">
        <v>0</v>
      </c>
      <c r="W211" s="50">
        <v>0</v>
      </c>
      <c r="X211" s="49">
        <v>0</v>
      </c>
      <c r="Y211" s="50">
        <v>0</v>
      </c>
      <c r="Z211" s="49">
        <v>0</v>
      </c>
      <c r="AA211" s="50">
        <v>0</v>
      </c>
      <c r="AB211" s="49">
        <v>3</v>
      </c>
      <c r="AC211" s="50">
        <v>100</v>
      </c>
      <c r="AD211" s="49">
        <v>3</v>
      </c>
    </row>
    <row r="212" spans="1:30" ht="15">
      <c r="A212" s="68" t="s">
        <v>328</v>
      </c>
      <c r="B212" s="68" t="s">
        <v>431</v>
      </c>
      <c r="C212" s="69" t="s">
        <v>1691</v>
      </c>
      <c r="D212" s="70">
        <v>3</v>
      </c>
      <c r="E212" s="71"/>
      <c r="F212" s="72">
        <v>70</v>
      </c>
      <c r="G212" s="69"/>
      <c r="H212" s="73"/>
      <c r="I212" s="74"/>
      <c r="J212" s="74"/>
      <c r="K212" s="35" t="s">
        <v>65</v>
      </c>
      <c r="L212" s="81">
        <v>212</v>
      </c>
      <c r="M212" s="81"/>
      <c r="N212" s="76"/>
      <c r="O212" s="83" t="s">
        <v>520</v>
      </c>
      <c r="P212" s="83">
        <v>1</v>
      </c>
      <c r="Q212" s="83" t="s">
        <v>521</v>
      </c>
      <c r="R212" s="83" t="s">
        <v>674</v>
      </c>
      <c r="S212" s="83">
        <v>36113</v>
      </c>
      <c r="T212" s="82" t="str">
        <f>REPLACE(INDEX(GroupVertices[Group],MATCH(Edges[[#This Row],[Vertex 1]],GroupVertices[Vertex],0)),1,1,"")</f>
        <v>1</v>
      </c>
      <c r="U212" s="82" t="str">
        <f>REPLACE(INDEX(GroupVertices[Group],MATCH(Edges[[#This Row],[Vertex 2]],GroupVertices[Vertex],0)),1,1,"")</f>
        <v>10</v>
      </c>
      <c r="V212" s="49">
        <v>0</v>
      </c>
      <c r="W212" s="50">
        <v>0</v>
      </c>
      <c r="X212" s="49">
        <v>0</v>
      </c>
      <c r="Y212" s="50">
        <v>0</v>
      </c>
      <c r="Z212" s="49">
        <v>0</v>
      </c>
      <c r="AA212" s="50">
        <v>0</v>
      </c>
      <c r="AB212" s="49">
        <v>16</v>
      </c>
      <c r="AC212" s="50">
        <v>100</v>
      </c>
      <c r="AD212" s="49">
        <v>16</v>
      </c>
    </row>
    <row r="213" spans="1:30" ht="15">
      <c r="A213" s="68" t="s">
        <v>432</v>
      </c>
      <c r="B213" s="68" t="s">
        <v>435</v>
      </c>
      <c r="C213" s="69" t="s">
        <v>1691</v>
      </c>
      <c r="D213" s="70">
        <v>3</v>
      </c>
      <c r="E213" s="71"/>
      <c r="F213" s="72">
        <v>70</v>
      </c>
      <c r="G213" s="69"/>
      <c r="H213" s="73"/>
      <c r="I213" s="74"/>
      <c r="J213" s="74"/>
      <c r="K213" s="35" t="s">
        <v>65</v>
      </c>
      <c r="L213" s="81">
        <v>213</v>
      </c>
      <c r="M213" s="81"/>
      <c r="N213" s="76"/>
      <c r="O213" s="83" t="s">
        <v>520</v>
      </c>
      <c r="P213" s="83">
        <v>1</v>
      </c>
      <c r="Q213" s="83" t="s">
        <v>521</v>
      </c>
      <c r="R213" s="83" t="s">
        <v>675</v>
      </c>
      <c r="S213" s="83">
        <v>37310</v>
      </c>
      <c r="T213" s="82" t="str">
        <f>REPLACE(INDEX(GroupVertices[Group],MATCH(Edges[[#This Row],[Vertex 1]],GroupVertices[Vertex],0)),1,1,"")</f>
        <v>11</v>
      </c>
      <c r="U213" s="82" t="str">
        <f>REPLACE(INDEX(GroupVertices[Group],MATCH(Edges[[#This Row],[Vertex 2]],GroupVertices[Vertex],0)),1,1,"")</f>
        <v>11</v>
      </c>
      <c r="V213" s="49">
        <v>0</v>
      </c>
      <c r="W213" s="50">
        <v>0</v>
      </c>
      <c r="X213" s="49">
        <v>0</v>
      </c>
      <c r="Y213" s="50">
        <v>0</v>
      </c>
      <c r="Z213" s="49">
        <v>0</v>
      </c>
      <c r="AA213" s="50">
        <v>0</v>
      </c>
      <c r="AB213" s="49">
        <v>14</v>
      </c>
      <c r="AC213" s="50">
        <v>100</v>
      </c>
      <c r="AD213" s="49">
        <v>14</v>
      </c>
    </row>
    <row r="214" spans="1:30" ht="15">
      <c r="A214" s="68" t="s">
        <v>433</v>
      </c>
      <c r="B214" s="68" t="s">
        <v>432</v>
      </c>
      <c r="C214" s="69" t="s">
        <v>1691</v>
      </c>
      <c r="D214" s="70">
        <v>3</v>
      </c>
      <c r="E214" s="71"/>
      <c r="F214" s="72">
        <v>70</v>
      </c>
      <c r="G214" s="69"/>
      <c r="H214" s="73"/>
      <c r="I214" s="74"/>
      <c r="J214" s="74"/>
      <c r="K214" s="35" t="s">
        <v>65</v>
      </c>
      <c r="L214" s="81">
        <v>214</v>
      </c>
      <c r="M214" s="81"/>
      <c r="N214" s="76"/>
      <c r="O214" s="83" t="s">
        <v>520</v>
      </c>
      <c r="P214" s="83">
        <v>1</v>
      </c>
      <c r="Q214" s="83" t="s">
        <v>521</v>
      </c>
      <c r="R214" s="83" t="s">
        <v>676</v>
      </c>
      <c r="S214" s="83">
        <v>39290</v>
      </c>
      <c r="T214" s="82" t="str">
        <f>REPLACE(INDEX(GroupVertices[Group],MATCH(Edges[[#This Row],[Vertex 1]],GroupVertices[Vertex],0)),1,1,"")</f>
        <v>11</v>
      </c>
      <c r="U214" s="82" t="str">
        <f>REPLACE(INDEX(GroupVertices[Group],MATCH(Edges[[#This Row],[Vertex 2]],GroupVertices[Vertex],0)),1,1,"")</f>
        <v>11</v>
      </c>
      <c r="V214" s="49">
        <v>1</v>
      </c>
      <c r="W214" s="50">
        <v>20</v>
      </c>
      <c r="X214" s="49">
        <v>0</v>
      </c>
      <c r="Y214" s="50">
        <v>0</v>
      </c>
      <c r="Z214" s="49">
        <v>0</v>
      </c>
      <c r="AA214" s="50">
        <v>0</v>
      </c>
      <c r="AB214" s="49">
        <v>4</v>
      </c>
      <c r="AC214" s="50">
        <v>80</v>
      </c>
      <c r="AD214" s="49">
        <v>5</v>
      </c>
    </row>
    <row r="215" spans="1:30" ht="15">
      <c r="A215" s="68" t="s">
        <v>434</v>
      </c>
      <c r="B215" s="68" t="s">
        <v>435</v>
      </c>
      <c r="C215" s="69" t="s">
        <v>1691</v>
      </c>
      <c r="D215" s="70">
        <v>3</v>
      </c>
      <c r="E215" s="71"/>
      <c r="F215" s="72">
        <v>70</v>
      </c>
      <c r="G215" s="69"/>
      <c r="H215" s="73"/>
      <c r="I215" s="74"/>
      <c r="J215" s="74"/>
      <c r="K215" s="35" t="s">
        <v>65</v>
      </c>
      <c r="L215" s="81">
        <v>215</v>
      </c>
      <c r="M215" s="81"/>
      <c r="N215" s="76"/>
      <c r="O215" s="83" t="s">
        <v>520</v>
      </c>
      <c r="P215" s="83">
        <v>1</v>
      </c>
      <c r="Q215" s="83" t="s">
        <v>521</v>
      </c>
      <c r="R215" s="83"/>
      <c r="S215" s="83">
        <v>40040</v>
      </c>
      <c r="T215" s="82" t="str">
        <f>REPLACE(INDEX(GroupVertices[Group],MATCH(Edges[[#This Row],[Vertex 1]],GroupVertices[Vertex],0)),1,1,"")</f>
        <v>11</v>
      </c>
      <c r="U215" s="82" t="str">
        <f>REPLACE(INDEX(GroupVertices[Group],MATCH(Edges[[#This Row],[Vertex 2]],GroupVertices[Vertex],0)),1,1,"")</f>
        <v>11</v>
      </c>
      <c r="V215" s="49"/>
      <c r="W215" s="50"/>
      <c r="X215" s="49"/>
      <c r="Y215" s="50"/>
      <c r="Z215" s="49"/>
      <c r="AA215" s="50"/>
      <c r="AB215" s="49"/>
      <c r="AC215" s="50"/>
      <c r="AD215" s="49"/>
    </row>
    <row r="216" spans="1:30" ht="15">
      <c r="A216" s="68" t="s">
        <v>433</v>
      </c>
      <c r="B216" s="68" t="s">
        <v>434</v>
      </c>
      <c r="C216" s="69" t="s">
        <v>1691</v>
      </c>
      <c r="D216" s="70">
        <v>3</v>
      </c>
      <c r="E216" s="71"/>
      <c r="F216" s="72">
        <v>70</v>
      </c>
      <c r="G216" s="69"/>
      <c r="H216" s="73"/>
      <c r="I216" s="74"/>
      <c r="J216" s="74"/>
      <c r="K216" s="35" t="s">
        <v>65</v>
      </c>
      <c r="L216" s="81">
        <v>216</v>
      </c>
      <c r="M216" s="81"/>
      <c r="N216" s="76"/>
      <c r="O216" s="83" t="s">
        <v>520</v>
      </c>
      <c r="P216" s="83">
        <v>1</v>
      </c>
      <c r="Q216" s="83" t="s">
        <v>521</v>
      </c>
      <c r="R216" s="83" t="s">
        <v>677</v>
      </c>
      <c r="S216" s="83">
        <v>41522</v>
      </c>
      <c r="T216" s="82" t="str">
        <f>REPLACE(INDEX(GroupVertices[Group],MATCH(Edges[[#This Row],[Vertex 1]],GroupVertices[Vertex],0)),1,1,"")</f>
        <v>11</v>
      </c>
      <c r="U216" s="82" t="str">
        <f>REPLACE(INDEX(GroupVertices[Group],MATCH(Edges[[#This Row],[Vertex 2]],GroupVertices[Vertex],0)),1,1,"")</f>
        <v>11</v>
      </c>
      <c r="V216" s="49">
        <v>0</v>
      </c>
      <c r="W216" s="50">
        <v>0</v>
      </c>
      <c r="X216" s="49">
        <v>0</v>
      </c>
      <c r="Y216" s="50">
        <v>0</v>
      </c>
      <c r="Z216" s="49">
        <v>0</v>
      </c>
      <c r="AA216" s="50">
        <v>0</v>
      </c>
      <c r="AB216" s="49">
        <v>2</v>
      </c>
      <c r="AC216" s="50">
        <v>100</v>
      </c>
      <c r="AD216" s="49">
        <v>2</v>
      </c>
    </row>
    <row r="217" spans="1:30" ht="15">
      <c r="A217" s="68" t="s">
        <v>435</v>
      </c>
      <c r="B217" s="68" t="s">
        <v>433</v>
      </c>
      <c r="C217" s="69" t="s">
        <v>1691</v>
      </c>
      <c r="D217" s="70">
        <v>3</v>
      </c>
      <c r="E217" s="71"/>
      <c r="F217" s="72">
        <v>70</v>
      </c>
      <c r="G217" s="69"/>
      <c r="H217" s="73"/>
      <c r="I217" s="74"/>
      <c r="J217" s="74"/>
      <c r="K217" s="35" t="s">
        <v>65</v>
      </c>
      <c r="L217" s="81">
        <v>217</v>
      </c>
      <c r="M217" s="81"/>
      <c r="N217" s="76"/>
      <c r="O217" s="83" t="s">
        <v>520</v>
      </c>
      <c r="P217" s="83">
        <v>1</v>
      </c>
      <c r="Q217" s="83" t="s">
        <v>521</v>
      </c>
      <c r="R217" s="83" t="s">
        <v>678</v>
      </c>
      <c r="S217" s="83">
        <v>39649</v>
      </c>
      <c r="T217" s="82" t="str">
        <f>REPLACE(INDEX(GroupVertices[Group],MATCH(Edges[[#This Row],[Vertex 1]],GroupVertices[Vertex],0)),1,1,"")</f>
        <v>11</v>
      </c>
      <c r="U217" s="82" t="str">
        <f>REPLACE(INDEX(GroupVertices[Group],MATCH(Edges[[#This Row],[Vertex 2]],GroupVertices[Vertex],0)),1,1,"")</f>
        <v>11</v>
      </c>
      <c r="V217" s="49">
        <v>0</v>
      </c>
      <c r="W217" s="50">
        <v>0</v>
      </c>
      <c r="X217" s="49">
        <v>0</v>
      </c>
      <c r="Y217" s="50">
        <v>0</v>
      </c>
      <c r="Z217" s="49">
        <v>0</v>
      </c>
      <c r="AA217" s="50">
        <v>0</v>
      </c>
      <c r="AB217" s="49">
        <v>3</v>
      </c>
      <c r="AC217" s="50">
        <v>100</v>
      </c>
      <c r="AD217" s="49">
        <v>3</v>
      </c>
    </row>
    <row r="218" spans="1:30" ht="15">
      <c r="A218" s="68" t="s">
        <v>433</v>
      </c>
      <c r="B218" s="68" t="s">
        <v>433</v>
      </c>
      <c r="C218" s="69" t="s">
        <v>1691</v>
      </c>
      <c r="D218" s="70">
        <v>3</v>
      </c>
      <c r="E218" s="71"/>
      <c r="F218" s="72">
        <v>70</v>
      </c>
      <c r="G218" s="69"/>
      <c r="H218" s="73"/>
      <c r="I218" s="74"/>
      <c r="J218" s="74"/>
      <c r="K218" s="35" t="s">
        <v>65</v>
      </c>
      <c r="L218" s="81">
        <v>218</v>
      </c>
      <c r="M218" s="81"/>
      <c r="N218" s="76"/>
      <c r="O218" s="83" t="s">
        <v>520</v>
      </c>
      <c r="P218" s="83">
        <v>1</v>
      </c>
      <c r="Q218" s="83" t="s">
        <v>521</v>
      </c>
      <c r="R218" s="83" t="s">
        <v>679</v>
      </c>
      <c r="S218" s="83">
        <v>41539</v>
      </c>
      <c r="T218" s="82" t="str">
        <f>REPLACE(INDEX(GroupVertices[Group],MATCH(Edges[[#This Row],[Vertex 1]],GroupVertices[Vertex],0)),1,1,"")</f>
        <v>11</v>
      </c>
      <c r="U218" s="82" t="str">
        <f>REPLACE(INDEX(GroupVertices[Group],MATCH(Edges[[#This Row],[Vertex 2]],GroupVertices[Vertex],0)),1,1,"")</f>
        <v>11</v>
      </c>
      <c r="V218" s="49">
        <v>0</v>
      </c>
      <c r="W218" s="50">
        <v>0</v>
      </c>
      <c r="X218" s="49">
        <v>0</v>
      </c>
      <c r="Y218" s="50">
        <v>0</v>
      </c>
      <c r="Z218" s="49">
        <v>0</v>
      </c>
      <c r="AA218" s="50">
        <v>0</v>
      </c>
      <c r="AB218" s="49">
        <v>1</v>
      </c>
      <c r="AC218" s="50">
        <v>100</v>
      </c>
      <c r="AD218" s="49">
        <v>1</v>
      </c>
    </row>
    <row r="219" spans="1:30" ht="15">
      <c r="A219" s="68" t="s">
        <v>436</v>
      </c>
      <c r="B219" s="68" t="s">
        <v>433</v>
      </c>
      <c r="C219" s="69" t="s">
        <v>1691</v>
      </c>
      <c r="D219" s="70">
        <v>3</v>
      </c>
      <c r="E219" s="71"/>
      <c r="F219" s="72">
        <v>70</v>
      </c>
      <c r="G219" s="69"/>
      <c r="H219" s="73"/>
      <c r="I219" s="74"/>
      <c r="J219" s="74"/>
      <c r="K219" s="35" t="s">
        <v>65</v>
      </c>
      <c r="L219" s="81">
        <v>219</v>
      </c>
      <c r="M219" s="81"/>
      <c r="N219" s="76"/>
      <c r="O219" s="83" t="s">
        <v>520</v>
      </c>
      <c r="P219" s="83">
        <v>1</v>
      </c>
      <c r="Q219" s="83" t="s">
        <v>521</v>
      </c>
      <c r="R219" s="83" t="s">
        <v>668</v>
      </c>
      <c r="S219" s="83">
        <v>41582</v>
      </c>
      <c r="T219" s="82" t="str">
        <f>REPLACE(INDEX(GroupVertices[Group],MATCH(Edges[[#This Row],[Vertex 1]],GroupVertices[Vertex],0)),1,1,"")</f>
        <v>11</v>
      </c>
      <c r="U219" s="82" t="str">
        <f>REPLACE(INDEX(GroupVertices[Group],MATCH(Edges[[#This Row],[Vertex 2]],GroupVertices[Vertex],0)),1,1,"")</f>
        <v>11</v>
      </c>
      <c r="V219" s="49">
        <v>0</v>
      </c>
      <c r="W219" s="50">
        <v>0</v>
      </c>
      <c r="X219" s="49">
        <v>0</v>
      </c>
      <c r="Y219" s="50">
        <v>0</v>
      </c>
      <c r="Z219" s="49">
        <v>0</v>
      </c>
      <c r="AA219" s="50">
        <v>0</v>
      </c>
      <c r="AB219" s="49">
        <v>9</v>
      </c>
      <c r="AC219" s="50">
        <v>100</v>
      </c>
      <c r="AD219" s="49">
        <v>9</v>
      </c>
    </row>
    <row r="220" spans="1:30" ht="15">
      <c r="A220" s="68" t="s">
        <v>436</v>
      </c>
      <c r="B220" s="68" t="s">
        <v>436</v>
      </c>
      <c r="C220" s="69" t="s">
        <v>1691</v>
      </c>
      <c r="D220" s="70">
        <v>3</v>
      </c>
      <c r="E220" s="71"/>
      <c r="F220" s="72">
        <v>70</v>
      </c>
      <c r="G220" s="69"/>
      <c r="H220" s="73"/>
      <c r="I220" s="74"/>
      <c r="J220" s="74"/>
      <c r="K220" s="35" t="s">
        <v>65</v>
      </c>
      <c r="L220" s="81">
        <v>220</v>
      </c>
      <c r="M220" s="81"/>
      <c r="N220" s="76"/>
      <c r="O220" s="83" t="s">
        <v>520</v>
      </c>
      <c r="P220" s="83">
        <v>1</v>
      </c>
      <c r="Q220" s="83" t="s">
        <v>521</v>
      </c>
      <c r="R220" s="83"/>
      <c r="S220" s="83">
        <v>41873</v>
      </c>
      <c r="T220" s="82" t="str">
        <f>REPLACE(INDEX(GroupVertices[Group],MATCH(Edges[[#This Row],[Vertex 1]],GroupVertices[Vertex],0)),1,1,"")</f>
        <v>11</v>
      </c>
      <c r="U220" s="82" t="str">
        <f>REPLACE(INDEX(GroupVertices[Group],MATCH(Edges[[#This Row],[Vertex 2]],GroupVertices[Vertex],0)),1,1,"")</f>
        <v>11</v>
      </c>
      <c r="V220" s="49"/>
      <c r="W220" s="50"/>
      <c r="X220" s="49"/>
      <c r="Y220" s="50"/>
      <c r="Z220" s="49"/>
      <c r="AA220" s="50"/>
      <c r="AB220" s="49"/>
      <c r="AC220" s="50"/>
      <c r="AD220" s="49"/>
    </row>
    <row r="221" spans="1:30" ht="15">
      <c r="A221" s="68" t="s">
        <v>328</v>
      </c>
      <c r="B221" s="68" t="s">
        <v>436</v>
      </c>
      <c r="C221" s="69" t="s">
        <v>1691</v>
      </c>
      <c r="D221" s="70">
        <v>3</v>
      </c>
      <c r="E221" s="71"/>
      <c r="F221" s="72">
        <v>70</v>
      </c>
      <c r="G221" s="69"/>
      <c r="H221" s="73"/>
      <c r="I221" s="74"/>
      <c r="J221" s="74"/>
      <c r="K221" s="35" t="s">
        <v>65</v>
      </c>
      <c r="L221" s="81">
        <v>221</v>
      </c>
      <c r="M221" s="81"/>
      <c r="N221" s="76"/>
      <c r="O221" s="83" t="s">
        <v>520</v>
      </c>
      <c r="P221" s="83">
        <v>1</v>
      </c>
      <c r="Q221" s="83" t="s">
        <v>521</v>
      </c>
      <c r="R221" s="83" t="s">
        <v>680</v>
      </c>
      <c r="S221" s="83">
        <v>42171</v>
      </c>
      <c r="T221" s="82" t="str">
        <f>REPLACE(INDEX(GroupVertices[Group],MATCH(Edges[[#This Row],[Vertex 1]],GroupVertices[Vertex],0)),1,1,"")</f>
        <v>1</v>
      </c>
      <c r="U221" s="82" t="str">
        <f>REPLACE(INDEX(GroupVertices[Group],MATCH(Edges[[#This Row],[Vertex 2]],GroupVertices[Vertex],0)),1,1,"")</f>
        <v>11</v>
      </c>
      <c r="V221" s="49">
        <v>0</v>
      </c>
      <c r="W221" s="50">
        <v>0</v>
      </c>
      <c r="X221" s="49">
        <v>0</v>
      </c>
      <c r="Y221" s="50">
        <v>0</v>
      </c>
      <c r="Z221" s="49">
        <v>0</v>
      </c>
      <c r="AA221" s="50">
        <v>0</v>
      </c>
      <c r="AB221" s="49">
        <v>6</v>
      </c>
      <c r="AC221" s="50">
        <v>100</v>
      </c>
      <c r="AD221" s="49">
        <v>6</v>
      </c>
    </row>
    <row r="222" spans="1:30" ht="15">
      <c r="A222" s="68" t="s">
        <v>437</v>
      </c>
      <c r="B222" s="68" t="s">
        <v>328</v>
      </c>
      <c r="C222" s="69" t="s">
        <v>1691</v>
      </c>
      <c r="D222" s="70">
        <v>3</v>
      </c>
      <c r="E222" s="71"/>
      <c r="F222" s="72">
        <v>70</v>
      </c>
      <c r="G222" s="69"/>
      <c r="H222" s="73"/>
      <c r="I222" s="74"/>
      <c r="J222" s="74"/>
      <c r="K222" s="35" t="s">
        <v>65</v>
      </c>
      <c r="L222" s="81">
        <v>222</v>
      </c>
      <c r="M222" s="81"/>
      <c r="N222" s="76"/>
      <c r="O222" s="83" t="s">
        <v>520</v>
      </c>
      <c r="P222" s="83">
        <v>1</v>
      </c>
      <c r="Q222" s="83" t="s">
        <v>521</v>
      </c>
      <c r="R222" s="83" t="s">
        <v>681</v>
      </c>
      <c r="S222" s="83">
        <v>42497</v>
      </c>
      <c r="T222" s="82" t="str">
        <f>REPLACE(INDEX(GroupVertices[Group],MATCH(Edges[[#This Row],[Vertex 1]],GroupVertices[Vertex],0)),1,1,"")</f>
        <v>11</v>
      </c>
      <c r="U222" s="82" t="str">
        <f>REPLACE(INDEX(GroupVertices[Group],MATCH(Edges[[#This Row],[Vertex 2]],GroupVertices[Vertex],0)),1,1,"")</f>
        <v>1</v>
      </c>
      <c r="V222" s="49">
        <v>1</v>
      </c>
      <c r="W222" s="50">
        <v>9.090909090909092</v>
      </c>
      <c r="X222" s="49">
        <v>1</v>
      </c>
      <c r="Y222" s="50">
        <v>9.090909090909092</v>
      </c>
      <c r="Z222" s="49">
        <v>0</v>
      </c>
      <c r="AA222" s="50">
        <v>0</v>
      </c>
      <c r="AB222" s="49">
        <v>9</v>
      </c>
      <c r="AC222" s="50">
        <v>81.81818181818181</v>
      </c>
      <c r="AD222" s="49">
        <v>11</v>
      </c>
    </row>
    <row r="223" spans="1:30" ht="15">
      <c r="A223" s="68" t="s">
        <v>438</v>
      </c>
      <c r="B223" s="68" t="s">
        <v>437</v>
      </c>
      <c r="C223" s="69" t="s">
        <v>1691</v>
      </c>
      <c r="D223" s="70">
        <v>3</v>
      </c>
      <c r="E223" s="71"/>
      <c r="F223" s="72">
        <v>70</v>
      </c>
      <c r="G223" s="69"/>
      <c r="H223" s="73"/>
      <c r="I223" s="74"/>
      <c r="J223" s="74"/>
      <c r="K223" s="35" t="s">
        <v>65</v>
      </c>
      <c r="L223" s="81">
        <v>223</v>
      </c>
      <c r="M223" s="81"/>
      <c r="N223" s="76"/>
      <c r="O223" s="83" t="s">
        <v>520</v>
      </c>
      <c r="P223" s="83">
        <v>1</v>
      </c>
      <c r="Q223" s="83" t="s">
        <v>521</v>
      </c>
      <c r="R223" s="83" t="s">
        <v>682</v>
      </c>
      <c r="S223" s="83">
        <v>43379</v>
      </c>
      <c r="T223" s="82" t="str">
        <f>REPLACE(INDEX(GroupVertices[Group],MATCH(Edges[[#This Row],[Vertex 1]],GroupVertices[Vertex],0)),1,1,"")</f>
        <v>11</v>
      </c>
      <c r="U223" s="82" t="str">
        <f>REPLACE(INDEX(GroupVertices[Group],MATCH(Edges[[#This Row],[Vertex 2]],GroupVertices[Vertex],0)),1,1,"")</f>
        <v>11</v>
      </c>
      <c r="V223" s="49">
        <v>1</v>
      </c>
      <c r="W223" s="50">
        <v>10</v>
      </c>
      <c r="X223" s="49">
        <v>0</v>
      </c>
      <c r="Y223" s="50">
        <v>0</v>
      </c>
      <c r="Z223" s="49">
        <v>0</v>
      </c>
      <c r="AA223" s="50">
        <v>0</v>
      </c>
      <c r="AB223" s="49">
        <v>9</v>
      </c>
      <c r="AC223" s="50">
        <v>90</v>
      </c>
      <c r="AD223" s="49">
        <v>10</v>
      </c>
    </row>
    <row r="224" spans="1:30" ht="15">
      <c r="A224" s="68" t="s">
        <v>435</v>
      </c>
      <c r="B224" s="68" t="s">
        <v>438</v>
      </c>
      <c r="C224" s="69" t="s">
        <v>1691</v>
      </c>
      <c r="D224" s="70">
        <v>3</v>
      </c>
      <c r="E224" s="71"/>
      <c r="F224" s="72">
        <v>70</v>
      </c>
      <c r="G224" s="69"/>
      <c r="H224" s="73"/>
      <c r="I224" s="74"/>
      <c r="J224" s="74"/>
      <c r="K224" s="35" t="s">
        <v>65</v>
      </c>
      <c r="L224" s="81">
        <v>224</v>
      </c>
      <c r="M224" s="81"/>
      <c r="N224" s="76"/>
      <c r="O224" s="83" t="s">
        <v>520</v>
      </c>
      <c r="P224" s="83">
        <v>1</v>
      </c>
      <c r="Q224" s="83" t="s">
        <v>521</v>
      </c>
      <c r="R224" s="83"/>
      <c r="S224" s="83">
        <v>43848</v>
      </c>
      <c r="T224" s="82" t="str">
        <f>REPLACE(INDEX(GroupVertices[Group],MATCH(Edges[[#This Row],[Vertex 1]],GroupVertices[Vertex],0)),1,1,"")</f>
        <v>11</v>
      </c>
      <c r="U224" s="82" t="str">
        <f>REPLACE(INDEX(GroupVertices[Group],MATCH(Edges[[#This Row],[Vertex 2]],GroupVertices[Vertex],0)),1,1,"")</f>
        <v>11</v>
      </c>
      <c r="V224" s="49"/>
      <c r="W224" s="50"/>
      <c r="X224" s="49"/>
      <c r="Y224" s="50"/>
      <c r="Z224" s="49"/>
      <c r="AA224" s="50"/>
      <c r="AB224" s="49"/>
      <c r="AC224" s="50"/>
      <c r="AD224" s="49"/>
    </row>
    <row r="225" spans="1:30" ht="15">
      <c r="A225" s="68" t="s">
        <v>435</v>
      </c>
      <c r="B225" s="68" t="s">
        <v>505</v>
      </c>
      <c r="C225" s="69" t="s">
        <v>1691</v>
      </c>
      <c r="D225" s="70">
        <v>3</v>
      </c>
      <c r="E225" s="71"/>
      <c r="F225" s="72">
        <v>70</v>
      </c>
      <c r="G225" s="69"/>
      <c r="H225" s="73"/>
      <c r="I225" s="74"/>
      <c r="J225" s="74"/>
      <c r="K225" s="35" t="s">
        <v>65</v>
      </c>
      <c r="L225" s="81">
        <v>225</v>
      </c>
      <c r="M225" s="81"/>
      <c r="N225" s="76"/>
      <c r="O225" s="83" t="s">
        <v>520</v>
      </c>
      <c r="P225" s="83">
        <v>1</v>
      </c>
      <c r="Q225" s="83" t="s">
        <v>521</v>
      </c>
      <c r="R225" s="83" t="s">
        <v>683</v>
      </c>
      <c r="S225" s="83">
        <v>37153</v>
      </c>
      <c r="T225" s="82" t="str">
        <f>REPLACE(INDEX(GroupVertices[Group],MATCH(Edges[[#This Row],[Vertex 1]],GroupVertices[Vertex],0)),1,1,"")</f>
        <v>11</v>
      </c>
      <c r="U225" s="82" t="str">
        <f>REPLACE(INDEX(GroupVertices[Group],MATCH(Edges[[#This Row],[Vertex 2]],GroupVertices[Vertex],0)),1,1,"")</f>
        <v>5</v>
      </c>
      <c r="V225" s="49">
        <v>0</v>
      </c>
      <c r="W225" s="50">
        <v>0</v>
      </c>
      <c r="X225" s="49">
        <v>0</v>
      </c>
      <c r="Y225" s="50">
        <v>0</v>
      </c>
      <c r="Z225" s="49">
        <v>0</v>
      </c>
      <c r="AA225" s="50">
        <v>0</v>
      </c>
      <c r="AB225" s="49">
        <v>3</v>
      </c>
      <c r="AC225" s="50">
        <v>100</v>
      </c>
      <c r="AD225" s="49">
        <v>3</v>
      </c>
    </row>
    <row r="226" spans="1:30" ht="15">
      <c r="A226" s="68" t="s">
        <v>435</v>
      </c>
      <c r="B226" s="68" t="s">
        <v>435</v>
      </c>
      <c r="C226" s="69" t="s">
        <v>1692</v>
      </c>
      <c r="D226" s="70">
        <v>10</v>
      </c>
      <c r="E226" s="71"/>
      <c r="F226" s="72">
        <v>40</v>
      </c>
      <c r="G226" s="69"/>
      <c r="H226" s="73"/>
      <c r="I226" s="74"/>
      <c r="J226" s="74"/>
      <c r="K226" s="35" t="s">
        <v>65</v>
      </c>
      <c r="L226" s="81">
        <v>226</v>
      </c>
      <c r="M226" s="81"/>
      <c r="N226" s="76"/>
      <c r="O226" s="83" t="s">
        <v>520</v>
      </c>
      <c r="P226" s="83">
        <v>5</v>
      </c>
      <c r="Q226" s="83" t="s">
        <v>521</v>
      </c>
      <c r="R226" s="83" t="s">
        <v>684</v>
      </c>
      <c r="S226" s="83">
        <v>49088</v>
      </c>
      <c r="T226" s="82" t="str">
        <f>REPLACE(INDEX(GroupVertices[Group],MATCH(Edges[[#This Row],[Vertex 1]],GroupVertices[Vertex],0)),1,1,"")</f>
        <v>11</v>
      </c>
      <c r="U226" s="82" t="str">
        <f>REPLACE(INDEX(GroupVertices[Group],MATCH(Edges[[#This Row],[Vertex 2]],GroupVertices[Vertex],0)),1,1,"")</f>
        <v>11</v>
      </c>
      <c r="V226" s="49">
        <v>0</v>
      </c>
      <c r="W226" s="50">
        <v>0</v>
      </c>
      <c r="X226" s="49">
        <v>0</v>
      </c>
      <c r="Y226" s="50">
        <v>0</v>
      </c>
      <c r="Z226" s="49">
        <v>0</v>
      </c>
      <c r="AA226" s="50">
        <v>0</v>
      </c>
      <c r="AB226" s="49">
        <v>1</v>
      </c>
      <c r="AC226" s="50">
        <v>100</v>
      </c>
      <c r="AD226" s="49">
        <v>1</v>
      </c>
    </row>
    <row r="227" spans="1:30" ht="15">
      <c r="A227" s="68" t="s">
        <v>439</v>
      </c>
      <c r="B227" s="68" t="s">
        <v>435</v>
      </c>
      <c r="C227" s="69" t="s">
        <v>1691</v>
      </c>
      <c r="D227" s="70">
        <v>3</v>
      </c>
      <c r="E227" s="71"/>
      <c r="F227" s="72">
        <v>70</v>
      </c>
      <c r="G227" s="69"/>
      <c r="H227" s="73"/>
      <c r="I227" s="74"/>
      <c r="J227" s="74"/>
      <c r="K227" s="35" t="s">
        <v>65</v>
      </c>
      <c r="L227" s="81">
        <v>227</v>
      </c>
      <c r="M227" s="81"/>
      <c r="N227" s="76"/>
      <c r="O227" s="83" t="s">
        <v>520</v>
      </c>
      <c r="P227" s="83">
        <v>1</v>
      </c>
      <c r="Q227" s="83" t="s">
        <v>521</v>
      </c>
      <c r="R227" s="84" t="s">
        <v>685</v>
      </c>
      <c r="S227" s="83">
        <v>51352</v>
      </c>
      <c r="T227" s="82" t="str">
        <f>REPLACE(INDEX(GroupVertices[Group],MATCH(Edges[[#This Row],[Vertex 1]],GroupVertices[Vertex],0)),1,1,"")</f>
        <v>11</v>
      </c>
      <c r="U227" s="82" t="str">
        <f>REPLACE(INDEX(GroupVertices[Group],MATCH(Edges[[#This Row],[Vertex 2]],GroupVertices[Vertex],0)),1,1,"")</f>
        <v>11</v>
      </c>
      <c r="V227" s="49">
        <v>0</v>
      </c>
      <c r="W227" s="50">
        <v>0</v>
      </c>
      <c r="X227" s="49">
        <v>0</v>
      </c>
      <c r="Y227" s="50">
        <v>0</v>
      </c>
      <c r="Z227" s="49">
        <v>0</v>
      </c>
      <c r="AA227" s="50">
        <v>0</v>
      </c>
      <c r="AB227" s="49">
        <v>4</v>
      </c>
      <c r="AC227" s="50">
        <v>100</v>
      </c>
      <c r="AD227" s="49">
        <v>4</v>
      </c>
    </row>
    <row r="228" spans="1:30" ht="15">
      <c r="A228" s="68" t="s">
        <v>440</v>
      </c>
      <c r="B228" s="68" t="s">
        <v>439</v>
      </c>
      <c r="C228" s="69" t="s">
        <v>1691</v>
      </c>
      <c r="D228" s="70">
        <v>3</v>
      </c>
      <c r="E228" s="71"/>
      <c r="F228" s="72">
        <v>70</v>
      </c>
      <c r="G228" s="69"/>
      <c r="H228" s="73"/>
      <c r="I228" s="74"/>
      <c r="J228" s="74"/>
      <c r="K228" s="35" t="s">
        <v>65</v>
      </c>
      <c r="L228" s="81">
        <v>228</v>
      </c>
      <c r="M228" s="81"/>
      <c r="N228" s="76"/>
      <c r="O228" s="83" t="s">
        <v>520</v>
      </c>
      <c r="P228" s="83">
        <v>1</v>
      </c>
      <c r="Q228" s="83" t="s">
        <v>521</v>
      </c>
      <c r="R228" s="83" t="s">
        <v>686</v>
      </c>
      <c r="S228" s="83">
        <v>51326</v>
      </c>
      <c r="T228" s="82" t="str">
        <f>REPLACE(INDEX(GroupVertices[Group],MATCH(Edges[[#This Row],[Vertex 1]],GroupVertices[Vertex],0)),1,1,"")</f>
        <v>11</v>
      </c>
      <c r="U228" s="82" t="str">
        <f>REPLACE(INDEX(GroupVertices[Group],MATCH(Edges[[#This Row],[Vertex 2]],GroupVertices[Vertex],0)),1,1,"")</f>
        <v>11</v>
      </c>
      <c r="V228" s="49">
        <v>0</v>
      </c>
      <c r="W228" s="50">
        <v>0</v>
      </c>
      <c r="X228" s="49">
        <v>0</v>
      </c>
      <c r="Y228" s="50">
        <v>0</v>
      </c>
      <c r="Z228" s="49">
        <v>0</v>
      </c>
      <c r="AA228" s="50">
        <v>0</v>
      </c>
      <c r="AB228" s="49">
        <v>7</v>
      </c>
      <c r="AC228" s="50">
        <v>100</v>
      </c>
      <c r="AD228" s="49">
        <v>7</v>
      </c>
    </row>
    <row r="229" spans="1:30" ht="15">
      <c r="A229" s="68" t="s">
        <v>440</v>
      </c>
      <c r="B229" s="68" t="s">
        <v>440</v>
      </c>
      <c r="C229" s="69" t="s">
        <v>1692</v>
      </c>
      <c r="D229" s="70">
        <v>10</v>
      </c>
      <c r="E229" s="71"/>
      <c r="F229" s="72">
        <v>40</v>
      </c>
      <c r="G229" s="69"/>
      <c r="H229" s="73"/>
      <c r="I229" s="74"/>
      <c r="J229" s="74"/>
      <c r="K229" s="35" t="s">
        <v>65</v>
      </c>
      <c r="L229" s="81">
        <v>229</v>
      </c>
      <c r="M229" s="81"/>
      <c r="N229" s="76"/>
      <c r="O229" s="83" t="s">
        <v>520</v>
      </c>
      <c r="P229" s="83">
        <v>2</v>
      </c>
      <c r="Q229" s="83" t="s">
        <v>521</v>
      </c>
      <c r="R229" s="83"/>
      <c r="S229" s="83">
        <v>51408</v>
      </c>
      <c r="T229" s="82" t="str">
        <f>REPLACE(INDEX(GroupVertices[Group],MATCH(Edges[[#This Row],[Vertex 1]],GroupVertices[Vertex],0)),1,1,"")</f>
        <v>11</v>
      </c>
      <c r="U229" s="82" t="str">
        <f>REPLACE(INDEX(GroupVertices[Group],MATCH(Edges[[#This Row],[Vertex 2]],GroupVertices[Vertex],0)),1,1,"")</f>
        <v>11</v>
      </c>
      <c r="V229" s="49"/>
      <c r="W229" s="50"/>
      <c r="X229" s="49"/>
      <c r="Y229" s="50"/>
      <c r="Z229" s="49"/>
      <c r="AA229" s="50"/>
      <c r="AB229" s="49"/>
      <c r="AC229" s="50"/>
      <c r="AD229" s="49"/>
    </row>
    <row r="230" spans="1:30" ht="15">
      <c r="A230" s="68" t="s">
        <v>441</v>
      </c>
      <c r="B230" s="68" t="s">
        <v>440</v>
      </c>
      <c r="C230" s="69" t="s">
        <v>1691</v>
      </c>
      <c r="D230" s="70">
        <v>3</v>
      </c>
      <c r="E230" s="71"/>
      <c r="F230" s="72">
        <v>70</v>
      </c>
      <c r="G230" s="69"/>
      <c r="H230" s="73"/>
      <c r="I230" s="74"/>
      <c r="J230" s="74"/>
      <c r="K230" s="35" t="s">
        <v>65</v>
      </c>
      <c r="L230" s="81">
        <v>230</v>
      </c>
      <c r="M230" s="81"/>
      <c r="N230" s="76"/>
      <c r="O230" s="83" t="s">
        <v>520</v>
      </c>
      <c r="P230" s="83">
        <v>1</v>
      </c>
      <c r="Q230" s="83" t="s">
        <v>521</v>
      </c>
      <c r="R230" s="83" t="s">
        <v>687</v>
      </c>
      <c r="S230" s="83">
        <v>51626</v>
      </c>
      <c r="T230" s="82" t="str">
        <f>REPLACE(INDEX(GroupVertices[Group],MATCH(Edges[[#This Row],[Vertex 1]],GroupVertices[Vertex],0)),1,1,"")</f>
        <v>11</v>
      </c>
      <c r="U230" s="82" t="str">
        <f>REPLACE(INDEX(GroupVertices[Group],MATCH(Edges[[#This Row],[Vertex 2]],GroupVertices[Vertex],0)),1,1,"")</f>
        <v>11</v>
      </c>
      <c r="V230" s="49">
        <v>0</v>
      </c>
      <c r="W230" s="50">
        <v>0</v>
      </c>
      <c r="X230" s="49">
        <v>1</v>
      </c>
      <c r="Y230" s="50">
        <v>16.666666666666668</v>
      </c>
      <c r="Z230" s="49">
        <v>0</v>
      </c>
      <c r="AA230" s="50">
        <v>0</v>
      </c>
      <c r="AB230" s="49">
        <v>5</v>
      </c>
      <c r="AC230" s="50">
        <v>83.33333333333333</v>
      </c>
      <c r="AD230" s="49">
        <v>6</v>
      </c>
    </row>
    <row r="231" spans="1:30" ht="15">
      <c r="A231" s="68" t="s">
        <v>417</v>
      </c>
      <c r="B231" s="68" t="s">
        <v>441</v>
      </c>
      <c r="C231" s="69" t="s">
        <v>1691</v>
      </c>
      <c r="D231" s="70">
        <v>3</v>
      </c>
      <c r="E231" s="71"/>
      <c r="F231" s="72">
        <v>70</v>
      </c>
      <c r="G231" s="69"/>
      <c r="H231" s="73"/>
      <c r="I231" s="74"/>
      <c r="J231" s="74"/>
      <c r="K231" s="35" t="s">
        <v>65</v>
      </c>
      <c r="L231" s="81">
        <v>231</v>
      </c>
      <c r="M231" s="81"/>
      <c r="N231" s="76"/>
      <c r="O231" s="83" t="s">
        <v>520</v>
      </c>
      <c r="P231" s="83">
        <v>1</v>
      </c>
      <c r="Q231" s="83" t="s">
        <v>521</v>
      </c>
      <c r="R231" s="83" t="s">
        <v>688</v>
      </c>
      <c r="S231" s="83">
        <v>51636</v>
      </c>
      <c r="T231" s="82" t="str">
        <f>REPLACE(INDEX(GroupVertices[Group],MATCH(Edges[[#This Row],[Vertex 1]],GroupVertices[Vertex],0)),1,1,"")</f>
        <v>10</v>
      </c>
      <c r="U231" s="82" t="str">
        <f>REPLACE(INDEX(GroupVertices[Group],MATCH(Edges[[#This Row],[Vertex 2]],GroupVertices[Vertex],0)),1,1,"")</f>
        <v>11</v>
      </c>
      <c r="V231" s="49">
        <v>0</v>
      </c>
      <c r="W231" s="50">
        <v>0</v>
      </c>
      <c r="X231" s="49">
        <v>0</v>
      </c>
      <c r="Y231" s="50">
        <v>0</v>
      </c>
      <c r="Z231" s="49">
        <v>0</v>
      </c>
      <c r="AA231" s="50">
        <v>0</v>
      </c>
      <c r="AB231" s="49">
        <v>4</v>
      </c>
      <c r="AC231" s="50">
        <v>100</v>
      </c>
      <c r="AD231" s="49">
        <v>4</v>
      </c>
    </row>
    <row r="232" spans="1:30" ht="15">
      <c r="A232" s="68" t="s">
        <v>417</v>
      </c>
      <c r="B232" s="68" t="s">
        <v>417</v>
      </c>
      <c r="C232" s="69" t="s">
        <v>1691</v>
      </c>
      <c r="D232" s="70">
        <v>3</v>
      </c>
      <c r="E232" s="71"/>
      <c r="F232" s="72">
        <v>70</v>
      </c>
      <c r="G232" s="69"/>
      <c r="H232" s="73"/>
      <c r="I232" s="74"/>
      <c r="J232" s="74"/>
      <c r="K232" s="35" t="s">
        <v>65</v>
      </c>
      <c r="L232" s="81">
        <v>232</v>
      </c>
      <c r="M232" s="81"/>
      <c r="N232" s="76"/>
      <c r="O232" s="83" t="s">
        <v>520</v>
      </c>
      <c r="P232" s="83">
        <v>1</v>
      </c>
      <c r="Q232" s="83" t="s">
        <v>521</v>
      </c>
      <c r="R232" s="83" t="s">
        <v>689</v>
      </c>
      <c r="S232" s="83">
        <v>29922</v>
      </c>
      <c r="T232" s="82" t="str">
        <f>REPLACE(INDEX(GroupVertices[Group],MATCH(Edges[[#This Row],[Vertex 1]],GroupVertices[Vertex],0)),1,1,"")</f>
        <v>10</v>
      </c>
      <c r="U232" s="82" t="str">
        <f>REPLACE(INDEX(GroupVertices[Group],MATCH(Edges[[#This Row],[Vertex 2]],GroupVertices[Vertex],0)),1,1,"")</f>
        <v>10</v>
      </c>
      <c r="V232" s="49">
        <v>1</v>
      </c>
      <c r="W232" s="50">
        <v>12.5</v>
      </c>
      <c r="X232" s="49">
        <v>0</v>
      </c>
      <c r="Y232" s="50">
        <v>0</v>
      </c>
      <c r="Z232" s="49">
        <v>0</v>
      </c>
      <c r="AA232" s="50">
        <v>0</v>
      </c>
      <c r="AB232" s="49">
        <v>7</v>
      </c>
      <c r="AC232" s="50">
        <v>87.5</v>
      </c>
      <c r="AD232" s="49">
        <v>8</v>
      </c>
    </row>
    <row r="233" spans="1:30" ht="15">
      <c r="A233" s="68" t="s">
        <v>396</v>
      </c>
      <c r="B233" s="68" t="s">
        <v>417</v>
      </c>
      <c r="C233" s="69" t="s">
        <v>1691</v>
      </c>
      <c r="D233" s="70">
        <v>3</v>
      </c>
      <c r="E233" s="71"/>
      <c r="F233" s="72">
        <v>70</v>
      </c>
      <c r="G233" s="69"/>
      <c r="H233" s="73"/>
      <c r="I233" s="74"/>
      <c r="J233" s="74"/>
      <c r="K233" s="35" t="s">
        <v>65</v>
      </c>
      <c r="L233" s="81">
        <v>233</v>
      </c>
      <c r="M233" s="81"/>
      <c r="N233" s="76"/>
      <c r="O233" s="83" t="s">
        <v>520</v>
      </c>
      <c r="P233" s="83">
        <v>1</v>
      </c>
      <c r="Q233" s="83" t="s">
        <v>521</v>
      </c>
      <c r="R233" s="83" t="s">
        <v>690</v>
      </c>
      <c r="S233" s="83">
        <v>52251</v>
      </c>
      <c r="T233" s="82" t="str">
        <f>REPLACE(INDEX(GroupVertices[Group],MATCH(Edges[[#This Row],[Vertex 1]],GroupVertices[Vertex],0)),1,1,"")</f>
        <v>4</v>
      </c>
      <c r="U233" s="82" t="str">
        <f>REPLACE(INDEX(GroupVertices[Group],MATCH(Edges[[#This Row],[Vertex 2]],GroupVertices[Vertex],0)),1,1,"")</f>
        <v>10</v>
      </c>
      <c r="V233" s="49">
        <v>0</v>
      </c>
      <c r="W233" s="50">
        <v>0</v>
      </c>
      <c r="X233" s="49">
        <v>0</v>
      </c>
      <c r="Y233" s="50">
        <v>0</v>
      </c>
      <c r="Z233" s="49">
        <v>0</v>
      </c>
      <c r="AA233" s="50">
        <v>0</v>
      </c>
      <c r="AB233" s="49">
        <v>7</v>
      </c>
      <c r="AC233" s="50">
        <v>100</v>
      </c>
      <c r="AD233" s="49">
        <v>7</v>
      </c>
    </row>
    <row r="234" spans="1:30" ht="15">
      <c r="A234" s="68" t="s">
        <v>442</v>
      </c>
      <c r="B234" s="68" t="s">
        <v>396</v>
      </c>
      <c r="C234" s="69" t="s">
        <v>1691</v>
      </c>
      <c r="D234" s="70">
        <v>3</v>
      </c>
      <c r="E234" s="71"/>
      <c r="F234" s="72">
        <v>70</v>
      </c>
      <c r="G234" s="69"/>
      <c r="H234" s="73"/>
      <c r="I234" s="74"/>
      <c r="J234" s="74"/>
      <c r="K234" s="35" t="s">
        <v>65</v>
      </c>
      <c r="L234" s="81">
        <v>234</v>
      </c>
      <c r="M234" s="81"/>
      <c r="N234" s="76"/>
      <c r="O234" s="83" t="s">
        <v>520</v>
      </c>
      <c r="P234" s="83">
        <v>1</v>
      </c>
      <c r="Q234" s="83" t="s">
        <v>521</v>
      </c>
      <c r="R234" s="83" t="s">
        <v>691</v>
      </c>
      <c r="S234" s="83">
        <v>52728</v>
      </c>
      <c r="T234" s="82" t="str">
        <f>REPLACE(INDEX(GroupVertices[Group],MATCH(Edges[[#This Row],[Vertex 1]],GroupVertices[Vertex],0)),1,1,"")</f>
        <v>4</v>
      </c>
      <c r="U234" s="82" t="str">
        <f>REPLACE(INDEX(GroupVertices[Group],MATCH(Edges[[#This Row],[Vertex 2]],GroupVertices[Vertex],0)),1,1,"")</f>
        <v>4</v>
      </c>
      <c r="V234" s="49">
        <v>1</v>
      </c>
      <c r="W234" s="50">
        <v>9.090909090909092</v>
      </c>
      <c r="X234" s="49">
        <v>0</v>
      </c>
      <c r="Y234" s="50">
        <v>0</v>
      </c>
      <c r="Z234" s="49">
        <v>0</v>
      </c>
      <c r="AA234" s="50">
        <v>0</v>
      </c>
      <c r="AB234" s="49">
        <v>10</v>
      </c>
      <c r="AC234" s="50">
        <v>90.9090909090909</v>
      </c>
      <c r="AD234" s="49">
        <v>11</v>
      </c>
    </row>
    <row r="235" spans="1:30" ht="15">
      <c r="A235" s="68" t="s">
        <v>328</v>
      </c>
      <c r="B235" s="68" t="s">
        <v>442</v>
      </c>
      <c r="C235" s="69" t="s">
        <v>1691</v>
      </c>
      <c r="D235" s="70">
        <v>3</v>
      </c>
      <c r="E235" s="71"/>
      <c r="F235" s="72">
        <v>70</v>
      </c>
      <c r="G235" s="69"/>
      <c r="H235" s="73"/>
      <c r="I235" s="74"/>
      <c r="J235" s="74"/>
      <c r="K235" s="35" t="s">
        <v>65</v>
      </c>
      <c r="L235" s="81">
        <v>235</v>
      </c>
      <c r="M235" s="81"/>
      <c r="N235" s="76"/>
      <c r="O235" s="83" t="s">
        <v>520</v>
      </c>
      <c r="P235" s="83">
        <v>1</v>
      </c>
      <c r="Q235" s="83" t="s">
        <v>521</v>
      </c>
      <c r="R235" s="83" t="s">
        <v>692</v>
      </c>
      <c r="S235" s="83">
        <v>53014</v>
      </c>
      <c r="T235" s="82" t="str">
        <f>REPLACE(INDEX(GroupVertices[Group],MATCH(Edges[[#This Row],[Vertex 1]],GroupVertices[Vertex],0)),1,1,"")</f>
        <v>1</v>
      </c>
      <c r="U235" s="82" t="str">
        <f>REPLACE(INDEX(GroupVertices[Group],MATCH(Edges[[#This Row],[Vertex 2]],GroupVertices[Vertex],0)),1,1,"")</f>
        <v>4</v>
      </c>
      <c r="V235" s="49">
        <v>1</v>
      </c>
      <c r="W235" s="50">
        <v>4.166666666666667</v>
      </c>
      <c r="X235" s="49">
        <v>0</v>
      </c>
      <c r="Y235" s="50">
        <v>0</v>
      </c>
      <c r="Z235" s="49">
        <v>0</v>
      </c>
      <c r="AA235" s="50">
        <v>0</v>
      </c>
      <c r="AB235" s="49">
        <v>23</v>
      </c>
      <c r="AC235" s="50">
        <v>95.83333333333333</v>
      </c>
      <c r="AD235" s="49">
        <v>24</v>
      </c>
    </row>
    <row r="236" spans="1:30" ht="15">
      <c r="A236" s="68" t="s">
        <v>443</v>
      </c>
      <c r="B236" s="68" t="s">
        <v>328</v>
      </c>
      <c r="C236" s="69" t="s">
        <v>1691</v>
      </c>
      <c r="D236" s="70">
        <v>3</v>
      </c>
      <c r="E236" s="71"/>
      <c r="F236" s="72">
        <v>70</v>
      </c>
      <c r="G236" s="69"/>
      <c r="H236" s="73"/>
      <c r="I236" s="74"/>
      <c r="J236" s="74"/>
      <c r="K236" s="35" t="s">
        <v>65</v>
      </c>
      <c r="L236" s="81">
        <v>236</v>
      </c>
      <c r="M236" s="81"/>
      <c r="N236" s="76"/>
      <c r="O236" s="83" t="s">
        <v>520</v>
      </c>
      <c r="P236" s="83">
        <v>1</v>
      </c>
      <c r="Q236" s="83" t="s">
        <v>521</v>
      </c>
      <c r="R236" s="83" t="s">
        <v>693</v>
      </c>
      <c r="S236" s="83">
        <v>53025</v>
      </c>
      <c r="T236" s="82" t="str">
        <f>REPLACE(INDEX(GroupVertices[Group],MATCH(Edges[[#This Row],[Vertex 1]],GroupVertices[Vertex],0)),1,1,"")</f>
        <v>6</v>
      </c>
      <c r="U236" s="82" t="str">
        <f>REPLACE(INDEX(GroupVertices[Group],MATCH(Edges[[#This Row],[Vertex 2]],GroupVertices[Vertex],0)),1,1,"")</f>
        <v>1</v>
      </c>
      <c r="V236" s="49">
        <v>0</v>
      </c>
      <c r="W236" s="50">
        <v>0</v>
      </c>
      <c r="X236" s="49">
        <v>0</v>
      </c>
      <c r="Y236" s="50">
        <v>0</v>
      </c>
      <c r="Z236" s="49">
        <v>0</v>
      </c>
      <c r="AA236" s="50">
        <v>0</v>
      </c>
      <c r="AB236" s="49">
        <v>12</v>
      </c>
      <c r="AC236" s="50">
        <v>100</v>
      </c>
      <c r="AD236" s="49">
        <v>12</v>
      </c>
    </row>
    <row r="237" spans="1:30" ht="15">
      <c r="A237" s="68" t="s">
        <v>444</v>
      </c>
      <c r="B237" s="68" t="s">
        <v>443</v>
      </c>
      <c r="C237" s="69" t="s">
        <v>1691</v>
      </c>
      <c r="D237" s="70">
        <v>3</v>
      </c>
      <c r="E237" s="71"/>
      <c r="F237" s="72">
        <v>70</v>
      </c>
      <c r="G237" s="69"/>
      <c r="H237" s="73"/>
      <c r="I237" s="74"/>
      <c r="J237" s="74"/>
      <c r="K237" s="35" t="s">
        <v>65</v>
      </c>
      <c r="L237" s="81">
        <v>237</v>
      </c>
      <c r="M237" s="81"/>
      <c r="N237" s="76"/>
      <c r="O237" s="83" t="s">
        <v>520</v>
      </c>
      <c r="P237" s="83">
        <v>1</v>
      </c>
      <c r="Q237" s="83" t="s">
        <v>521</v>
      </c>
      <c r="R237" s="83" t="s">
        <v>694</v>
      </c>
      <c r="S237" s="83">
        <v>53674</v>
      </c>
      <c r="T237" s="82" t="str">
        <f>REPLACE(INDEX(GroupVertices[Group],MATCH(Edges[[#This Row],[Vertex 1]],GroupVertices[Vertex],0)),1,1,"")</f>
        <v>6</v>
      </c>
      <c r="U237" s="82" t="str">
        <f>REPLACE(INDEX(GroupVertices[Group],MATCH(Edges[[#This Row],[Vertex 2]],GroupVertices[Vertex],0)),1,1,"")</f>
        <v>6</v>
      </c>
      <c r="V237" s="49">
        <v>0</v>
      </c>
      <c r="W237" s="50">
        <v>0</v>
      </c>
      <c r="X237" s="49">
        <v>0</v>
      </c>
      <c r="Y237" s="50">
        <v>0</v>
      </c>
      <c r="Z237" s="49">
        <v>0</v>
      </c>
      <c r="AA237" s="50">
        <v>0</v>
      </c>
      <c r="AB237" s="49">
        <v>5</v>
      </c>
      <c r="AC237" s="50">
        <v>100</v>
      </c>
      <c r="AD237" s="49">
        <v>5</v>
      </c>
    </row>
    <row r="238" spans="1:30" ht="15">
      <c r="A238" s="68" t="s">
        <v>444</v>
      </c>
      <c r="B238" s="68" t="s">
        <v>444</v>
      </c>
      <c r="C238" s="69" t="s">
        <v>1691</v>
      </c>
      <c r="D238" s="70">
        <v>3</v>
      </c>
      <c r="E238" s="71"/>
      <c r="F238" s="72">
        <v>70</v>
      </c>
      <c r="G238" s="69"/>
      <c r="H238" s="73"/>
      <c r="I238" s="74"/>
      <c r="J238" s="74"/>
      <c r="K238" s="35" t="s">
        <v>65</v>
      </c>
      <c r="L238" s="81">
        <v>238</v>
      </c>
      <c r="M238" s="81"/>
      <c r="N238" s="76"/>
      <c r="O238" s="83" t="s">
        <v>520</v>
      </c>
      <c r="P238" s="83">
        <v>1</v>
      </c>
      <c r="Q238" s="83" t="s">
        <v>521</v>
      </c>
      <c r="R238" s="83" t="s">
        <v>695</v>
      </c>
      <c r="S238" s="83">
        <v>53753</v>
      </c>
      <c r="T238" s="82" t="str">
        <f>REPLACE(INDEX(GroupVertices[Group],MATCH(Edges[[#This Row],[Vertex 1]],GroupVertices[Vertex],0)),1,1,"")</f>
        <v>6</v>
      </c>
      <c r="U238" s="82" t="str">
        <f>REPLACE(INDEX(GroupVertices[Group],MATCH(Edges[[#This Row],[Vertex 2]],GroupVertices[Vertex],0)),1,1,"")</f>
        <v>6</v>
      </c>
      <c r="V238" s="49">
        <v>0</v>
      </c>
      <c r="W238" s="50">
        <v>0</v>
      </c>
      <c r="X238" s="49">
        <v>0</v>
      </c>
      <c r="Y238" s="50">
        <v>0</v>
      </c>
      <c r="Z238" s="49">
        <v>0</v>
      </c>
      <c r="AA238" s="50">
        <v>0</v>
      </c>
      <c r="AB238" s="49">
        <v>3</v>
      </c>
      <c r="AC238" s="50">
        <v>100</v>
      </c>
      <c r="AD238" s="49">
        <v>3</v>
      </c>
    </row>
    <row r="239" spans="1:30" ht="15">
      <c r="A239" s="68" t="s">
        <v>445</v>
      </c>
      <c r="B239" s="68" t="s">
        <v>444</v>
      </c>
      <c r="C239" s="69" t="s">
        <v>1691</v>
      </c>
      <c r="D239" s="70">
        <v>3</v>
      </c>
      <c r="E239" s="71"/>
      <c r="F239" s="72">
        <v>70</v>
      </c>
      <c r="G239" s="69"/>
      <c r="H239" s="73"/>
      <c r="I239" s="74"/>
      <c r="J239" s="74"/>
      <c r="K239" s="35" t="s">
        <v>65</v>
      </c>
      <c r="L239" s="81">
        <v>239</v>
      </c>
      <c r="M239" s="81"/>
      <c r="N239" s="76"/>
      <c r="O239" s="83" t="s">
        <v>520</v>
      </c>
      <c r="P239" s="83">
        <v>1</v>
      </c>
      <c r="Q239" s="83" t="s">
        <v>521</v>
      </c>
      <c r="R239" s="83" t="s">
        <v>696</v>
      </c>
      <c r="S239" s="83">
        <v>55290</v>
      </c>
      <c r="T239" s="82" t="str">
        <f>REPLACE(INDEX(GroupVertices[Group],MATCH(Edges[[#This Row],[Vertex 1]],GroupVertices[Vertex],0)),1,1,"")</f>
        <v>6</v>
      </c>
      <c r="U239" s="82" t="str">
        <f>REPLACE(INDEX(GroupVertices[Group],MATCH(Edges[[#This Row],[Vertex 2]],GroupVertices[Vertex],0)),1,1,"")</f>
        <v>6</v>
      </c>
      <c r="V239" s="49">
        <v>0</v>
      </c>
      <c r="W239" s="50">
        <v>0</v>
      </c>
      <c r="X239" s="49">
        <v>0</v>
      </c>
      <c r="Y239" s="50">
        <v>0</v>
      </c>
      <c r="Z239" s="49">
        <v>0</v>
      </c>
      <c r="AA239" s="50">
        <v>0</v>
      </c>
      <c r="AB239" s="49">
        <v>12</v>
      </c>
      <c r="AC239" s="50">
        <v>100</v>
      </c>
      <c r="AD239" s="49">
        <v>12</v>
      </c>
    </row>
    <row r="240" spans="1:30" ht="15">
      <c r="A240" s="68" t="s">
        <v>446</v>
      </c>
      <c r="B240" s="68" t="s">
        <v>445</v>
      </c>
      <c r="C240" s="69" t="s">
        <v>1691</v>
      </c>
      <c r="D240" s="70">
        <v>3</v>
      </c>
      <c r="E240" s="71"/>
      <c r="F240" s="72">
        <v>70</v>
      </c>
      <c r="G240" s="69"/>
      <c r="H240" s="73"/>
      <c r="I240" s="74"/>
      <c r="J240" s="74"/>
      <c r="K240" s="35" t="s">
        <v>65</v>
      </c>
      <c r="L240" s="81">
        <v>240</v>
      </c>
      <c r="M240" s="81"/>
      <c r="N240" s="76"/>
      <c r="O240" s="83" t="s">
        <v>520</v>
      </c>
      <c r="P240" s="83">
        <v>1</v>
      </c>
      <c r="Q240" s="83" t="s">
        <v>521</v>
      </c>
      <c r="R240" s="83" t="s">
        <v>697</v>
      </c>
      <c r="S240" s="83">
        <v>55458</v>
      </c>
      <c r="T240" s="82" t="str">
        <f>REPLACE(INDEX(GroupVertices[Group],MATCH(Edges[[#This Row],[Vertex 1]],GroupVertices[Vertex],0)),1,1,"")</f>
        <v>6</v>
      </c>
      <c r="U240" s="82" t="str">
        <f>REPLACE(INDEX(GroupVertices[Group],MATCH(Edges[[#This Row],[Vertex 2]],GroupVertices[Vertex],0)),1,1,"")</f>
        <v>6</v>
      </c>
      <c r="V240" s="49">
        <v>0</v>
      </c>
      <c r="W240" s="50">
        <v>0</v>
      </c>
      <c r="X240" s="49">
        <v>0</v>
      </c>
      <c r="Y240" s="50">
        <v>0</v>
      </c>
      <c r="Z240" s="49">
        <v>0</v>
      </c>
      <c r="AA240" s="50">
        <v>0</v>
      </c>
      <c r="AB240" s="49">
        <v>10</v>
      </c>
      <c r="AC240" s="50">
        <v>100</v>
      </c>
      <c r="AD240" s="49">
        <v>10</v>
      </c>
    </row>
    <row r="241" spans="1:30" ht="15">
      <c r="A241" s="68" t="s">
        <v>447</v>
      </c>
      <c r="B241" s="68" t="s">
        <v>446</v>
      </c>
      <c r="C241" s="69" t="s">
        <v>1691</v>
      </c>
      <c r="D241" s="70">
        <v>3</v>
      </c>
      <c r="E241" s="71"/>
      <c r="F241" s="72">
        <v>70</v>
      </c>
      <c r="G241" s="69"/>
      <c r="H241" s="73"/>
      <c r="I241" s="74"/>
      <c r="J241" s="74"/>
      <c r="K241" s="35" t="s">
        <v>65</v>
      </c>
      <c r="L241" s="81">
        <v>241</v>
      </c>
      <c r="M241" s="81"/>
      <c r="N241" s="76"/>
      <c r="O241" s="83" t="s">
        <v>520</v>
      </c>
      <c r="P241" s="83">
        <v>1</v>
      </c>
      <c r="Q241" s="83" t="s">
        <v>521</v>
      </c>
      <c r="R241" s="83" t="s">
        <v>697</v>
      </c>
      <c r="S241" s="83">
        <v>55503</v>
      </c>
      <c r="T241" s="82" t="str">
        <f>REPLACE(INDEX(GroupVertices[Group],MATCH(Edges[[#This Row],[Vertex 1]],GroupVertices[Vertex],0)),1,1,"")</f>
        <v>6</v>
      </c>
      <c r="U241" s="82" t="str">
        <f>REPLACE(INDEX(GroupVertices[Group],MATCH(Edges[[#This Row],[Vertex 2]],GroupVertices[Vertex],0)),1,1,"")</f>
        <v>6</v>
      </c>
      <c r="V241" s="49">
        <v>0</v>
      </c>
      <c r="W241" s="50">
        <v>0</v>
      </c>
      <c r="X241" s="49">
        <v>0</v>
      </c>
      <c r="Y241" s="50">
        <v>0</v>
      </c>
      <c r="Z241" s="49">
        <v>0</v>
      </c>
      <c r="AA241" s="50">
        <v>0</v>
      </c>
      <c r="AB241" s="49">
        <v>10</v>
      </c>
      <c r="AC241" s="50">
        <v>100</v>
      </c>
      <c r="AD241" s="49">
        <v>10</v>
      </c>
    </row>
    <row r="242" spans="1:30" ht="15">
      <c r="A242" s="68" t="s">
        <v>448</v>
      </c>
      <c r="B242" s="68" t="s">
        <v>447</v>
      </c>
      <c r="C242" s="69" t="s">
        <v>1691</v>
      </c>
      <c r="D242" s="70">
        <v>3</v>
      </c>
      <c r="E242" s="71"/>
      <c r="F242" s="72">
        <v>70</v>
      </c>
      <c r="G242" s="69"/>
      <c r="H242" s="73"/>
      <c r="I242" s="74"/>
      <c r="J242" s="74"/>
      <c r="K242" s="35" t="s">
        <v>66</v>
      </c>
      <c r="L242" s="81">
        <v>242</v>
      </c>
      <c r="M242" s="81"/>
      <c r="N242" s="76"/>
      <c r="O242" s="83" t="s">
        <v>520</v>
      </c>
      <c r="P242" s="83">
        <v>1</v>
      </c>
      <c r="Q242" s="83" t="s">
        <v>521</v>
      </c>
      <c r="R242" s="83" t="s">
        <v>698</v>
      </c>
      <c r="S242" s="83">
        <v>55705</v>
      </c>
      <c r="T242" s="82" t="str">
        <f>REPLACE(INDEX(GroupVertices[Group],MATCH(Edges[[#This Row],[Vertex 1]],GroupVertices[Vertex],0)),1,1,"")</f>
        <v>6</v>
      </c>
      <c r="U242" s="82" t="str">
        <f>REPLACE(INDEX(GroupVertices[Group],MATCH(Edges[[#This Row],[Vertex 2]],GroupVertices[Vertex],0)),1,1,"")</f>
        <v>6</v>
      </c>
      <c r="V242" s="49">
        <v>0</v>
      </c>
      <c r="W242" s="50">
        <v>0</v>
      </c>
      <c r="X242" s="49">
        <v>0</v>
      </c>
      <c r="Y242" s="50">
        <v>0</v>
      </c>
      <c r="Z242" s="49">
        <v>0</v>
      </c>
      <c r="AA242" s="50">
        <v>0</v>
      </c>
      <c r="AB242" s="49">
        <v>12</v>
      </c>
      <c r="AC242" s="50">
        <v>100</v>
      </c>
      <c r="AD242" s="49">
        <v>12</v>
      </c>
    </row>
    <row r="243" spans="1:30" ht="15">
      <c r="A243" s="68" t="s">
        <v>447</v>
      </c>
      <c r="B243" s="68" t="s">
        <v>448</v>
      </c>
      <c r="C243" s="69" t="s">
        <v>1691</v>
      </c>
      <c r="D243" s="70">
        <v>3</v>
      </c>
      <c r="E243" s="71"/>
      <c r="F243" s="72">
        <v>70</v>
      </c>
      <c r="G243" s="69"/>
      <c r="H243" s="73"/>
      <c r="I243" s="74"/>
      <c r="J243" s="74"/>
      <c r="K243" s="35" t="s">
        <v>66</v>
      </c>
      <c r="L243" s="81">
        <v>243</v>
      </c>
      <c r="M243" s="81"/>
      <c r="N243" s="76"/>
      <c r="O243" s="83" t="s">
        <v>520</v>
      </c>
      <c r="P243" s="83">
        <v>1</v>
      </c>
      <c r="Q243" s="83" t="s">
        <v>521</v>
      </c>
      <c r="R243" s="83" t="s">
        <v>697</v>
      </c>
      <c r="S243" s="83">
        <v>55493</v>
      </c>
      <c r="T243" s="82" t="str">
        <f>REPLACE(INDEX(GroupVertices[Group],MATCH(Edges[[#This Row],[Vertex 1]],GroupVertices[Vertex],0)),1,1,"")</f>
        <v>6</v>
      </c>
      <c r="U243" s="82" t="str">
        <f>REPLACE(INDEX(GroupVertices[Group],MATCH(Edges[[#This Row],[Vertex 2]],GroupVertices[Vertex],0)),1,1,"")</f>
        <v>6</v>
      </c>
      <c r="V243" s="49">
        <v>0</v>
      </c>
      <c r="W243" s="50">
        <v>0</v>
      </c>
      <c r="X243" s="49">
        <v>0</v>
      </c>
      <c r="Y243" s="50">
        <v>0</v>
      </c>
      <c r="Z243" s="49">
        <v>0</v>
      </c>
      <c r="AA243" s="50">
        <v>0</v>
      </c>
      <c r="AB243" s="49">
        <v>10</v>
      </c>
      <c r="AC243" s="50">
        <v>100</v>
      </c>
      <c r="AD243" s="49">
        <v>10</v>
      </c>
    </row>
    <row r="244" spans="1:30" ht="15">
      <c r="A244" s="68" t="s">
        <v>447</v>
      </c>
      <c r="B244" s="68" t="s">
        <v>447</v>
      </c>
      <c r="C244" s="69" t="s">
        <v>1691</v>
      </c>
      <c r="D244" s="70">
        <v>3</v>
      </c>
      <c r="E244" s="71"/>
      <c r="F244" s="72">
        <v>70</v>
      </c>
      <c r="G244" s="69"/>
      <c r="H244" s="73"/>
      <c r="I244" s="74"/>
      <c r="J244" s="74"/>
      <c r="K244" s="35" t="s">
        <v>65</v>
      </c>
      <c r="L244" s="81">
        <v>244</v>
      </c>
      <c r="M244" s="81"/>
      <c r="N244" s="76"/>
      <c r="O244" s="83" t="s">
        <v>520</v>
      </c>
      <c r="P244" s="83">
        <v>1</v>
      </c>
      <c r="Q244" s="83" t="s">
        <v>521</v>
      </c>
      <c r="R244" s="83" t="s">
        <v>697</v>
      </c>
      <c r="S244" s="83">
        <v>55661</v>
      </c>
      <c r="T244" s="82" t="str">
        <f>REPLACE(INDEX(GroupVertices[Group],MATCH(Edges[[#This Row],[Vertex 1]],GroupVertices[Vertex],0)),1,1,"")</f>
        <v>6</v>
      </c>
      <c r="U244" s="82" t="str">
        <f>REPLACE(INDEX(GroupVertices[Group],MATCH(Edges[[#This Row],[Vertex 2]],GroupVertices[Vertex],0)),1,1,"")</f>
        <v>6</v>
      </c>
      <c r="V244" s="49">
        <v>0</v>
      </c>
      <c r="W244" s="50">
        <v>0</v>
      </c>
      <c r="X244" s="49">
        <v>0</v>
      </c>
      <c r="Y244" s="50">
        <v>0</v>
      </c>
      <c r="Z244" s="49">
        <v>0</v>
      </c>
      <c r="AA244" s="50">
        <v>0</v>
      </c>
      <c r="AB244" s="49">
        <v>10</v>
      </c>
      <c r="AC244" s="50">
        <v>100</v>
      </c>
      <c r="AD244" s="49">
        <v>10</v>
      </c>
    </row>
    <row r="245" spans="1:30" ht="15">
      <c r="A245" s="68" t="s">
        <v>449</v>
      </c>
      <c r="B245" s="68" t="s">
        <v>447</v>
      </c>
      <c r="C245" s="69" t="s">
        <v>1691</v>
      </c>
      <c r="D245" s="70">
        <v>3</v>
      </c>
      <c r="E245" s="71"/>
      <c r="F245" s="72">
        <v>70</v>
      </c>
      <c r="G245" s="69"/>
      <c r="H245" s="73"/>
      <c r="I245" s="74"/>
      <c r="J245" s="74"/>
      <c r="K245" s="35" t="s">
        <v>65</v>
      </c>
      <c r="L245" s="81">
        <v>245</v>
      </c>
      <c r="M245" s="81"/>
      <c r="N245" s="76"/>
      <c r="O245" s="83" t="s">
        <v>520</v>
      </c>
      <c r="P245" s="83">
        <v>1</v>
      </c>
      <c r="Q245" s="83" t="s">
        <v>521</v>
      </c>
      <c r="R245" s="83"/>
      <c r="S245" s="83">
        <v>55012</v>
      </c>
      <c r="T245" s="82" t="str">
        <f>REPLACE(INDEX(GroupVertices[Group],MATCH(Edges[[#This Row],[Vertex 1]],GroupVertices[Vertex],0)),1,1,"")</f>
        <v>6</v>
      </c>
      <c r="U245" s="82" t="str">
        <f>REPLACE(INDEX(GroupVertices[Group],MATCH(Edges[[#This Row],[Vertex 2]],GroupVertices[Vertex],0)),1,1,"")</f>
        <v>6</v>
      </c>
      <c r="V245" s="49"/>
      <c r="W245" s="50"/>
      <c r="X245" s="49"/>
      <c r="Y245" s="50"/>
      <c r="Z245" s="49"/>
      <c r="AA245" s="50"/>
      <c r="AB245" s="49"/>
      <c r="AC245" s="50"/>
      <c r="AD245" s="49"/>
    </row>
    <row r="246" spans="1:30" ht="15">
      <c r="A246" s="68" t="s">
        <v>450</v>
      </c>
      <c r="B246" s="68" t="s">
        <v>449</v>
      </c>
      <c r="C246" s="69" t="s">
        <v>1691</v>
      </c>
      <c r="D246" s="70">
        <v>3</v>
      </c>
      <c r="E246" s="71"/>
      <c r="F246" s="72">
        <v>70</v>
      </c>
      <c r="G246" s="69"/>
      <c r="H246" s="73"/>
      <c r="I246" s="74"/>
      <c r="J246" s="74"/>
      <c r="K246" s="35" t="s">
        <v>65</v>
      </c>
      <c r="L246" s="81">
        <v>246</v>
      </c>
      <c r="M246" s="81"/>
      <c r="N246" s="76"/>
      <c r="O246" s="83" t="s">
        <v>520</v>
      </c>
      <c r="P246" s="83">
        <v>1</v>
      </c>
      <c r="Q246" s="83" t="s">
        <v>521</v>
      </c>
      <c r="R246" s="83" t="s">
        <v>699</v>
      </c>
      <c r="S246" s="83">
        <v>55661</v>
      </c>
      <c r="T246" s="82" t="str">
        <f>REPLACE(INDEX(GroupVertices[Group],MATCH(Edges[[#This Row],[Vertex 1]],GroupVertices[Vertex],0)),1,1,"")</f>
        <v>6</v>
      </c>
      <c r="U246" s="82" t="str">
        <f>REPLACE(INDEX(GroupVertices[Group],MATCH(Edges[[#This Row],[Vertex 2]],GroupVertices[Vertex],0)),1,1,"")</f>
        <v>6</v>
      </c>
      <c r="V246" s="49">
        <v>0</v>
      </c>
      <c r="W246" s="50">
        <v>0</v>
      </c>
      <c r="X246" s="49">
        <v>0</v>
      </c>
      <c r="Y246" s="50">
        <v>0</v>
      </c>
      <c r="Z246" s="49">
        <v>0</v>
      </c>
      <c r="AA246" s="50">
        <v>0</v>
      </c>
      <c r="AB246" s="49">
        <v>29</v>
      </c>
      <c r="AC246" s="50">
        <v>100</v>
      </c>
      <c r="AD246" s="49">
        <v>29</v>
      </c>
    </row>
    <row r="247" spans="1:30" ht="15">
      <c r="A247" s="68" t="s">
        <v>451</v>
      </c>
      <c r="B247" s="68" t="s">
        <v>450</v>
      </c>
      <c r="C247" s="69" t="s">
        <v>1691</v>
      </c>
      <c r="D247" s="70">
        <v>3</v>
      </c>
      <c r="E247" s="71"/>
      <c r="F247" s="72">
        <v>70</v>
      </c>
      <c r="G247" s="69"/>
      <c r="H247" s="73"/>
      <c r="I247" s="74"/>
      <c r="J247" s="74"/>
      <c r="K247" s="35" t="s">
        <v>65</v>
      </c>
      <c r="L247" s="81">
        <v>247</v>
      </c>
      <c r="M247" s="81"/>
      <c r="N247" s="76"/>
      <c r="O247" s="83" t="s">
        <v>520</v>
      </c>
      <c r="P247" s="83">
        <v>1</v>
      </c>
      <c r="Q247" s="83" t="s">
        <v>521</v>
      </c>
      <c r="R247" s="83" t="s">
        <v>700</v>
      </c>
      <c r="S247" s="83">
        <v>55861</v>
      </c>
      <c r="T247" s="82" t="str">
        <f>REPLACE(INDEX(GroupVertices[Group],MATCH(Edges[[#This Row],[Vertex 1]],GroupVertices[Vertex],0)),1,1,"")</f>
        <v>6</v>
      </c>
      <c r="U247" s="82" t="str">
        <f>REPLACE(INDEX(GroupVertices[Group],MATCH(Edges[[#This Row],[Vertex 2]],GroupVertices[Vertex],0)),1,1,"")</f>
        <v>6</v>
      </c>
      <c r="V247" s="49">
        <v>0</v>
      </c>
      <c r="W247" s="50">
        <v>0</v>
      </c>
      <c r="X247" s="49">
        <v>0</v>
      </c>
      <c r="Y247" s="50">
        <v>0</v>
      </c>
      <c r="Z247" s="49">
        <v>0</v>
      </c>
      <c r="AA247" s="50">
        <v>0</v>
      </c>
      <c r="AB247" s="49">
        <v>3</v>
      </c>
      <c r="AC247" s="50">
        <v>100</v>
      </c>
      <c r="AD247" s="49">
        <v>3</v>
      </c>
    </row>
    <row r="248" spans="1:30" ht="15">
      <c r="A248" s="68" t="s">
        <v>328</v>
      </c>
      <c r="B248" s="68" t="s">
        <v>451</v>
      </c>
      <c r="C248" s="69" t="s">
        <v>1691</v>
      </c>
      <c r="D248" s="70">
        <v>3</v>
      </c>
      <c r="E248" s="71"/>
      <c r="F248" s="72">
        <v>70</v>
      </c>
      <c r="G248" s="69"/>
      <c r="H248" s="73"/>
      <c r="I248" s="74"/>
      <c r="J248" s="74"/>
      <c r="K248" s="35" t="s">
        <v>65</v>
      </c>
      <c r="L248" s="81">
        <v>248</v>
      </c>
      <c r="M248" s="81"/>
      <c r="N248" s="76"/>
      <c r="O248" s="83" t="s">
        <v>520</v>
      </c>
      <c r="P248" s="83">
        <v>1</v>
      </c>
      <c r="Q248" s="83" t="s">
        <v>521</v>
      </c>
      <c r="R248" s="83" t="s">
        <v>701</v>
      </c>
      <c r="S248" s="83">
        <v>56152</v>
      </c>
      <c r="T248" s="82" t="str">
        <f>REPLACE(INDEX(GroupVertices[Group],MATCH(Edges[[#This Row],[Vertex 1]],GroupVertices[Vertex],0)),1,1,"")</f>
        <v>1</v>
      </c>
      <c r="U248" s="82" t="str">
        <f>REPLACE(INDEX(GroupVertices[Group],MATCH(Edges[[#This Row],[Vertex 2]],GroupVertices[Vertex],0)),1,1,"")</f>
        <v>6</v>
      </c>
      <c r="V248" s="49">
        <v>0</v>
      </c>
      <c r="W248" s="50">
        <v>0</v>
      </c>
      <c r="X248" s="49">
        <v>0</v>
      </c>
      <c r="Y248" s="50">
        <v>0</v>
      </c>
      <c r="Z248" s="49">
        <v>0</v>
      </c>
      <c r="AA248" s="50">
        <v>0</v>
      </c>
      <c r="AB248" s="49">
        <v>16</v>
      </c>
      <c r="AC248" s="50">
        <v>100</v>
      </c>
      <c r="AD248" s="49">
        <v>16</v>
      </c>
    </row>
    <row r="249" spans="1:30" ht="15">
      <c r="A249" s="68" t="s">
        <v>445</v>
      </c>
      <c r="B249" s="68" t="s">
        <v>328</v>
      </c>
      <c r="C249" s="69" t="s">
        <v>1691</v>
      </c>
      <c r="D249" s="70">
        <v>3</v>
      </c>
      <c r="E249" s="71"/>
      <c r="F249" s="72">
        <v>70</v>
      </c>
      <c r="G249" s="69"/>
      <c r="H249" s="73"/>
      <c r="I249" s="74"/>
      <c r="J249" s="74"/>
      <c r="K249" s="35" t="s">
        <v>65</v>
      </c>
      <c r="L249" s="81">
        <v>249</v>
      </c>
      <c r="M249" s="81"/>
      <c r="N249" s="76"/>
      <c r="O249" s="83" t="s">
        <v>520</v>
      </c>
      <c r="P249" s="83">
        <v>1</v>
      </c>
      <c r="Q249" s="83" t="s">
        <v>521</v>
      </c>
      <c r="R249" s="83" t="s">
        <v>702</v>
      </c>
      <c r="S249" s="83">
        <v>58480</v>
      </c>
      <c r="T249" s="82" t="str">
        <f>REPLACE(INDEX(GroupVertices[Group],MATCH(Edges[[#This Row],[Vertex 1]],GroupVertices[Vertex],0)),1,1,"")</f>
        <v>6</v>
      </c>
      <c r="U249" s="82" t="str">
        <f>REPLACE(INDEX(GroupVertices[Group],MATCH(Edges[[#This Row],[Vertex 2]],GroupVertices[Vertex],0)),1,1,"")</f>
        <v>1</v>
      </c>
      <c r="V249" s="49">
        <v>0</v>
      </c>
      <c r="W249" s="50">
        <v>0</v>
      </c>
      <c r="X249" s="49">
        <v>0</v>
      </c>
      <c r="Y249" s="50">
        <v>0</v>
      </c>
      <c r="Z249" s="49">
        <v>0</v>
      </c>
      <c r="AA249" s="50">
        <v>0</v>
      </c>
      <c r="AB249" s="49">
        <v>15</v>
      </c>
      <c r="AC249" s="50">
        <v>100</v>
      </c>
      <c r="AD249" s="49">
        <v>15</v>
      </c>
    </row>
    <row r="250" spans="1:30" ht="15">
      <c r="A250" s="68" t="s">
        <v>452</v>
      </c>
      <c r="B250" s="68" t="s">
        <v>445</v>
      </c>
      <c r="C250" s="69" t="s">
        <v>1691</v>
      </c>
      <c r="D250" s="70">
        <v>3</v>
      </c>
      <c r="E250" s="71"/>
      <c r="F250" s="72">
        <v>70</v>
      </c>
      <c r="G250" s="69"/>
      <c r="H250" s="73"/>
      <c r="I250" s="74"/>
      <c r="J250" s="74"/>
      <c r="K250" s="35" t="s">
        <v>65</v>
      </c>
      <c r="L250" s="81">
        <v>250</v>
      </c>
      <c r="M250" s="81"/>
      <c r="N250" s="76"/>
      <c r="O250" s="83" t="s">
        <v>520</v>
      </c>
      <c r="P250" s="83">
        <v>1</v>
      </c>
      <c r="Q250" s="83" t="s">
        <v>521</v>
      </c>
      <c r="R250" s="83" t="s">
        <v>703</v>
      </c>
      <c r="S250" s="83">
        <v>60609</v>
      </c>
      <c r="T250" s="82" t="str">
        <f>REPLACE(INDEX(GroupVertices[Group],MATCH(Edges[[#This Row],[Vertex 1]],GroupVertices[Vertex],0)),1,1,"")</f>
        <v>6</v>
      </c>
      <c r="U250" s="82" t="str">
        <f>REPLACE(INDEX(GroupVertices[Group],MATCH(Edges[[#This Row],[Vertex 2]],GroupVertices[Vertex],0)),1,1,"")</f>
        <v>6</v>
      </c>
      <c r="V250" s="49">
        <v>0</v>
      </c>
      <c r="W250" s="50">
        <v>0</v>
      </c>
      <c r="X250" s="49">
        <v>0</v>
      </c>
      <c r="Y250" s="50">
        <v>0</v>
      </c>
      <c r="Z250" s="49">
        <v>0</v>
      </c>
      <c r="AA250" s="50">
        <v>0</v>
      </c>
      <c r="AB250" s="49">
        <v>2</v>
      </c>
      <c r="AC250" s="50">
        <v>100</v>
      </c>
      <c r="AD250" s="49">
        <v>2</v>
      </c>
    </row>
    <row r="251" spans="1:30" ht="15">
      <c r="A251" s="68" t="s">
        <v>453</v>
      </c>
      <c r="B251" s="68" t="s">
        <v>452</v>
      </c>
      <c r="C251" s="69" t="s">
        <v>1691</v>
      </c>
      <c r="D251" s="70">
        <v>3</v>
      </c>
      <c r="E251" s="71"/>
      <c r="F251" s="72">
        <v>70</v>
      </c>
      <c r="G251" s="69"/>
      <c r="H251" s="73"/>
      <c r="I251" s="74"/>
      <c r="J251" s="74"/>
      <c r="K251" s="35" t="s">
        <v>66</v>
      </c>
      <c r="L251" s="81">
        <v>251</v>
      </c>
      <c r="M251" s="81"/>
      <c r="N251" s="76"/>
      <c r="O251" s="83" t="s">
        <v>520</v>
      </c>
      <c r="P251" s="83">
        <v>1</v>
      </c>
      <c r="Q251" s="83" t="s">
        <v>521</v>
      </c>
      <c r="R251" s="83" t="s">
        <v>704</v>
      </c>
      <c r="S251" s="83">
        <v>60982</v>
      </c>
      <c r="T251" s="82" t="str">
        <f>REPLACE(INDEX(GroupVertices[Group],MATCH(Edges[[#This Row],[Vertex 1]],GroupVertices[Vertex],0)),1,1,"")</f>
        <v>6</v>
      </c>
      <c r="U251" s="82" t="str">
        <f>REPLACE(INDEX(GroupVertices[Group],MATCH(Edges[[#This Row],[Vertex 2]],GroupVertices[Vertex],0)),1,1,"")</f>
        <v>6</v>
      </c>
      <c r="V251" s="49">
        <v>0</v>
      </c>
      <c r="W251" s="50">
        <v>0</v>
      </c>
      <c r="X251" s="49">
        <v>0</v>
      </c>
      <c r="Y251" s="50">
        <v>0</v>
      </c>
      <c r="Z251" s="49">
        <v>0</v>
      </c>
      <c r="AA251" s="50">
        <v>0</v>
      </c>
      <c r="AB251" s="49">
        <v>10</v>
      </c>
      <c r="AC251" s="50">
        <v>100</v>
      </c>
      <c r="AD251" s="49">
        <v>10</v>
      </c>
    </row>
    <row r="252" spans="1:30" ht="15">
      <c r="A252" s="68" t="s">
        <v>452</v>
      </c>
      <c r="B252" s="68" t="s">
        <v>453</v>
      </c>
      <c r="C252" s="69" t="s">
        <v>1691</v>
      </c>
      <c r="D252" s="70">
        <v>3</v>
      </c>
      <c r="E252" s="71"/>
      <c r="F252" s="72">
        <v>70</v>
      </c>
      <c r="G252" s="69"/>
      <c r="H252" s="73"/>
      <c r="I252" s="74"/>
      <c r="J252" s="74"/>
      <c r="K252" s="35" t="s">
        <v>66</v>
      </c>
      <c r="L252" s="81">
        <v>252</v>
      </c>
      <c r="M252" s="81"/>
      <c r="N252" s="76"/>
      <c r="O252" s="83" t="s">
        <v>520</v>
      </c>
      <c r="P252" s="83">
        <v>1</v>
      </c>
      <c r="Q252" s="83" t="s">
        <v>521</v>
      </c>
      <c r="R252" s="83" t="s">
        <v>705</v>
      </c>
      <c r="S252" s="83">
        <v>62358</v>
      </c>
      <c r="T252" s="82" t="str">
        <f>REPLACE(INDEX(GroupVertices[Group],MATCH(Edges[[#This Row],[Vertex 1]],GroupVertices[Vertex],0)),1,1,"")</f>
        <v>6</v>
      </c>
      <c r="U252" s="82" t="str">
        <f>REPLACE(INDEX(GroupVertices[Group],MATCH(Edges[[#This Row],[Vertex 2]],GroupVertices[Vertex],0)),1,1,"")</f>
        <v>6</v>
      </c>
      <c r="V252" s="49">
        <v>0</v>
      </c>
      <c r="W252" s="50">
        <v>0</v>
      </c>
      <c r="X252" s="49">
        <v>0</v>
      </c>
      <c r="Y252" s="50">
        <v>0</v>
      </c>
      <c r="Z252" s="49">
        <v>0</v>
      </c>
      <c r="AA252" s="50">
        <v>0</v>
      </c>
      <c r="AB252" s="49">
        <v>2</v>
      </c>
      <c r="AC252" s="50">
        <v>100</v>
      </c>
      <c r="AD252" s="49">
        <v>2</v>
      </c>
    </row>
    <row r="253" spans="1:30" ht="15">
      <c r="A253" s="68" t="s">
        <v>452</v>
      </c>
      <c r="B253" s="68" t="s">
        <v>452</v>
      </c>
      <c r="C253" s="69" t="s">
        <v>1692</v>
      </c>
      <c r="D253" s="70">
        <v>10</v>
      </c>
      <c r="E253" s="71"/>
      <c r="F253" s="72">
        <v>40</v>
      </c>
      <c r="G253" s="69"/>
      <c r="H253" s="73"/>
      <c r="I253" s="74"/>
      <c r="J253" s="74"/>
      <c r="K253" s="35" t="s">
        <v>65</v>
      </c>
      <c r="L253" s="81">
        <v>253</v>
      </c>
      <c r="M253" s="81"/>
      <c r="N253" s="76"/>
      <c r="O253" s="83" t="s">
        <v>520</v>
      </c>
      <c r="P253" s="83">
        <v>2</v>
      </c>
      <c r="Q253" s="83" t="s">
        <v>521</v>
      </c>
      <c r="R253" s="83" t="s">
        <v>706</v>
      </c>
      <c r="S253" s="83">
        <v>63243</v>
      </c>
      <c r="T253" s="82" t="str">
        <f>REPLACE(INDEX(GroupVertices[Group],MATCH(Edges[[#This Row],[Vertex 1]],GroupVertices[Vertex],0)),1,1,"")</f>
        <v>6</v>
      </c>
      <c r="U253" s="82" t="str">
        <f>REPLACE(INDEX(GroupVertices[Group],MATCH(Edges[[#This Row],[Vertex 2]],GroupVertices[Vertex],0)),1,1,"")</f>
        <v>6</v>
      </c>
      <c r="V253" s="49">
        <v>0</v>
      </c>
      <c r="W253" s="50">
        <v>0</v>
      </c>
      <c r="X253" s="49">
        <v>2</v>
      </c>
      <c r="Y253" s="50">
        <v>16.666666666666668</v>
      </c>
      <c r="Z253" s="49">
        <v>0</v>
      </c>
      <c r="AA253" s="50">
        <v>0</v>
      </c>
      <c r="AB253" s="49">
        <v>10</v>
      </c>
      <c r="AC253" s="50">
        <v>83.33333333333333</v>
      </c>
      <c r="AD253" s="49">
        <v>12</v>
      </c>
    </row>
    <row r="254" spans="1:30" ht="15">
      <c r="A254" s="68" t="s">
        <v>454</v>
      </c>
      <c r="B254" s="68" t="s">
        <v>452</v>
      </c>
      <c r="C254" s="69" t="s">
        <v>1691</v>
      </c>
      <c r="D254" s="70">
        <v>3</v>
      </c>
      <c r="E254" s="71"/>
      <c r="F254" s="72">
        <v>70</v>
      </c>
      <c r="G254" s="69"/>
      <c r="H254" s="73"/>
      <c r="I254" s="74"/>
      <c r="J254" s="74"/>
      <c r="K254" s="35" t="s">
        <v>65</v>
      </c>
      <c r="L254" s="81">
        <v>254</v>
      </c>
      <c r="M254" s="81"/>
      <c r="N254" s="76"/>
      <c r="O254" s="83" t="s">
        <v>520</v>
      </c>
      <c r="P254" s="83">
        <v>1</v>
      </c>
      <c r="Q254" s="83" t="s">
        <v>521</v>
      </c>
      <c r="R254" s="83" t="s">
        <v>705</v>
      </c>
      <c r="S254" s="83">
        <v>63551</v>
      </c>
      <c r="T254" s="82" t="str">
        <f>REPLACE(INDEX(GroupVertices[Group],MATCH(Edges[[#This Row],[Vertex 1]],GroupVertices[Vertex],0)),1,1,"")</f>
        <v>6</v>
      </c>
      <c r="U254" s="82" t="str">
        <f>REPLACE(INDEX(GroupVertices[Group],MATCH(Edges[[#This Row],[Vertex 2]],GroupVertices[Vertex],0)),1,1,"")</f>
        <v>6</v>
      </c>
      <c r="V254" s="49">
        <v>0</v>
      </c>
      <c r="W254" s="50">
        <v>0</v>
      </c>
      <c r="X254" s="49">
        <v>0</v>
      </c>
      <c r="Y254" s="50">
        <v>0</v>
      </c>
      <c r="Z254" s="49">
        <v>0</v>
      </c>
      <c r="AA254" s="50">
        <v>0</v>
      </c>
      <c r="AB254" s="49">
        <v>2</v>
      </c>
      <c r="AC254" s="50">
        <v>100</v>
      </c>
      <c r="AD254" s="49">
        <v>2</v>
      </c>
    </row>
    <row r="255" spans="1:30" ht="15">
      <c r="A255" s="68" t="s">
        <v>454</v>
      </c>
      <c r="B255" s="68" t="s">
        <v>454</v>
      </c>
      <c r="C255" s="69" t="s">
        <v>1691</v>
      </c>
      <c r="D255" s="70">
        <v>3</v>
      </c>
      <c r="E255" s="71"/>
      <c r="F255" s="72">
        <v>70</v>
      </c>
      <c r="G255" s="69"/>
      <c r="H255" s="73"/>
      <c r="I255" s="74"/>
      <c r="J255" s="74"/>
      <c r="K255" s="35" t="s">
        <v>65</v>
      </c>
      <c r="L255" s="81">
        <v>255</v>
      </c>
      <c r="M255" s="81"/>
      <c r="N255" s="76"/>
      <c r="O255" s="83" t="s">
        <v>520</v>
      </c>
      <c r="P255" s="83">
        <v>1</v>
      </c>
      <c r="Q255" s="83" t="s">
        <v>521</v>
      </c>
      <c r="R255" s="83" t="s">
        <v>705</v>
      </c>
      <c r="S255" s="83">
        <v>63551</v>
      </c>
      <c r="T255" s="82" t="str">
        <f>REPLACE(INDEX(GroupVertices[Group],MATCH(Edges[[#This Row],[Vertex 1]],GroupVertices[Vertex],0)),1,1,"")</f>
        <v>6</v>
      </c>
      <c r="U255" s="82" t="str">
        <f>REPLACE(INDEX(GroupVertices[Group],MATCH(Edges[[#This Row],[Vertex 2]],GroupVertices[Vertex],0)),1,1,"")</f>
        <v>6</v>
      </c>
      <c r="V255" s="49">
        <v>0</v>
      </c>
      <c r="W255" s="50">
        <v>0</v>
      </c>
      <c r="X255" s="49">
        <v>0</v>
      </c>
      <c r="Y255" s="50">
        <v>0</v>
      </c>
      <c r="Z255" s="49">
        <v>0</v>
      </c>
      <c r="AA255" s="50">
        <v>0</v>
      </c>
      <c r="AB255" s="49">
        <v>2</v>
      </c>
      <c r="AC255" s="50">
        <v>100</v>
      </c>
      <c r="AD255" s="49">
        <v>2</v>
      </c>
    </row>
    <row r="256" spans="1:30" ht="15">
      <c r="A256" s="68" t="s">
        <v>455</v>
      </c>
      <c r="B256" s="68" t="s">
        <v>454</v>
      </c>
      <c r="C256" s="69" t="s">
        <v>1691</v>
      </c>
      <c r="D256" s="70">
        <v>3</v>
      </c>
      <c r="E256" s="71"/>
      <c r="F256" s="72">
        <v>70</v>
      </c>
      <c r="G256" s="69"/>
      <c r="H256" s="73"/>
      <c r="I256" s="74"/>
      <c r="J256" s="74"/>
      <c r="K256" s="35" t="s">
        <v>65</v>
      </c>
      <c r="L256" s="81">
        <v>256</v>
      </c>
      <c r="M256" s="81"/>
      <c r="N256" s="76"/>
      <c r="O256" s="83" t="s">
        <v>520</v>
      </c>
      <c r="P256" s="83">
        <v>1</v>
      </c>
      <c r="Q256" s="83" t="s">
        <v>521</v>
      </c>
      <c r="R256" s="83" t="s">
        <v>707</v>
      </c>
      <c r="S256" s="83">
        <v>63712</v>
      </c>
      <c r="T256" s="82" t="str">
        <f>REPLACE(INDEX(GroupVertices[Group],MATCH(Edges[[#This Row],[Vertex 1]],GroupVertices[Vertex],0)),1,1,"")</f>
        <v>6</v>
      </c>
      <c r="U256" s="82" t="str">
        <f>REPLACE(INDEX(GroupVertices[Group],MATCH(Edges[[#This Row],[Vertex 2]],GroupVertices[Vertex],0)),1,1,"")</f>
        <v>6</v>
      </c>
      <c r="V256" s="49">
        <v>0</v>
      </c>
      <c r="W256" s="50">
        <v>0</v>
      </c>
      <c r="X256" s="49">
        <v>0</v>
      </c>
      <c r="Y256" s="50">
        <v>0</v>
      </c>
      <c r="Z256" s="49">
        <v>0</v>
      </c>
      <c r="AA256" s="50">
        <v>0</v>
      </c>
      <c r="AB256" s="49">
        <v>10</v>
      </c>
      <c r="AC256" s="50">
        <v>100</v>
      </c>
      <c r="AD256" s="49">
        <v>10</v>
      </c>
    </row>
    <row r="257" spans="1:30" ht="15">
      <c r="A257" s="68" t="s">
        <v>456</v>
      </c>
      <c r="B257" s="68" t="s">
        <v>455</v>
      </c>
      <c r="C257" s="69" t="s">
        <v>1691</v>
      </c>
      <c r="D257" s="70">
        <v>3</v>
      </c>
      <c r="E257" s="71"/>
      <c r="F257" s="72">
        <v>70</v>
      </c>
      <c r="G257" s="69"/>
      <c r="H257" s="73"/>
      <c r="I257" s="74"/>
      <c r="J257" s="74"/>
      <c r="K257" s="35" t="s">
        <v>65</v>
      </c>
      <c r="L257" s="81">
        <v>257</v>
      </c>
      <c r="M257" s="81"/>
      <c r="N257" s="76"/>
      <c r="O257" s="83" t="s">
        <v>520</v>
      </c>
      <c r="P257" s="83">
        <v>1</v>
      </c>
      <c r="Q257" s="83" t="s">
        <v>521</v>
      </c>
      <c r="R257" s="83" t="s">
        <v>645</v>
      </c>
      <c r="S257" s="83">
        <v>63962</v>
      </c>
      <c r="T257" s="82" t="str">
        <f>REPLACE(INDEX(GroupVertices[Group],MATCH(Edges[[#This Row],[Vertex 1]],GroupVertices[Vertex],0)),1,1,"")</f>
        <v>6</v>
      </c>
      <c r="U257" s="82" t="str">
        <f>REPLACE(INDEX(GroupVertices[Group],MATCH(Edges[[#This Row],[Vertex 2]],GroupVertices[Vertex],0)),1,1,"")</f>
        <v>6</v>
      </c>
      <c r="V257" s="49">
        <v>0</v>
      </c>
      <c r="W257" s="50">
        <v>0</v>
      </c>
      <c r="X257" s="49">
        <v>0</v>
      </c>
      <c r="Y257" s="50">
        <v>0</v>
      </c>
      <c r="Z257" s="49">
        <v>0</v>
      </c>
      <c r="AA257" s="50">
        <v>0</v>
      </c>
      <c r="AB257" s="49">
        <v>3</v>
      </c>
      <c r="AC257" s="50">
        <v>100</v>
      </c>
      <c r="AD257" s="49">
        <v>3</v>
      </c>
    </row>
    <row r="258" spans="1:30" ht="15">
      <c r="A258" s="68" t="s">
        <v>457</v>
      </c>
      <c r="B258" s="68" t="s">
        <v>456</v>
      </c>
      <c r="C258" s="69" t="s">
        <v>1691</v>
      </c>
      <c r="D258" s="70">
        <v>3</v>
      </c>
      <c r="E258" s="71"/>
      <c r="F258" s="72">
        <v>70</v>
      </c>
      <c r="G258" s="69"/>
      <c r="H258" s="73"/>
      <c r="I258" s="74"/>
      <c r="J258" s="74"/>
      <c r="K258" s="35" t="s">
        <v>65</v>
      </c>
      <c r="L258" s="81">
        <v>258</v>
      </c>
      <c r="M258" s="81"/>
      <c r="N258" s="76"/>
      <c r="O258" s="83" t="s">
        <v>520</v>
      </c>
      <c r="P258" s="83">
        <v>1</v>
      </c>
      <c r="Q258" s="83" t="s">
        <v>521</v>
      </c>
      <c r="R258" s="83" t="s">
        <v>708</v>
      </c>
      <c r="S258" s="83">
        <v>64136</v>
      </c>
      <c r="T258" s="82" t="str">
        <f>REPLACE(INDEX(GroupVertices[Group],MATCH(Edges[[#This Row],[Vertex 1]],GroupVertices[Vertex],0)),1,1,"")</f>
        <v>6</v>
      </c>
      <c r="U258" s="82" t="str">
        <f>REPLACE(INDEX(GroupVertices[Group],MATCH(Edges[[#This Row],[Vertex 2]],GroupVertices[Vertex],0)),1,1,"")</f>
        <v>6</v>
      </c>
      <c r="V258" s="49">
        <v>0</v>
      </c>
      <c r="W258" s="50">
        <v>0</v>
      </c>
      <c r="X258" s="49">
        <v>0</v>
      </c>
      <c r="Y258" s="50">
        <v>0</v>
      </c>
      <c r="Z258" s="49">
        <v>0</v>
      </c>
      <c r="AA258" s="50">
        <v>0</v>
      </c>
      <c r="AB258" s="49">
        <v>13</v>
      </c>
      <c r="AC258" s="50">
        <v>100</v>
      </c>
      <c r="AD258" s="49">
        <v>13</v>
      </c>
    </row>
    <row r="259" spans="1:30" ht="15">
      <c r="A259" s="68" t="s">
        <v>457</v>
      </c>
      <c r="B259" s="68" t="s">
        <v>457</v>
      </c>
      <c r="C259" s="69" t="s">
        <v>1692</v>
      </c>
      <c r="D259" s="70">
        <v>10</v>
      </c>
      <c r="E259" s="71"/>
      <c r="F259" s="72">
        <v>40</v>
      </c>
      <c r="G259" s="69"/>
      <c r="H259" s="73"/>
      <c r="I259" s="74"/>
      <c r="J259" s="74"/>
      <c r="K259" s="35" t="s">
        <v>65</v>
      </c>
      <c r="L259" s="81">
        <v>259</v>
      </c>
      <c r="M259" s="81"/>
      <c r="N259" s="76"/>
      <c r="O259" s="83" t="s">
        <v>520</v>
      </c>
      <c r="P259" s="83">
        <v>2</v>
      </c>
      <c r="Q259" s="83" t="s">
        <v>521</v>
      </c>
      <c r="R259" s="83" t="s">
        <v>709</v>
      </c>
      <c r="S259" s="83">
        <v>64481</v>
      </c>
      <c r="T259" s="82" t="str">
        <f>REPLACE(INDEX(GroupVertices[Group],MATCH(Edges[[#This Row],[Vertex 1]],GroupVertices[Vertex],0)),1,1,"")</f>
        <v>6</v>
      </c>
      <c r="U259" s="82" t="str">
        <f>REPLACE(INDEX(GroupVertices[Group],MATCH(Edges[[#This Row],[Vertex 2]],GroupVertices[Vertex],0)),1,1,"")</f>
        <v>6</v>
      </c>
      <c r="V259" s="49">
        <v>0</v>
      </c>
      <c r="W259" s="50">
        <v>0</v>
      </c>
      <c r="X259" s="49">
        <v>0</v>
      </c>
      <c r="Y259" s="50">
        <v>0</v>
      </c>
      <c r="Z259" s="49">
        <v>0</v>
      </c>
      <c r="AA259" s="50">
        <v>0</v>
      </c>
      <c r="AB259" s="49">
        <v>6</v>
      </c>
      <c r="AC259" s="50">
        <v>100</v>
      </c>
      <c r="AD259" s="49">
        <v>6</v>
      </c>
    </row>
    <row r="260" spans="1:30" ht="15">
      <c r="A260" s="68" t="s">
        <v>458</v>
      </c>
      <c r="B260" s="68" t="s">
        <v>457</v>
      </c>
      <c r="C260" s="69" t="s">
        <v>1691</v>
      </c>
      <c r="D260" s="70">
        <v>3</v>
      </c>
      <c r="E260" s="71"/>
      <c r="F260" s="72">
        <v>70</v>
      </c>
      <c r="G260" s="69"/>
      <c r="H260" s="73"/>
      <c r="I260" s="74"/>
      <c r="J260" s="74"/>
      <c r="K260" s="35" t="s">
        <v>65</v>
      </c>
      <c r="L260" s="81">
        <v>260</v>
      </c>
      <c r="M260" s="81"/>
      <c r="N260" s="76"/>
      <c r="O260" s="83" t="s">
        <v>520</v>
      </c>
      <c r="P260" s="83">
        <v>1</v>
      </c>
      <c r="Q260" s="83" t="s">
        <v>521</v>
      </c>
      <c r="R260" s="83" t="s">
        <v>710</v>
      </c>
      <c r="S260" s="83">
        <v>64657</v>
      </c>
      <c r="T260" s="82" t="str">
        <f>REPLACE(INDEX(GroupVertices[Group],MATCH(Edges[[#This Row],[Vertex 1]],GroupVertices[Vertex],0)),1,1,"")</f>
        <v>6</v>
      </c>
      <c r="U260" s="82" t="str">
        <f>REPLACE(INDEX(GroupVertices[Group],MATCH(Edges[[#This Row],[Vertex 2]],GroupVertices[Vertex],0)),1,1,"")</f>
        <v>6</v>
      </c>
      <c r="V260" s="49">
        <v>0</v>
      </c>
      <c r="W260" s="50">
        <v>0</v>
      </c>
      <c r="X260" s="49">
        <v>0</v>
      </c>
      <c r="Y260" s="50">
        <v>0</v>
      </c>
      <c r="Z260" s="49">
        <v>0</v>
      </c>
      <c r="AA260" s="50">
        <v>0</v>
      </c>
      <c r="AB260" s="49">
        <v>13</v>
      </c>
      <c r="AC260" s="50">
        <v>100</v>
      </c>
      <c r="AD260" s="49">
        <v>13</v>
      </c>
    </row>
    <row r="261" spans="1:30" ht="15">
      <c r="A261" s="68" t="s">
        <v>459</v>
      </c>
      <c r="B261" s="68" t="s">
        <v>458</v>
      </c>
      <c r="C261" s="69" t="s">
        <v>1691</v>
      </c>
      <c r="D261" s="70">
        <v>3</v>
      </c>
      <c r="E261" s="71"/>
      <c r="F261" s="72">
        <v>70</v>
      </c>
      <c r="G261" s="69"/>
      <c r="H261" s="73"/>
      <c r="I261" s="74"/>
      <c r="J261" s="74"/>
      <c r="K261" s="35" t="s">
        <v>66</v>
      </c>
      <c r="L261" s="81">
        <v>261</v>
      </c>
      <c r="M261" s="81"/>
      <c r="N261" s="76"/>
      <c r="O261" s="83" t="s">
        <v>520</v>
      </c>
      <c r="P261" s="83">
        <v>1</v>
      </c>
      <c r="Q261" s="83" t="s">
        <v>521</v>
      </c>
      <c r="R261" s="83" t="s">
        <v>710</v>
      </c>
      <c r="S261" s="83">
        <v>64691</v>
      </c>
      <c r="T261" s="82" t="str">
        <f>REPLACE(INDEX(GroupVertices[Group],MATCH(Edges[[#This Row],[Vertex 1]],GroupVertices[Vertex],0)),1,1,"")</f>
        <v>6</v>
      </c>
      <c r="U261" s="82" t="str">
        <f>REPLACE(INDEX(GroupVertices[Group],MATCH(Edges[[#This Row],[Vertex 2]],GroupVertices[Vertex],0)),1,1,"")</f>
        <v>6</v>
      </c>
      <c r="V261" s="49">
        <v>0</v>
      </c>
      <c r="W261" s="50">
        <v>0</v>
      </c>
      <c r="X261" s="49">
        <v>0</v>
      </c>
      <c r="Y261" s="50">
        <v>0</v>
      </c>
      <c r="Z261" s="49">
        <v>0</v>
      </c>
      <c r="AA261" s="50">
        <v>0</v>
      </c>
      <c r="AB261" s="49">
        <v>13</v>
      </c>
      <c r="AC261" s="50">
        <v>100</v>
      </c>
      <c r="AD261" s="49">
        <v>13</v>
      </c>
    </row>
    <row r="262" spans="1:30" ht="15">
      <c r="A262" s="68" t="s">
        <v>459</v>
      </c>
      <c r="B262" s="68" t="s">
        <v>459</v>
      </c>
      <c r="C262" s="69" t="s">
        <v>1691</v>
      </c>
      <c r="D262" s="70">
        <v>3</v>
      </c>
      <c r="E262" s="71"/>
      <c r="F262" s="72">
        <v>70</v>
      </c>
      <c r="G262" s="69"/>
      <c r="H262" s="73"/>
      <c r="I262" s="74"/>
      <c r="J262" s="74"/>
      <c r="K262" s="35" t="s">
        <v>65</v>
      </c>
      <c r="L262" s="81">
        <v>262</v>
      </c>
      <c r="M262" s="81"/>
      <c r="N262" s="76"/>
      <c r="O262" s="83" t="s">
        <v>520</v>
      </c>
      <c r="P262" s="83">
        <v>1</v>
      </c>
      <c r="Q262" s="83" t="s">
        <v>521</v>
      </c>
      <c r="R262" s="83" t="s">
        <v>649</v>
      </c>
      <c r="S262" s="83">
        <v>64977</v>
      </c>
      <c r="T262" s="82" t="str">
        <f>REPLACE(INDEX(GroupVertices[Group],MATCH(Edges[[#This Row],[Vertex 1]],GroupVertices[Vertex],0)),1,1,"")</f>
        <v>6</v>
      </c>
      <c r="U262" s="82" t="str">
        <f>REPLACE(INDEX(GroupVertices[Group],MATCH(Edges[[#This Row],[Vertex 2]],GroupVertices[Vertex],0)),1,1,"")</f>
        <v>6</v>
      </c>
      <c r="V262" s="49">
        <v>0</v>
      </c>
      <c r="W262" s="50">
        <v>0</v>
      </c>
      <c r="X262" s="49">
        <v>1</v>
      </c>
      <c r="Y262" s="50">
        <v>33.333333333333336</v>
      </c>
      <c r="Z262" s="49">
        <v>0</v>
      </c>
      <c r="AA262" s="50">
        <v>0</v>
      </c>
      <c r="AB262" s="49">
        <v>2</v>
      </c>
      <c r="AC262" s="50">
        <v>66.66666666666667</v>
      </c>
      <c r="AD262" s="49">
        <v>3</v>
      </c>
    </row>
    <row r="263" spans="1:30" ht="15">
      <c r="A263" s="68" t="s">
        <v>458</v>
      </c>
      <c r="B263" s="68" t="s">
        <v>459</v>
      </c>
      <c r="C263" s="69" t="s">
        <v>1691</v>
      </c>
      <c r="D263" s="70">
        <v>3</v>
      </c>
      <c r="E263" s="71"/>
      <c r="F263" s="72">
        <v>70</v>
      </c>
      <c r="G263" s="69"/>
      <c r="H263" s="73"/>
      <c r="I263" s="74"/>
      <c r="J263" s="74"/>
      <c r="K263" s="35" t="s">
        <v>66</v>
      </c>
      <c r="L263" s="81">
        <v>263</v>
      </c>
      <c r="M263" s="81"/>
      <c r="N263" s="76"/>
      <c r="O263" s="83" t="s">
        <v>520</v>
      </c>
      <c r="P263" s="83">
        <v>1</v>
      </c>
      <c r="Q263" s="83" t="s">
        <v>521</v>
      </c>
      <c r="R263" s="83" t="s">
        <v>711</v>
      </c>
      <c r="S263" s="83">
        <v>65267</v>
      </c>
      <c r="T263" s="82" t="str">
        <f>REPLACE(INDEX(GroupVertices[Group],MATCH(Edges[[#This Row],[Vertex 1]],GroupVertices[Vertex],0)),1,1,"")</f>
        <v>6</v>
      </c>
      <c r="U263" s="82" t="str">
        <f>REPLACE(INDEX(GroupVertices[Group],MATCH(Edges[[#This Row],[Vertex 2]],GroupVertices[Vertex],0)),1,1,"")</f>
        <v>6</v>
      </c>
      <c r="V263" s="49">
        <v>0</v>
      </c>
      <c r="W263" s="50">
        <v>0</v>
      </c>
      <c r="X263" s="49">
        <v>0</v>
      </c>
      <c r="Y263" s="50">
        <v>0</v>
      </c>
      <c r="Z263" s="49">
        <v>0</v>
      </c>
      <c r="AA263" s="50">
        <v>0</v>
      </c>
      <c r="AB263" s="49">
        <v>3</v>
      </c>
      <c r="AC263" s="50">
        <v>100</v>
      </c>
      <c r="AD263" s="49">
        <v>3</v>
      </c>
    </row>
    <row r="264" spans="1:30" ht="15">
      <c r="A264" s="68" t="s">
        <v>460</v>
      </c>
      <c r="B264" s="68" t="s">
        <v>458</v>
      </c>
      <c r="C264" s="69" t="s">
        <v>1691</v>
      </c>
      <c r="D264" s="70">
        <v>3</v>
      </c>
      <c r="E264" s="71"/>
      <c r="F264" s="72">
        <v>70</v>
      </c>
      <c r="G264" s="69"/>
      <c r="H264" s="73"/>
      <c r="I264" s="74"/>
      <c r="J264" s="74"/>
      <c r="K264" s="35" t="s">
        <v>65</v>
      </c>
      <c r="L264" s="81">
        <v>264</v>
      </c>
      <c r="M264" s="81"/>
      <c r="N264" s="76"/>
      <c r="O264" s="83" t="s">
        <v>520</v>
      </c>
      <c r="P264" s="83">
        <v>1</v>
      </c>
      <c r="Q264" s="83" t="s">
        <v>521</v>
      </c>
      <c r="R264" s="83" t="s">
        <v>707</v>
      </c>
      <c r="S264" s="83">
        <v>65107</v>
      </c>
      <c r="T264" s="82" t="str">
        <f>REPLACE(INDEX(GroupVertices[Group],MATCH(Edges[[#This Row],[Vertex 1]],GroupVertices[Vertex],0)),1,1,"")</f>
        <v>6</v>
      </c>
      <c r="U264" s="82" t="str">
        <f>REPLACE(INDEX(GroupVertices[Group],MATCH(Edges[[#This Row],[Vertex 2]],GroupVertices[Vertex],0)),1,1,"")</f>
        <v>6</v>
      </c>
      <c r="V264" s="49">
        <v>0</v>
      </c>
      <c r="W264" s="50">
        <v>0</v>
      </c>
      <c r="X264" s="49">
        <v>0</v>
      </c>
      <c r="Y264" s="50">
        <v>0</v>
      </c>
      <c r="Z264" s="49">
        <v>0</v>
      </c>
      <c r="AA264" s="50">
        <v>0</v>
      </c>
      <c r="AB264" s="49">
        <v>10</v>
      </c>
      <c r="AC264" s="50">
        <v>100</v>
      </c>
      <c r="AD264" s="49">
        <v>10</v>
      </c>
    </row>
    <row r="265" spans="1:30" ht="15">
      <c r="A265" s="68" t="s">
        <v>461</v>
      </c>
      <c r="B265" s="68" t="s">
        <v>460</v>
      </c>
      <c r="C265" s="69" t="s">
        <v>1691</v>
      </c>
      <c r="D265" s="70">
        <v>3</v>
      </c>
      <c r="E265" s="71"/>
      <c r="F265" s="72">
        <v>70</v>
      </c>
      <c r="G265" s="69"/>
      <c r="H265" s="73"/>
      <c r="I265" s="74"/>
      <c r="J265" s="74"/>
      <c r="K265" s="35" t="s">
        <v>65</v>
      </c>
      <c r="L265" s="81">
        <v>265</v>
      </c>
      <c r="M265" s="81"/>
      <c r="N265" s="76"/>
      <c r="O265" s="83" t="s">
        <v>520</v>
      </c>
      <c r="P265" s="83">
        <v>1</v>
      </c>
      <c r="Q265" s="83" t="s">
        <v>521</v>
      </c>
      <c r="R265" s="83" t="s">
        <v>712</v>
      </c>
      <c r="S265" s="83">
        <v>65279</v>
      </c>
      <c r="T265" s="82" t="str">
        <f>REPLACE(INDEX(GroupVertices[Group],MATCH(Edges[[#This Row],[Vertex 1]],GroupVertices[Vertex],0)),1,1,"")</f>
        <v>6</v>
      </c>
      <c r="U265" s="82" t="str">
        <f>REPLACE(INDEX(GroupVertices[Group],MATCH(Edges[[#This Row],[Vertex 2]],GroupVertices[Vertex],0)),1,1,"")</f>
        <v>6</v>
      </c>
      <c r="V265" s="49">
        <v>0</v>
      </c>
      <c r="W265" s="50">
        <v>0</v>
      </c>
      <c r="X265" s="49">
        <v>0</v>
      </c>
      <c r="Y265" s="50">
        <v>0</v>
      </c>
      <c r="Z265" s="49">
        <v>0</v>
      </c>
      <c r="AA265" s="50">
        <v>0</v>
      </c>
      <c r="AB265" s="49">
        <v>8</v>
      </c>
      <c r="AC265" s="50">
        <v>100</v>
      </c>
      <c r="AD265" s="49">
        <v>8</v>
      </c>
    </row>
    <row r="266" spans="1:30" ht="15">
      <c r="A266" s="68" t="s">
        <v>328</v>
      </c>
      <c r="B266" s="68" t="s">
        <v>461</v>
      </c>
      <c r="C266" s="69" t="s">
        <v>1691</v>
      </c>
      <c r="D266" s="70">
        <v>3</v>
      </c>
      <c r="E266" s="71"/>
      <c r="F266" s="72">
        <v>70</v>
      </c>
      <c r="G266" s="69"/>
      <c r="H266" s="73"/>
      <c r="I266" s="74"/>
      <c r="J266" s="74"/>
      <c r="K266" s="35" t="s">
        <v>65</v>
      </c>
      <c r="L266" s="81">
        <v>266</v>
      </c>
      <c r="M266" s="81"/>
      <c r="N266" s="76"/>
      <c r="O266" s="83" t="s">
        <v>520</v>
      </c>
      <c r="P266" s="83">
        <v>1</v>
      </c>
      <c r="Q266" s="83" t="s">
        <v>521</v>
      </c>
      <c r="R266" s="83" t="s">
        <v>713</v>
      </c>
      <c r="S266" s="83">
        <v>65456</v>
      </c>
      <c r="T266" s="82" t="str">
        <f>REPLACE(INDEX(GroupVertices[Group],MATCH(Edges[[#This Row],[Vertex 1]],GroupVertices[Vertex],0)),1,1,"")</f>
        <v>1</v>
      </c>
      <c r="U266" s="82" t="str">
        <f>REPLACE(INDEX(GroupVertices[Group],MATCH(Edges[[#This Row],[Vertex 2]],GroupVertices[Vertex],0)),1,1,"")</f>
        <v>6</v>
      </c>
      <c r="V266" s="49">
        <v>0</v>
      </c>
      <c r="W266" s="50">
        <v>0</v>
      </c>
      <c r="X266" s="49">
        <v>0</v>
      </c>
      <c r="Y266" s="50">
        <v>0</v>
      </c>
      <c r="Z266" s="49">
        <v>0</v>
      </c>
      <c r="AA266" s="50">
        <v>0</v>
      </c>
      <c r="AB266" s="49">
        <v>16</v>
      </c>
      <c r="AC266" s="50">
        <v>100</v>
      </c>
      <c r="AD266" s="49">
        <v>16</v>
      </c>
    </row>
    <row r="267" spans="1:30" ht="15">
      <c r="A267" s="68" t="s">
        <v>462</v>
      </c>
      <c r="B267" s="68" t="s">
        <v>328</v>
      </c>
      <c r="C267" s="69" t="s">
        <v>1691</v>
      </c>
      <c r="D267" s="70">
        <v>3</v>
      </c>
      <c r="E267" s="71"/>
      <c r="F267" s="72">
        <v>70</v>
      </c>
      <c r="G267" s="69"/>
      <c r="H267" s="73"/>
      <c r="I267" s="74"/>
      <c r="J267" s="74"/>
      <c r="K267" s="35" t="s">
        <v>66</v>
      </c>
      <c r="L267" s="81">
        <v>267</v>
      </c>
      <c r="M267" s="81"/>
      <c r="N267" s="76"/>
      <c r="O267" s="83" t="s">
        <v>520</v>
      </c>
      <c r="P267" s="83">
        <v>1</v>
      </c>
      <c r="Q267" s="83" t="s">
        <v>521</v>
      </c>
      <c r="R267" s="83" t="s">
        <v>645</v>
      </c>
      <c r="S267" s="83">
        <v>65603</v>
      </c>
      <c r="T267" s="82" t="str">
        <f>REPLACE(INDEX(GroupVertices[Group],MATCH(Edges[[#This Row],[Vertex 1]],GroupVertices[Vertex],0)),1,1,"")</f>
        <v>1</v>
      </c>
      <c r="U267" s="82" t="str">
        <f>REPLACE(INDEX(GroupVertices[Group],MATCH(Edges[[#This Row],[Vertex 2]],GroupVertices[Vertex],0)),1,1,"")</f>
        <v>1</v>
      </c>
      <c r="V267" s="49">
        <v>0</v>
      </c>
      <c r="W267" s="50">
        <v>0</v>
      </c>
      <c r="X267" s="49">
        <v>0</v>
      </c>
      <c r="Y267" s="50">
        <v>0</v>
      </c>
      <c r="Z267" s="49">
        <v>0</v>
      </c>
      <c r="AA267" s="50">
        <v>0</v>
      </c>
      <c r="AB267" s="49">
        <v>3</v>
      </c>
      <c r="AC267" s="50">
        <v>100</v>
      </c>
      <c r="AD267" s="49">
        <v>3</v>
      </c>
    </row>
    <row r="268" spans="1:30" ht="15">
      <c r="A268" s="68" t="s">
        <v>328</v>
      </c>
      <c r="B268" s="68" t="s">
        <v>462</v>
      </c>
      <c r="C268" s="69" t="s">
        <v>1691</v>
      </c>
      <c r="D268" s="70">
        <v>3</v>
      </c>
      <c r="E268" s="71"/>
      <c r="F268" s="72">
        <v>70</v>
      </c>
      <c r="G268" s="69"/>
      <c r="H268" s="73"/>
      <c r="I268" s="74"/>
      <c r="J268" s="74"/>
      <c r="K268" s="35" t="s">
        <v>66</v>
      </c>
      <c r="L268" s="81">
        <v>268</v>
      </c>
      <c r="M268" s="81"/>
      <c r="N268" s="76"/>
      <c r="O268" s="83" t="s">
        <v>520</v>
      </c>
      <c r="P268" s="83">
        <v>1</v>
      </c>
      <c r="Q268" s="83" t="s">
        <v>521</v>
      </c>
      <c r="R268" s="83" t="s">
        <v>714</v>
      </c>
      <c r="S268" s="83">
        <v>65890</v>
      </c>
      <c r="T268" s="82" t="str">
        <f>REPLACE(INDEX(GroupVertices[Group],MATCH(Edges[[#This Row],[Vertex 1]],GroupVertices[Vertex],0)),1,1,"")</f>
        <v>1</v>
      </c>
      <c r="U268" s="82" t="str">
        <f>REPLACE(INDEX(GroupVertices[Group],MATCH(Edges[[#This Row],[Vertex 2]],GroupVertices[Vertex],0)),1,1,"")</f>
        <v>1</v>
      </c>
      <c r="V268" s="49">
        <v>0</v>
      </c>
      <c r="W268" s="50">
        <v>0</v>
      </c>
      <c r="X268" s="49">
        <v>0</v>
      </c>
      <c r="Y268" s="50">
        <v>0</v>
      </c>
      <c r="Z268" s="49">
        <v>0</v>
      </c>
      <c r="AA268" s="50">
        <v>0</v>
      </c>
      <c r="AB268" s="49">
        <v>9</v>
      </c>
      <c r="AC268" s="50">
        <v>100</v>
      </c>
      <c r="AD268" s="49">
        <v>9</v>
      </c>
    </row>
    <row r="269" spans="1:30" ht="15">
      <c r="A269" s="68" t="s">
        <v>463</v>
      </c>
      <c r="B269" s="68" t="s">
        <v>328</v>
      </c>
      <c r="C269" s="69" t="s">
        <v>1691</v>
      </c>
      <c r="D269" s="70">
        <v>3</v>
      </c>
      <c r="E269" s="71"/>
      <c r="F269" s="72">
        <v>70</v>
      </c>
      <c r="G269" s="69"/>
      <c r="H269" s="73"/>
      <c r="I269" s="74"/>
      <c r="J269" s="74"/>
      <c r="K269" s="35" t="s">
        <v>65</v>
      </c>
      <c r="L269" s="81">
        <v>269</v>
      </c>
      <c r="M269" s="81"/>
      <c r="N269" s="76"/>
      <c r="O269" s="83" t="s">
        <v>520</v>
      </c>
      <c r="P269" s="83">
        <v>1</v>
      </c>
      <c r="Q269" s="83" t="s">
        <v>521</v>
      </c>
      <c r="R269" s="83" t="s">
        <v>715</v>
      </c>
      <c r="S269" s="83">
        <v>66221</v>
      </c>
      <c r="T269" s="82" t="str">
        <f>REPLACE(INDEX(GroupVertices[Group],MATCH(Edges[[#This Row],[Vertex 1]],GroupVertices[Vertex],0)),1,1,"")</f>
        <v>7</v>
      </c>
      <c r="U269" s="82" t="str">
        <f>REPLACE(INDEX(GroupVertices[Group],MATCH(Edges[[#This Row],[Vertex 2]],GroupVertices[Vertex],0)),1,1,"")</f>
        <v>1</v>
      </c>
      <c r="V269" s="49">
        <v>0</v>
      </c>
      <c r="W269" s="50">
        <v>0</v>
      </c>
      <c r="X269" s="49">
        <v>0</v>
      </c>
      <c r="Y269" s="50">
        <v>0</v>
      </c>
      <c r="Z269" s="49">
        <v>0</v>
      </c>
      <c r="AA269" s="50">
        <v>0</v>
      </c>
      <c r="AB269" s="49">
        <v>4</v>
      </c>
      <c r="AC269" s="50">
        <v>100</v>
      </c>
      <c r="AD269" s="49">
        <v>4</v>
      </c>
    </row>
    <row r="270" spans="1:30" ht="15">
      <c r="A270" s="68" t="s">
        <v>464</v>
      </c>
      <c r="B270" s="68" t="s">
        <v>463</v>
      </c>
      <c r="C270" s="69" t="s">
        <v>1691</v>
      </c>
      <c r="D270" s="70">
        <v>3</v>
      </c>
      <c r="E270" s="71"/>
      <c r="F270" s="72">
        <v>70</v>
      </c>
      <c r="G270" s="69"/>
      <c r="H270" s="73"/>
      <c r="I270" s="74"/>
      <c r="J270" s="74"/>
      <c r="K270" s="35" t="s">
        <v>65</v>
      </c>
      <c r="L270" s="81">
        <v>270</v>
      </c>
      <c r="M270" s="81"/>
      <c r="N270" s="76"/>
      <c r="O270" s="83" t="s">
        <v>520</v>
      </c>
      <c r="P270" s="83">
        <v>1</v>
      </c>
      <c r="Q270" s="83" t="s">
        <v>521</v>
      </c>
      <c r="R270" s="83" t="s">
        <v>716</v>
      </c>
      <c r="S270" s="83">
        <v>66627</v>
      </c>
      <c r="T270" s="82" t="str">
        <f>REPLACE(INDEX(GroupVertices[Group],MATCH(Edges[[#This Row],[Vertex 1]],GroupVertices[Vertex],0)),1,1,"")</f>
        <v>7</v>
      </c>
      <c r="U270" s="82" t="str">
        <f>REPLACE(INDEX(GroupVertices[Group],MATCH(Edges[[#This Row],[Vertex 2]],GroupVertices[Vertex],0)),1,1,"")</f>
        <v>7</v>
      </c>
      <c r="V270" s="49">
        <v>0</v>
      </c>
      <c r="W270" s="50">
        <v>0</v>
      </c>
      <c r="X270" s="49">
        <v>1</v>
      </c>
      <c r="Y270" s="50">
        <v>20</v>
      </c>
      <c r="Z270" s="49">
        <v>0</v>
      </c>
      <c r="AA270" s="50">
        <v>0</v>
      </c>
      <c r="AB270" s="49">
        <v>4</v>
      </c>
      <c r="AC270" s="50">
        <v>80</v>
      </c>
      <c r="AD270" s="49">
        <v>5</v>
      </c>
    </row>
    <row r="271" spans="1:30" ht="15">
      <c r="A271" s="68" t="s">
        <v>464</v>
      </c>
      <c r="B271" s="68" t="s">
        <v>464</v>
      </c>
      <c r="C271" s="69" t="s">
        <v>1692</v>
      </c>
      <c r="D271" s="70">
        <v>10</v>
      </c>
      <c r="E271" s="71"/>
      <c r="F271" s="72">
        <v>40</v>
      </c>
      <c r="G271" s="69"/>
      <c r="H271" s="73"/>
      <c r="I271" s="74"/>
      <c r="J271" s="74"/>
      <c r="K271" s="35" t="s">
        <v>65</v>
      </c>
      <c r="L271" s="81">
        <v>271</v>
      </c>
      <c r="M271" s="81"/>
      <c r="N271" s="76"/>
      <c r="O271" s="83" t="s">
        <v>520</v>
      </c>
      <c r="P271" s="83">
        <v>3</v>
      </c>
      <c r="Q271" s="83" t="s">
        <v>521</v>
      </c>
      <c r="R271" s="83" t="s">
        <v>717</v>
      </c>
      <c r="S271" s="83">
        <v>75352</v>
      </c>
      <c r="T271" s="82" t="str">
        <f>REPLACE(INDEX(GroupVertices[Group],MATCH(Edges[[#This Row],[Vertex 1]],GroupVertices[Vertex],0)),1,1,"")</f>
        <v>7</v>
      </c>
      <c r="U271" s="82" t="str">
        <f>REPLACE(INDEX(GroupVertices[Group],MATCH(Edges[[#This Row],[Vertex 2]],GroupVertices[Vertex],0)),1,1,"")</f>
        <v>7</v>
      </c>
      <c r="V271" s="49">
        <v>0</v>
      </c>
      <c r="W271" s="50">
        <v>0</v>
      </c>
      <c r="X271" s="49">
        <v>0</v>
      </c>
      <c r="Y271" s="50">
        <v>0</v>
      </c>
      <c r="Z271" s="49">
        <v>0</v>
      </c>
      <c r="AA271" s="50">
        <v>0</v>
      </c>
      <c r="AB271" s="49">
        <v>4</v>
      </c>
      <c r="AC271" s="50">
        <v>100</v>
      </c>
      <c r="AD271" s="49">
        <v>4</v>
      </c>
    </row>
    <row r="272" spans="1:30" ht="15">
      <c r="A272" s="68" t="s">
        <v>465</v>
      </c>
      <c r="B272" s="68" t="s">
        <v>464</v>
      </c>
      <c r="C272" s="69" t="s">
        <v>1692</v>
      </c>
      <c r="D272" s="70">
        <v>10</v>
      </c>
      <c r="E272" s="71"/>
      <c r="F272" s="72">
        <v>40</v>
      </c>
      <c r="G272" s="69"/>
      <c r="H272" s="73"/>
      <c r="I272" s="74"/>
      <c r="J272" s="74"/>
      <c r="K272" s="35" t="s">
        <v>66</v>
      </c>
      <c r="L272" s="81">
        <v>272</v>
      </c>
      <c r="M272" s="81"/>
      <c r="N272" s="76"/>
      <c r="O272" s="83" t="s">
        <v>520</v>
      </c>
      <c r="P272" s="83">
        <v>2</v>
      </c>
      <c r="Q272" s="83" t="s">
        <v>521</v>
      </c>
      <c r="R272" s="83" t="s">
        <v>718</v>
      </c>
      <c r="S272" s="83">
        <v>79253</v>
      </c>
      <c r="T272" s="82" t="str">
        <f>REPLACE(INDEX(GroupVertices[Group],MATCH(Edges[[#This Row],[Vertex 1]],GroupVertices[Vertex],0)),1,1,"")</f>
        <v>7</v>
      </c>
      <c r="U272" s="82" t="str">
        <f>REPLACE(INDEX(GroupVertices[Group],MATCH(Edges[[#This Row],[Vertex 2]],GroupVertices[Vertex],0)),1,1,"")</f>
        <v>7</v>
      </c>
      <c r="V272" s="49">
        <v>0</v>
      </c>
      <c r="W272" s="50">
        <v>0</v>
      </c>
      <c r="X272" s="49">
        <v>0</v>
      </c>
      <c r="Y272" s="50">
        <v>0</v>
      </c>
      <c r="Z272" s="49">
        <v>0</v>
      </c>
      <c r="AA272" s="50">
        <v>0</v>
      </c>
      <c r="AB272" s="49">
        <v>7</v>
      </c>
      <c r="AC272" s="50">
        <v>100</v>
      </c>
      <c r="AD272" s="49">
        <v>7</v>
      </c>
    </row>
    <row r="273" spans="1:30" ht="15">
      <c r="A273" s="68" t="s">
        <v>464</v>
      </c>
      <c r="B273" s="68" t="s">
        <v>465</v>
      </c>
      <c r="C273" s="69" t="s">
        <v>1692</v>
      </c>
      <c r="D273" s="70">
        <v>10</v>
      </c>
      <c r="E273" s="71"/>
      <c r="F273" s="72">
        <v>40</v>
      </c>
      <c r="G273" s="69"/>
      <c r="H273" s="73"/>
      <c r="I273" s="74"/>
      <c r="J273" s="74"/>
      <c r="K273" s="35" t="s">
        <v>66</v>
      </c>
      <c r="L273" s="81">
        <v>273</v>
      </c>
      <c r="M273" s="81"/>
      <c r="N273" s="76"/>
      <c r="O273" s="83" t="s">
        <v>520</v>
      </c>
      <c r="P273" s="83">
        <v>2</v>
      </c>
      <c r="Q273" s="83" t="s">
        <v>521</v>
      </c>
      <c r="R273" s="83" t="s">
        <v>719</v>
      </c>
      <c r="S273" s="83">
        <v>80806</v>
      </c>
      <c r="T273" s="82" t="str">
        <f>REPLACE(INDEX(GroupVertices[Group],MATCH(Edges[[#This Row],[Vertex 1]],GroupVertices[Vertex],0)),1,1,"")</f>
        <v>7</v>
      </c>
      <c r="U273" s="82" t="str">
        <f>REPLACE(INDEX(GroupVertices[Group],MATCH(Edges[[#This Row],[Vertex 2]],GroupVertices[Vertex],0)),1,1,"")</f>
        <v>7</v>
      </c>
      <c r="V273" s="49">
        <v>0</v>
      </c>
      <c r="W273" s="50">
        <v>0</v>
      </c>
      <c r="X273" s="49">
        <v>0</v>
      </c>
      <c r="Y273" s="50">
        <v>0</v>
      </c>
      <c r="Z273" s="49">
        <v>0</v>
      </c>
      <c r="AA273" s="50">
        <v>0</v>
      </c>
      <c r="AB273" s="49">
        <v>13</v>
      </c>
      <c r="AC273" s="50">
        <v>100</v>
      </c>
      <c r="AD273" s="49">
        <v>13</v>
      </c>
    </row>
    <row r="274" spans="1:30" ht="15">
      <c r="A274" s="68" t="s">
        <v>466</v>
      </c>
      <c r="B274" s="68" t="s">
        <v>464</v>
      </c>
      <c r="C274" s="69" t="s">
        <v>1691</v>
      </c>
      <c r="D274" s="70">
        <v>3</v>
      </c>
      <c r="E274" s="71"/>
      <c r="F274" s="72">
        <v>70</v>
      </c>
      <c r="G274" s="69"/>
      <c r="H274" s="73"/>
      <c r="I274" s="74"/>
      <c r="J274" s="74"/>
      <c r="K274" s="35" t="s">
        <v>65</v>
      </c>
      <c r="L274" s="81">
        <v>274</v>
      </c>
      <c r="M274" s="81"/>
      <c r="N274" s="76"/>
      <c r="O274" s="83" t="s">
        <v>520</v>
      </c>
      <c r="P274" s="83">
        <v>1</v>
      </c>
      <c r="Q274" s="83" t="s">
        <v>521</v>
      </c>
      <c r="R274" s="83" t="s">
        <v>720</v>
      </c>
      <c r="S274" s="83">
        <v>81003</v>
      </c>
      <c r="T274" s="82" t="str">
        <f>REPLACE(INDEX(GroupVertices[Group],MATCH(Edges[[#This Row],[Vertex 1]],GroupVertices[Vertex],0)),1,1,"")</f>
        <v>7</v>
      </c>
      <c r="U274" s="82" t="str">
        <f>REPLACE(INDEX(GroupVertices[Group],MATCH(Edges[[#This Row],[Vertex 2]],GroupVertices[Vertex],0)),1,1,"")</f>
        <v>7</v>
      </c>
      <c r="V274" s="49">
        <v>0</v>
      </c>
      <c r="W274" s="50">
        <v>0</v>
      </c>
      <c r="X274" s="49">
        <v>0</v>
      </c>
      <c r="Y274" s="50">
        <v>0</v>
      </c>
      <c r="Z274" s="49">
        <v>0</v>
      </c>
      <c r="AA274" s="50">
        <v>0</v>
      </c>
      <c r="AB274" s="49">
        <v>13</v>
      </c>
      <c r="AC274" s="50">
        <v>100</v>
      </c>
      <c r="AD274" s="49">
        <v>13</v>
      </c>
    </row>
    <row r="275" spans="1:30" ht="15">
      <c r="A275" s="68" t="s">
        <v>467</v>
      </c>
      <c r="B275" s="68" t="s">
        <v>466</v>
      </c>
      <c r="C275" s="69" t="s">
        <v>1691</v>
      </c>
      <c r="D275" s="70">
        <v>3</v>
      </c>
      <c r="E275" s="71"/>
      <c r="F275" s="72">
        <v>70</v>
      </c>
      <c r="G275" s="69"/>
      <c r="H275" s="73"/>
      <c r="I275" s="74"/>
      <c r="J275" s="74"/>
      <c r="K275" s="35" t="s">
        <v>65</v>
      </c>
      <c r="L275" s="81">
        <v>275</v>
      </c>
      <c r="M275" s="81"/>
      <c r="N275" s="76"/>
      <c r="O275" s="83" t="s">
        <v>520</v>
      </c>
      <c r="P275" s="83">
        <v>1</v>
      </c>
      <c r="Q275" s="83" t="s">
        <v>521</v>
      </c>
      <c r="R275" s="83" t="s">
        <v>721</v>
      </c>
      <c r="S275" s="83">
        <v>81000</v>
      </c>
      <c r="T275" s="82" t="str">
        <f>REPLACE(INDEX(GroupVertices[Group],MATCH(Edges[[#This Row],[Vertex 1]],GroupVertices[Vertex],0)),1,1,"")</f>
        <v>7</v>
      </c>
      <c r="U275" s="82" t="str">
        <f>REPLACE(INDEX(GroupVertices[Group],MATCH(Edges[[#This Row],[Vertex 2]],GroupVertices[Vertex],0)),1,1,"")</f>
        <v>7</v>
      </c>
      <c r="V275" s="49">
        <v>0</v>
      </c>
      <c r="W275" s="50">
        <v>0</v>
      </c>
      <c r="X275" s="49">
        <v>0</v>
      </c>
      <c r="Y275" s="50">
        <v>0</v>
      </c>
      <c r="Z275" s="49">
        <v>0</v>
      </c>
      <c r="AA275" s="50">
        <v>0</v>
      </c>
      <c r="AB275" s="49">
        <v>5</v>
      </c>
      <c r="AC275" s="50">
        <v>100</v>
      </c>
      <c r="AD275" s="49">
        <v>5</v>
      </c>
    </row>
    <row r="276" spans="1:30" ht="15">
      <c r="A276" s="68" t="s">
        <v>468</v>
      </c>
      <c r="B276" s="68" t="s">
        <v>467</v>
      </c>
      <c r="C276" s="69" t="s">
        <v>1691</v>
      </c>
      <c r="D276" s="70">
        <v>3</v>
      </c>
      <c r="E276" s="71"/>
      <c r="F276" s="72">
        <v>70</v>
      </c>
      <c r="G276" s="69"/>
      <c r="H276" s="73"/>
      <c r="I276" s="74"/>
      <c r="J276" s="74"/>
      <c r="K276" s="35" t="s">
        <v>65</v>
      </c>
      <c r="L276" s="81">
        <v>276</v>
      </c>
      <c r="M276" s="81"/>
      <c r="N276" s="76"/>
      <c r="O276" s="83" t="s">
        <v>520</v>
      </c>
      <c r="P276" s="83">
        <v>1</v>
      </c>
      <c r="Q276" s="83" t="s">
        <v>521</v>
      </c>
      <c r="R276" s="83" t="s">
        <v>720</v>
      </c>
      <c r="S276" s="83">
        <v>80804</v>
      </c>
      <c r="T276" s="82" t="str">
        <f>REPLACE(INDEX(GroupVertices[Group],MATCH(Edges[[#This Row],[Vertex 1]],GroupVertices[Vertex],0)),1,1,"")</f>
        <v>7</v>
      </c>
      <c r="U276" s="82" t="str">
        <f>REPLACE(INDEX(GroupVertices[Group],MATCH(Edges[[#This Row],[Vertex 2]],GroupVertices[Vertex],0)),1,1,"")</f>
        <v>7</v>
      </c>
      <c r="V276" s="49">
        <v>0</v>
      </c>
      <c r="W276" s="50">
        <v>0</v>
      </c>
      <c r="X276" s="49">
        <v>0</v>
      </c>
      <c r="Y276" s="50">
        <v>0</v>
      </c>
      <c r="Z276" s="49">
        <v>0</v>
      </c>
      <c r="AA276" s="50">
        <v>0</v>
      </c>
      <c r="AB276" s="49">
        <v>13</v>
      </c>
      <c r="AC276" s="50">
        <v>100</v>
      </c>
      <c r="AD276" s="49">
        <v>13</v>
      </c>
    </row>
    <row r="277" spans="1:30" ht="15">
      <c r="A277" s="68" t="s">
        <v>469</v>
      </c>
      <c r="B277" s="68" t="s">
        <v>468</v>
      </c>
      <c r="C277" s="69" t="s">
        <v>1691</v>
      </c>
      <c r="D277" s="70">
        <v>3</v>
      </c>
      <c r="E277" s="71"/>
      <c r="F277" s="72">
        <v>70</v>
      </c>
      <c r="G277" s="69"/>
      <c r="H277" s="73"/>
      <c r="I277" s="74"/>
      <c r="J277" s="74"/>
      <c r="K277" s="35" t="s">
        <v>65</v>
      </c>
      <c r="L277" s="81">
        <v>277</v>
      </c>
      <c r="M277" s="81"/>
      <c r="N277" s="76"/>
      <c r="O277" s="83" t="s">
        <v>520</v>
      </c>
      <c r="P277" s="83">
        <v>1</v>
      </c>
      <c r="Q277" s="83" t="s">
        <v>521</v>
      </c>
      <c r="R277" s="83" t="s">
        <v>722</v>
      </c>
      <c r="S277" s="83">
        <v>1</v>
      </c>
      <c r="T277" s="82" t="str">
        <f>REPLACE(INDEX(GroupVertices[Group],MATCH(Edges[[#This Row],[Vertex 1]],GroupVertices[Vertex],0)),1,1,"")</f>
        <v>7</v>
      </c>
      <c r="U277" s="82" t="str">
        <f>REPLACE(INDEX(GroupVertices[Group],MATCH(Edges[[#This Row],[Vertex 2]],GroupVertices[Vertex],0)),1,1,"")</f>
        <v>7</v>
      </c>
      <c r="V277" s="49">
        <v>0</v>
      </c>
      <c r="W277" s="50">
        <v>0</v>
      </c>
      <c r="X277" s="49">
        <v>0</v>
      </c>
      <c r="Y277" s="50">
        <v>0</v>
      </c>
      <c r="Z277" s="49">
        <v>0</v>
      </c>
      <c r="AA277" s="50">
        <v>0</v>
      </c>
      <c r="AB277" s="49">
        <v>6</v>
      </c>
      <c r="AC277" s="50">
        <v>100</v>
      </c>
      <c r="AD277" s="49">
        <v>6</v>
      </c>
    </row>
    <row r="278" spans="1:30" ht="15">
      <c r="A278" s="68" t="s">
        <v>470</v>
      </c>
      <c r="B278" s="68" t="s">
        <v>469</v>
      </c>
      <c r="C278" s="69" t="s">
        <v>1691</v>
      </c>
      <c r="D278" s="70">
        <v>3</v>
      </c>
      <c r="E278" s="71"/>
      <c r="F278" s="72">
        <v>70</v>
      </c>
      <c r="G278" s="69"/>
      <c r="H278" s="73"/>
      <c r="I278" s="74"/>
      <c r="J278" s="74"/>
      <c r="K278" s="35" t="s">
        <v>65</v>
      </c>
      <c r="L278" s="81">
        <v>278</v>
      </c>
      <c r="M278" s="81"/>
      <c r="N278" s="76"/>
      <c r="O278" s="83" t="s">
        <v>520</v>
      </c>
      <c r="P278" s="83">
        <v>1</v>
      </c>
      <c r="Q278" s="83" t="s">
        <v>521</v>
      </c>
      <c r="R278" s="83" t="s">
        <v>723</v>
      </c>
      <c r="S278" s="83">
        <v>80804</v>
      </c>
      <c r="T278" s="82" t="str">
        <f>REPLACE(INDEX(GroupVertices[Group],MATCH(Edges[[#This Row],[Vertex 1]],GroupVertices[Vertex],0)),1,1,"")</f>
        <v>7</v>
      </c>
      <c r="U278" s="82" t="str">
        <f>REPLACE(INDEX(GroupVertices[Group],MATCH(Edges[[#This Row],[Vertex 2]],GroupVertices[Vertex],0)),1,1,"")</f>
        <v>7</v>
      </c>
      <c r="V278" s="49">
        <v>0</v>
      </c>
      <c r="W278" s="50">
        <v>0</v>
      </c>
      <c r="X278" s="49">
        <v>0</v>
      </c>
      <c r="Y278" s="50">
        <v>0</v>
      </c>
      <c r="Z278" s="49">
        <v>0</v>
      </c>
      <c r="AA278" s="50">
        <v>0</v>
      </c>
      <c r="AB278" s="49">
        <v>25</v>
      </c>
      <c r="AC278" s="50">
        <v>100</v>
      </c>
      <c r="AD278" s="49">
        <v>25</v>
      </c>
    </row>
    <row r="279" spans="1:30" ht="15">
      <c r="A279" s="68" t="s">
        <v>471</v>
      </c>
      <c r="B279" s="68" t="s">
        <v>470</v>
      </c>
      <c r="C279" s="69" t="s">
        <v>1691</v>
      </c>
      <c r="D279" s="70">
        <v>3</v>
      </c>
      <c r="E279" s="71"/>
      <c r="F279" s="72">
        <v>70</v>
      </c>
      <c r="G279" s="69"/>
      <c r="H279" s="73"/>
      <c r="I279" s="74"/>
      <c r="J279" s="74"/>
      <c r="K279" s="35" t="s">
        <v>65</v>
      </c>
      <c r="L279" s="81">
        <v>279</v>
      </c>
      <c r="M279" s="81"/>
      <c r="N279" s="76"/>
      <c r="O279" s="83" t="s">
        <v>520</v>
      </c>
      <c r="P279" s="83">
        <v>1</v>
      </c>
      <c r="Q279" s="83" t="s">
        <v>521</v>
      </c>
      <c r="R279" s="83" t="s">
        <v>724</v>
      </c>
      <c r="S279" s="83">
        <v>80990</v>
      </c>
      <c r="T279" s="82" t="str">
        <f>REPLACE(INDEX(GroupVertices[Group],MATCH(Edges[[#This Row],[Vertex 1]],GroupVertices[Vertex],0)),1,1,"")</f>
        <v>7</v>
      </c>
      <c r="U279" s="82" t="str">
        <f>REPLACE(INDEX(GroupVertices[Group],MATCH(Edges[[#This Row],[Vertex 2]],GroupVertices[Vertex],0)),1,1,"")</f>
        <v>7</v>
      </c>
      <c r="V279" s="49">
        <v>0</v>
      </c>
      <c r="W279" s="50">
        <v>0</v>
      </c>
      <c r="X279" s="49">
        <v>0</v>
      </c>
      <c r="Y279" s="50">
        <v>0</v>
      </c>
      <c r="Z279" s="49">
        <v>0</v>
      </c>
      <c r="AA279" s="50">
        <v>0</v>
      </c>
      <c r="AB279" s="49">
        <v>13</v>
      </c>
      <c r="AC279" s="50">
        <v>100</v>
      </c>
      <c r="AD279" s="49">
        <v>13</v>
      </c>
    </row>
    <row r="280" spans="1:30" ht="15">
      <c r="A280" s="68" t="s">
        <v>472</v>
      </c>
      <c r="B280" s="68" t="s">
        <v>471</v>
      </c>
      <c r="C280" s="69" t="s">
        <v>1691</v>
      </c>
      <c r="D280" s="70">
        <v>3</v>
      </c>
      <c r="E280" s="71"/>
      <c r="F280" s="72">
        <v>70</v>
      </c>
      <c r="G280" s="69"/>
      <c r="H280" s="73"/>
      <c r="I280" s="74"/>
      <c r="J280" s="74"/>
      <c r="K280" s="35" t="s">
        <v>65</v>
      </c>
      <c r="L280" s="81">
        <v>280</v>
      </c>
      <c r="M280" s="81"/>
      <c r="N280" s="76"/>
      <c r="O280" s="83" t="s">
        <v>520</v>
      </c>
      <c r="P280" s="83">
        <v>1</v>
      </c>
      <c r="Q280" s="83" t="s">
        <v>521</v>
      </c>
      <c r="R280" s="83" t="s">
        <v>720</v>
      </c>
      <c r="S280" s="83">
        <v>81183</v>
      </c>
      <c r="T280" s="82" t="str">
        <f>REPLACE(INDEX(GroupVertices[Group],MATCH(Edges[[#This Row],[Vertex 1]],GroupVertices[Vertex],0)),1,1,"")</f>
        <v>7</v>
      </c>
      <c r="U280" s="82" t="str">
        <f>REPLACE(INDEX(GroupVertices[Group],MATCH(Edges[[#This Row],[Vertex 2]],GroupVertices[Vertex],0)),1,1,"")</f>
        <v>7</v>
      </c>
      <c r="V280" s="49">
        <v>0</v>
      </c>
      <c r="W280" s="50">
        <v>0</v>
      </c>
      <c r="X280" s="49">
        <v>0</v>
      </c>
      <c r="Y280" s="50">
        <v>0</v>
      </c>
      <c r="Z280" s="49">
        <v>0</v>
      </c>
      <c r="AA280" s="50">
        <v>0</v>
      </c>
      <c r="AB280" s="49">
        <v>13</v>
      </c>
      <c r="AC280" s="50">
        <v>100</v>
      </c>
      <c r="AD280" s="49">
        <v>13</v>
      </c>
    </row>
    <row r="281" spans="1:30" ht="15">
      <c r="A281" s="68" t="s">
        <v>472</v>
      </c>
      <c r="B281" s="68" t="s">
        <v>472</v>
      </c>
      <c r="C281" s="69" t="s">
        <v>1691</v>
      </c>
      <c r="D281" s="70">
        <v>3</v>
      </c>
      <c r="E281" s="71"/>
      <c r="F281" s="72">
        <v>70</v>
      </c>
      <c r="G281" s="69"/>
      <c r="H281" s="73"/>
      <c r="I281" s="74"/>
      <c r="J281" s="74"/>
      <c r="K281" s="35" t="s">
        <v>65</v>
      </c>
      <c r="L281" s="81">
        <v>281</v>
      </c>
      <c r="M281" s="81"/>
      <c r="N281" s="76"/>
      <c r="O281" s="83" t="s">
        <v>520</v>
      </c>
      <c r="P281" s="83">
        <v>1</v>
      </c>
      <c r="Q281" s="83" t="s">
        <v>521</v>
      </c>
      <c r="R281" s="83" t="s">
        <v>720</v>
      </c>
      <c r="S281" s="83">
        <v>80991</v>
      </c>
      <c r="T281" s="82" t="str">
        <f>REPLACE(INDEX(GroupVertices[Group],MATCH(Edges[[#This Row],[Vertex 1]],GroupVertices[Vertex],0)),1,1,"")</f>
        <v>7</v>
      </c>
      <c r="U281" s="82" t="str">
        <f>REPLACE(INDEX(GroupVertices[Group],MATCH(Edges[[#This Row],[Vertex 2]],GroupVertices[Vertex],0)),1,1,"")</f>
        <v>7</v>
      </c>
      <c r="V281" s="49">
        <v>0</v>
      </c>
      <c r="W281" s="50">
        <v>0</v>
      </c>
      <c r="X281" s="49">
        <v>0</v>
      </c>
      <c r="Y281" s="50">
        <v>0</v>
      </c>
      <c r="Z281" s="49">
        <v>0</v>
      </c>
      <c r="AA281" s="50">
        <v>0</v>
      </c>
      <c r="AB281" s="49">
        <v>13</v>
      </c>
      <c r="AC281" s="50">
        <v>100</v>
      </c>
      <c r="AD281" s="49">
        <v>13</v>
      </c>
    </row>
    <row r="282" spans="1:30" ht="15">
      <c r="A282" s="68" t="s">
        <v>473</v>
      </c>
      <c r="B282" s="68" t="s">
        <v>472</v>
      </c>
      <c r="C282" s="69" t="s">
        <v>1691</v>
      </c>
      <c r="D282" s="70">
        <v>3</v>
      </c>
      <c r="E282" s="71"/>
      <c r="F282" s="72">
        <v>70</v>
      </c>
      <c r="G282" s="69"/>
      <c r="H282" s="73"/>
      <c r="I282" s="74"/>
      <c r="J282" s="74"/>
      <c r="K282" s="35" t="s">
        <v>65</v>
      </c>
      <c r="L282" s="81">
        <v>282</v>
      </c>
      <c r="M282" s="81"/>
      <c r="N282" s="76"/>
      <c r="O282" s="83" t="s">
        <v>520</v>
      </c>
      <c r="P282" s="83">
        <v>1</v>
      </c>
      <c r="Q282" s="83" t="s">
        <v>521</v>
      </c>
      <c r="R282" s="83" t="s">
        <v>724</v>
      </c>
      <c r="S282" s="83">
        <v>81034</v>
      </c>
      <c r="T282" s="82" t="str">
        <f>REPLACE(INDEX(GroupVertices[Group],MATCH(Edges[[#This Row],[Vertex 1]],GroupVertices[Vertex],0)),1,1,"")</f>
        <v>7</v>
      </c>
      <c r="U282" s="82" t="str">
        <f>REPLACE(INDEX(GroupVertices[Group],MATCH(Edges[[#This Row],[Vertex 2]],GroupVertices[Vertex],0)),1,1,"")</f>
        <v>7</v>
      </c>
      <c r="V282" s="49">
        <v>0</v>
      </c>
      <c r="W282" s="50">
        <v>0</v>
      </c>
      <c r="X282" s="49">
        <v>0</v>
      </c>
      <c r="Y282" s="50">
        <v>0</v>
      </c>
      <c r="Z282" s="49">
        <v>0</v>
      </c>
      <c r="AA282" s="50">
        <v>0</v>
      </c>
      <c r="AB282" s="49">
        <v>13</v>
      </c>
      <c r="AC282" s="50">
        <v>100</v>
      </c>
      <c r="AD282" s="49">
        <v>13</v>
      </c>
    </row>
    <row r="283" spans="1:30" ht="15">
      <c r="A283" s="68" t="s">
        <v>474</v>
      </c>
      <c r="B283" s="68" t="s">
        <v>473</v>
      </c>
      <c r="C283" s="69" t="s">
        <v>1691</v>
      </c>
      <c r="D283" s="70">
        <v>3</v>
      </c>
      <c r="E283" s="71"/>
      <c r="F283" s="72">
        <v>70</v>
      </c>
      <c r="G283" s="69"/>
      <c r="H283" s="73"/>
      <c r="I283" s="74"/>
      <c r="J283" s="74"/>
      <c r="K283" s="35" t="s">
        <v>65</v>
      </c>
      <c r="L283" s="81">
        <v>283</v>
      </c>
      <c r="M283" s="81"/>
      <c r="N283" s="76"/>
      <c r="O283" s="83" t="s">
        <v>520</v>
      </c>
      <c r="P283" s="83">
        <v>1</v>
      </c>
      <c r="Q283" s="83" t="s">
        <v>521</v>
      </c>
      <c r="R283" s="83" t="s">
        <v>725</v>
      </c>
      <c r="S283" s="83">
        <v>82240</v>
      </c>
      <c r="T283" s="82" t="str">
        <f>REPLACE(INDEX(GroupVertices[Group],MATCH(Edges[[#This Row],[Vertex 1]],GroupVertices[Vertex],0)),1,1,"")</f>
        <v>7</v>
      </c>
      <c r="U283" s="82" t="str">
        <f>REPLACE(INDEX(GroupVertices[Group],MATCH(Edges[[#This Row],[Vertex 2]],GroupVertices[Vertex],0)),1,1,"")</f>
        <v>7</v>
      </c>
      <c r="V283" s="49">
        <v>0</v>
      </c>
      <c r="W283" s="50">
        <v>0</v>
      </c>
      <c r="X283" s="49">
        <v>0</v>
      </c>
      <c r="Y283" s="50">
        <v>0</v>
      </c>
      <c r="Z283" s="49">
        <v>0</v>
      </c>
      <c r="AA283" s="50">
        <v>0</v>
      </c>
      <c r="AB283" s="49">
        <v>3</v>
      </c>
      <c r="AC283" s="50">
        <v>100</v>
      </c>
      <c r="AD283" s="49">
        <v>3</v>
      </c>
    </row>
    <row r="284" spans="1:30" ht="15">
      <c r="A284" s="68" t="s">
        <v>474</v>
      </c>
      <c r="B284" s="68" t="s">
        <v>475</v>
      </c>
      <c r="C284" s="69" t="s">
        <v>1691</v>
      </c>
      <c r="D284" s="70">
        <v>3</v>
      </c>
      <c r="E284" s="71"/>
      <c r="F284" s="72">
        <v>70</v>
      </c>
      <c r="G284" s="69"/>
      <c r="H284" s="73"/>
      <c r="I284" s="74"/>
      <c r="J284" s="74"/>
      <c r="K284" s="35" t="s">
        <v>66</v>
      </c>
      <c r="L284" s="81">
        <v>284</v>
      </c>
      <c r="M284" s="81"/>
      <c r="N284" s="76"/>
      <c r="O284" s="83" t="s">
        <v>520</v>
      </c>
      <c r="P284" s="83">
        <v>1</v>
      </c>
      <c r="Q284" s="83" t="s">
        <v>521</v>
      </c>
      <c r="R284" s="83" t="s">
        <v>726</v>
      </c>
      <c r="S284" s="83">
        <v>86347</v>
      </c>
      <c r="T284" s="82" t="str">
        <f>REPLACE(INDEX(GroupVertices[Group],MATCH(Edges[[#This Row],[Vertex 1]],GroupVertices[Vertex],0)),1,1,"")</f>
        <v>7</v>
      </c>
      <c r="U284" s="82" t="str">
        <f>REPLACE(INDEX(GroupVertices[Group],MATCH(Edges[[#This Row],[Vertex 2]],GroupVertices[Vertex],0)),1,1,"")</f>
        <v>7</v>
      </c>
      <c r="V284" s="49">
        <v>0</v>
      </c>
      <c r="W284" s="50">
        <v>0</v>
      </c>
      <c r="X284" s="49">
        <v>0</v>
      </c>
      <c r="Y284" s="50">
        <v>0</v>
      </c>
      <c r="Z284" s="49">
        <v>0</v>
      </c>
      <c r="AA284" s="50">
        <v>0</v>
      </c>
      <c r="AB284" s="49">
        <v>4</v>
      </c>
      <c r="AC284" s="50">
        <v>100</v>
      </c>
      <c r="AD284" s="49">
        <v>4</v>
      </c>
    </row>
    <row r="285" spans="1:30" ht="15">
      <c r="A285" s="68" t="s">
        <v>475</v>
      </c>
      <c r="B285" s="68" t="s">
        <v>474</v>
      </c>
      <c r="C285" s="69" t="s">
        <v>1692</v>
      </c>
      <c r="D285" s="70">
        <v>10</v>
      </c>
      <c r="E285" s="71"/>
      <c r="F285" s="72">
        <v>40</v>
      </c>
      <c r="G285" s="69"/>
      <c r="H285" s="73"/>
      <c r="I285" s="74"/>
      <c r="J285" s="74"/>
      <c r="K285" s="35" t="s">
        <v>66</v>
      </c>
      <c r="L285" s="81">
        <v>285</v>
      </c>
      <c r="M285" s="81"/>
      <c r="N285" s="76"/>
      <c r="O285" s="83" t="s">
        <v>520</v>
      </c>
      <c r="P285" s="83">
        <v>2</v>
      </c>
      <c r="Q285" s="83" t="s">
        <v>521</v>
      </c>
      <c r="R285" s="83" t="s">
        <v>727</v>
      </c>
      <c r="S285" s="83">
        <v>87668</v>
      </c>
      <c r="T285" s="82" t="str">
        <f>REPLACE(INDEX(GroupVertices[Group],MATCH(Edges[[#This Row],[Vertex 1]],GroupVertices[Vertex],0)),1,1,"")</f>
        <v>7</v>
      </c>
      <c r="U285" s="82" t="str">
        <f>REPLACE(INDEX(GroupVertices[Group],MATCH(Edges[[#This Row],[Vertex 2]],GroupVertices[Vertex],0)),1,1,"")</f>
        <v>7</v>
      </c>
      <c r="V285" s="49">
        <v>0</v>
      </c>
      <c r="W285" s="50">
        <v>0</v>
      </c>
      <c r="X285" s="49">
        <v>0</v>
      </c>
      <c r="Y285" s="50">
        <v>0</v>
      </c>
      <c r="Z285" s="49">
        <v>0</v>
      </c>
      <c r="AA285" s="50">
        <v>0</v>
      </c>
      <c r="AB285" s="49">
        <v>4</v>
      </c>
      <c r="AC285" s="50">
        <v>100</v>
      </c>
      <c r="AD285" s="49">
        <v>4</v>
      </c>
    </row>
    <row r="286" spans="1:30" ht="15">
      <c r="A286" s="68" t="s">
        <v>475</v>
      </c>
      <c r="B286" s="68" t="s">
        <v>475</v>
      </c>
      <c r="C286" s="69" t="s">
        <v>1691</v>
      </c>
      <c r="D286" s="70">
        <v>3</v>
      </c>
      <c r="E286" s="71"/>
      <c r="F286" s="72">
        <v>70</v>
      </c>
      <c r="G286" s="69"/>
      <c r="H286" s="73"/>
      <c r="I286" s="74"/>
      <c r="J286" s="74"/>
      <c r="K286" s="35" t="s">
        <v>65</v>
      </c>
      <c r="L286" s="81">
        <v>286</v>
      </c>
      <c r="M286" s="81"/>
      <c r="N286" s="76"/>
      <c r="O286" s="83" t="s">
        <v>520</v>
      </c>
      <c r="P286" s="83">
        <v>1</v>
      </c>
      <c r="Q286" s="83" t="s">
        <v>521</v>
      </c>
      <c r="R286" s="83" t="s">
        <v>728</v>
      </c>
      <c r="S286" s="83">
        <v>88682</v>
      </c>
      <c r="T286" s="82" t="str">
        <f>REPLACE(INDEX(GroupVertices[Group],MATCH(Edges[[#This Row],[Vertex 1]],GroupVertices[Vertex],0)),1,1,"")</f>
        <v>7</v>
      </c>
      <c r="U286" s="82" t="str">
        <f>REPLACE(INDEX(GroupVertices[Group],MATCH(Edges[[#This Row],[Vertex 2]],GroupVertices[Vertex],0)),1,1,"")</f>
        <v>7</v>
      </c>
      <c r="V286" s="49">
        <v>0</v>
      </c>
      <c r="W286" s="50">
        <v>0</v>
      </c>
      <c r="X286" s="49">
        <v>0</v>
      </c>
      <c r="Y286" s="50">
        <v>0</v>
      </c>
      <c r="Z286" s="49">
        <v>0</v>
      </c>
      <c r="AA286" s="50">
        <v>0</v>
      </c>
      <c r="AB286" s="49">
        <v>4</v>
      </c>
      <c r="AC286" s="50">
        <v>100</v>
      </c>
      <c r="AD286" s="49">
        <v>4</v>
      </c>
    </row>
    <row r="287" spans="1:30" ht="15">
      <c r="A287" s="68" t="s">
        <v>465</v>
      </c>
      <c r="B287" s="68" t="s">
        <v>475</v>
      </c>
      <c r="C287" s="69" t="s">
        <v>1691</v>
      </c>
      <c r="D287" s="70">
        <v>3</v>
      </c>
      <c r="E287" s="71"/>
      <c r="F287" s="72">
        <v>70</v>
      </c>
      <c r="G287" s="69"/>
      <c r="H287" s="73"/>
      <c r="I287" s="74"/>
      <c r="J287" s="74"/>
      <c r="K287" s="35" t="s">
        <v>65</v>
      </c>
      <c r="L287" s="81">
        <v>287</v>
      </c>
      <c r="M287" s="81"/>
      <c r="N287" s="76"/>
      <c r="O287" s="83" t="s">
        <v>520</v>
      </c>
      <c r="P287" s="83">
        <v>1</v>
      </c>
      <c r="Q287" s="83" t="s">
        <v>521</v>
      </c>
      <c r="R287" s="83" t="s">
        <v>718</v>
      </c>
      <c r="S287" s="83">
        <v>89965</v>
      </c>
      <c r="T287" s="82" t="str">
        <f>REPLACE(INDEX(GroupVertices[Group],MATCH(Edges[[#This Row],[Vertex 1]],GroupVertices[Vertex],0)),1,1,"")</f>
        <v>7</v>
      </c>
      <c r="U287" s="82" t="str">
        <f>REPLACE(INDEX(GroupVertices[Group],MATCH(Edges[[#This Row],[Vertex 2]],GroupVertices[Vertex],0)),1,1,"")</f>
        <v>7</v>
      </c>
      <c r="V287" s="49">
        <v>0</v>
      </c>
      <c r="W287" s="50">
        <v>0</v>
      </c>
      <c r="X287" s="49">
        <v>0</v>
      </c>
      <c r="Y287" s="50">
        <v>0</v>
      </c>
      <c r="Z287" s="49">
        <v>0</v>
      </c>
      <c r="AA287" s="50">
        <v>0</v>
      </c>
      <c r="AB287" s="49">
        <v>7</v>
      </c>
      <c r="AC287" s="50">
        <v>100</v>
      </c>
      <c r="AD287" s="49">
        <v>7</v>
      </c>
    </row>
    <row r="288" spans="1:30" ht="15">
      <c r="A288" s="68" t="s">
        <v>465</v>
      </c>
      <c r="B288" s="68" t="s">
        <v>465</v>
      </c>
      <c r="C288" s="69" t="s">
        <v>1691</v>
      </c>
      <c r="D288" s="70">
        <v>3</v>
      </c>
      <c r="E288" s="71"/>
      <c r="F288" s="72">
        <v>70</v>
      </c>
      <c r="G288" s="69"/>
      <c r="H288" s="73"/>
      <c r="I288" s="74"/>
      <c r="J288" s="74"/>
      <c r="K288" s="35" t="s">
        <v>65</v>
      </c>
      <c r="L288" s="81">
        <v>288</v>
      </c>
      <c r="M288" s="81"/>
      <c r="N288" s="76"/>
      <c r="O288" s="83" t="s">
        <v>520</v>
      </c>
      <c r="P288" s="83">
        <v>1</v>
      </c>
      <c r="Q288" s="83" t="s">
        <v>521</v>
      </c>
      <c r="R288" s="83" t="s">
        <v>718</v>
      </c>
      <c r="S288" s="83">
        <v>79256</v>
      </c>
      <c r="T288" s="82" t="str">
        <f>REPLACE(INDEX(GroupVertices[Group],MATCH(Edges[[#This Row],[Vertex 1]],GroupVertices[Vertex],0)),1,1,"")</f>
        <v>7</v>
      </c>
      <c r="U288" s="82" t="str">
        <f>REPLACE(INDEX(GroupVertices[Group],MATCH(Edges[[#This Row],[Vertex 2]],GroupVertices[Vertex],0)),1,1,"")</f>
        <v>7</v>
      </c>
      <c r="V288" s="49">
        <v>0</v>
      </c>
      <c r="W288" s="50">
        <v>0</v>
      </c>
      <c r="X288" s="49">
        <v>0</v>
      </c>
      <c r="Y288" s="50">
        <v>0</v>
      </c>
      <c r="Z288" s="49">
        <v>0</v>
      </c>
      <c r="AA288" s="50">
        <v>0</v>
      </c>
      <c r="AB288" s="49">
        <v>7</v>
      </c>
      <c r="AC288" s="50">
        <v>100</v>
      </c>
      <c r="AD288" s="49">
        <v>7</v>
      </c>
    </row>
    <row r="289" spans="1:30" ht="15">
      <c r="A289" s="68" t="s">
        <v>474</v>
      </c>
      <c r="B289" s="68" t="s">
        <v>465</v>
      </c>
      <c r="C289" s="69" t="s">
        <v>1691</v>
      </c>
      <c r="D289" s="70">
        <v>3</v>
      </c>
      <c r="E289" s="71"/>
      <c r="F289" s="72">
        <v>70</v>
      </c>
      <c r="G289" s="69"/>
      <c r="H289" s="73"/>
      <c r="I289" s="74"/>
      <c r="J289" s="74"/>
      <c r="K289" s="35" t="s">
        <v>65</v>
      </c>
      <c r="L289" s="81">
        <v>289</v>
      </c>
      <c r="M289" s="81"/>
      <c r="N289" s="76"/>
      <c r="O289" s="83" t="s">
        <v>520</v>
      </c>
      <c r="P289" s="83">
        <v>1</v>
      </c>
      <c r="Q289" s="83" t="s">
        <v>521</v>
      </c>
      <c r="R289" s="83" t="s">
        <v>729</v>
      </c>
      <c r="S289" s="83">
        <v>93478</v>
      </c>
      <c r="T289" s="82" t="str">
        <f>REPLACE(INDEX(GroupVertices[Group],MATCH(Edges[[#This Row],[Vertex 1]],GroupVertices[Vertex],0)),1,1,"")</f>
        <v>7</v>
      </c>
      <c r="U289" s="82" t="str">
        <f>REPLACE(INDEX(GroupVertices[Group],MATCH(Edges[[#This Row],[Vertex 2]],GroupVertices[Vertex],0)),1,1,"")</f>
        <v>7</v>
      </c>
      <c r="V289" s="49">
        <v>0</v>
      </c>
      <c r="W289" s="50">
        <v>0</v>
      </c>
      <c r="X289" s="49">
        <v>0</v>
      </c>
      <c r="Y289" s="50">
        <v>0</v>
      </c>
      <c r="Z289" s="49">
        <v>0</v>
      </c>
      <c r="AA289" s="50">
        <v>0</v>
      </c>
      <c r="AB289" s="49">
        <v>3</v>
      </c>
      <c r="AC289" s="50">
        <v>100</v>
      </c>
      <c r="AD289" s="49">
        <v>3</v>
      </c>
    </row>
    <row r="290" spans="1:30" ht="15">
      <c r="A290" s="68" t="s">
        <v>474</v>
      </c>
      <c r="B290" s="68" t="s">
        <v>474</v>
      </c>
      <c r="C290" s="69" t="s">
        <v>1692</v>
      </c>
      <c r="D290" s="70">
        <v>10</v>
      </c>
      <c r="E290" s="71"/>
      <c r="F290" s="72">
        <v>40</v>
      </c>
      <c r="G290" s="69"/>
      <c r="H290" s="73"/>
      <c r="I290" s="74"/>
      <c r="J290" s="74"/>
      <c r="K290" s="35" t="s">
        <v>65</v>
      </c>
      <c r="L290" s="81">
        <v>290</v>
      </c>
      <c r="M290" s="81"/>
      <c r="N290" s="76"/>
      <c r="O290" s="83" t="s">
        <v>520</v>
      </c>
      <c r="P290" s="83">
        <v>2</v>
      </c>
      <c r="Q290" s="83" t="s">
        <v>521</v>
      </c>
      <c r="R290" s="83" t="s">
        <v>729</v>
      </c>
      <c r="S290" s="83">
        <v>93478</v>
      </c>
      <c r="T290" s="82" t="str">
        <f>REPLACE(INDEX(GroupVertices[Group],MATCH(Edges[[#This Row],[Vertex 1]],GroupVertices[Vertex],0)),1,1,"")</f>
        <v>7</v>
      </c>
      <c r="U290" s="82" t="str">
        <f>REPLACE(INDEX(GroupVertices[Group],MATCH(Edges[[#This Row],[Vertex 2]],GroupVertices[Vertex],0)),1,1,"")</f>
        <v>7</v>
      </c>
      <c r="V290" s="49">
        <v>0</v>
      </c>
      <c r="W290" s="50">
        <v>0</v>
      </c>
      <c r="X290" s="49">
        <v>0</v>
      </c>
      <c r="Y290" s="50">
        <v>0</v>
      </c>
      <c r="Z290" s="49">
        <v>0</v>
      </c>
      <c r="AA290" s="50">
        <v>0</v>
      </c>
      <c r="AB290" s="49">
        <v>3</v>
      </c>
      <c r="AC290" s="50">
        <v>100</v>
      </c>
      <c r="AD290" s="49">
        <v>3</v>
      </c>
    </row>
    <row r="291" spans="1:30" ht="15">
      <c r="A291" s="68" t="s">
        <v>476</v>
      </c>
      <c r="B291" s="68" t="s">
        <v>474</v>
      </c>
      <c r="C291" s="69" t="s">
        <v>1691</v>
      </c>
      <c r="D291" s="70">
        <v>3</v>
      </c>
      <c r="E291" s="71"/>
      <c r="F291" s="72">
        <v>70</v>
      </c>
      <c r="G291" s="69"/>
      <c r="H291" s="73"/>
      <c r="I291" s="74"/>
      <c r="J291" s="74"/>
      <c r="K291" s="35" t="s">
        <v>65</v>
      </c>
      <c r="L291" s="81">
        <v>291</v>
      </c>
      <c r="M291" s="81"/>
      <c r="N291" s="76"/>
      <c r="O291" s="83" t="s">
        <v>520</v>
      </c>
      <c r="P291" s="83">
        <v>1</v>
      </c>
      <c r="Q291" s="83" t="s">
        <v>521</v>
      </c>
      <c r="R291" s="83" t="s">
        <v>730</v>
      </c>
      <c r="S291" s="83">
        <v>93654</v>
      </c>
      <c r="T291" s="82" t="str">
        <f>REPLACE(INDEX(GroupVertices[Group],MATCH(Edges[[#This Row],[Vertex 1]],GroupVertices[Vertex],0)),1,1,"")</f>
        <v>7</v>
      </c>
      <c r="U291" s="82" t="str">
        <f>REPLACE(INDEX(GroupVertices[Group],MATCH(Edges[[#This Row],[Vertex 2]],GroupVertices[Vertex],0)),1,1,"")</f>
        <v>7</v>
      </c>
      <c r="V291" s="49">
        <v>0</v>
      </c>
      <c r="W291" s="50">
        <v>0</v>
      </c>
      <c r="X291" s="49">
        <v>1</v>
      </c>
      <c r="Y291" s="50">
        <v>7.6923076923076925</v>
      </c>
      <c r="Z291" s="49">
        <v>0</v>
      </c>
      <c r="AA291" s="50">
        <v>0</v>
      </c>
      <c r="AB291" s="49">
        <v>12</v>
      </c>
      <c r="AC291" s="50">
        <v>92.3076923076923</v>
      </c>
      <c r="AD291" s="49">
        <v>13</v>
      </c>
    </row>
    <row r="292" spans="1:30" ht="15">
      <c r="A292" s="68" t="s">
        <v>477</v>
      </c>
      <c r="B292" s="68" t="s">
        <v>476</v>
      </c>
      <c r="C292" s="69" t="s">
        <v>1691</v>
      </c>
      <c r="D292" s="70">
        <v>3</v>
      </c>
      <c r="E292" s="71"/>
      <c r="F292" s="72">
        <v>70</v>
      </c>
      <c r="G292" s="69"/>
      <c r="H292" s="73"/>
      <c r="I292" s="74"/>
      <c r="J292" s="74"/>
      <c r="K292" s="35" t="s">
        <v>65</v>
      </c>
      <c r="L292" s="81">
        <v>292</v>
      </c>
      <c r="M292" s="81"/>
      <c r="N292" s="76"/>
      <c r="O292" s="83" t="s">
        <v>520</v>
      </c>
      <c r="P292" s="83">
        <v>1</v>
      </c>
      <c r="Q292" s="83" t="s">
        <v>521</v>
      </c>
      <c r="R292" s="83" t="s">
        <v>731</v>
      </c>
      <c r="S292" s="83">
        <v>93834</v>
      </c>
      <c r="T292" s="82" t="str">
        <f>REPLACE(INDEX(GroupVertices[Group],MATCH(Edges[[#This Row],[Vertex 1]],GroupVertices[Vertex],0)),1,1,"")</f>
        <v>7</v>
      </c>
      <c r="U292" s="82" t="str">
        <f>REPLACE(INDEX(GroupVertices[Group],MATCH(Edges[[#This Row],[Vertex 2]],GroupVertices[Vertex],0)),1,1,"")</f>
        <v>7</v>
      </c>
      <c r="V292" s="49">
        <v>0</v>
      </c>
      <c r="W292" s="50">
        <v>0</v>
      </c>
      <c r="X292" s="49">
        <v>0</v>
      </c>
      <c r="Y292" s="50">
        <v>0</v>
      </c>
      <c r="Z292" s="49">
        <v>0</v>
      </c>
      <c r="AA292" s="50">
        <v>0</v>
      </c>
      <c r="AB292" s="49">
        <v>12</v>
      </c>
      <c r="AC292" s="50">
        <v>100</v>
      </c>
      <c r="AD292" s="49">
        <v>12</v>
      </c>
    </row>
    <row r="293" spans="1:30" ht="15">
      <c r="A293" s="68" t="s">
        <v>478</v>
      </c>
      <c r="B293" s="68" t="s">
        <v>477</v>
      </c>
      <c r="C293" s="69" t="s">
        <v>1691</v>
      </c>
      <c r="D293" s="70">
        <v>3</v>
      </c>
      <c r="E293" s="71"/>
      <c r="F293" s="72">
        <v>70</v>
      </c>
      <c r="G293" s="69"/>
      <c r="H293" s="73"/>
      <c r="I293" s="74"/>
      <c r="J293" s="74"/>
      <c r="K293" s="35" t="s">
        <v>65</v>
      </c>
      <c r="L293" s="81">
        <v>293</v>
      </c>
      <c r="M293" s="81"/>
      <c r="N293" s="76"/>
      <c r="O293" s="83" t="s">
        <v>520</v>
      </c>
      <c r="P293" s="83">
        <v>1</v>
      </c>
      <c r="Q293" s="83" t="s">
        <v>521</v>
      </c>
      <c r="R293" s="83" t="s">
        <v>730</v>
      </c>
      <c r="S293" s="83">
        <v>93884</v>
      </c>
      <c r="T293" s="82" t="str">
        <f>REPLACE(INDEX(GroupVertices[Group],MATCH(Edges[[#This Row],[Vertex 1]],GroupVertices[Vertex],0)),1,1,"")</f>
        <v>7</v>
      </c>
      <c r="U293" s="82" t="str">
        <f>REPLACE(INDEX(GroupVertices[Group],MATCH(Edges[[#This Row],[Vertex 2]],GroupVertices[Vertex],0)),1,1,"")</f>
        <v>7</v>
      </c>
      <c r="V293" s="49">
        <v>0</v>
      </c>
      <c r="W293" s="50">
        <v>0</v>
      </c>
      <c r="X293" s="49">
        <v>1</v>
      </c>
      <c r="Y293" s="50">
        <v>7.6923076923076925</v>
      </c>
      <c r="Z293" s="49">
        <v>0</v>
      </c>
      <c r="AA293" s="50">
        <v>0</v>
      </c>
      <c r="AB293" s="49">
        <v>12</v>
      </c>
      <c r="AC293" s="50">
        <v>92.3076923076923</v>
      </c>
      <c r="AD293" s="49">
        <v>13</v>
      </c>
    </row>
    <row r="294" spans="1:30" ht="15">
      <c r="A294" s="68" t="s">
        <v>467</v>
      </c>
      <c r="B294" s="68" t="s">
        <v>478</v>
      </c>
      <c r="C294" s="69" t="s">
        <v>1691</v>
      </c>
      <c r="D294" s="70">
        <v>3</v>
      </c>
      <c r="E294" s="71"/>
      <c r="F294" s="72">
        <v>70</v>
      </c>
      <c r="G294" s="69"/>
      <c r="H294" s="73"/>
      <c r="I294" s="74"/>
      <c r="J294" s="74"/>
      <c r="K294" s="35" t="s">
        <v>65</v>
      </c>
      <c r="L294" s="81">
        <v>294</v>
      </c>
      <c r="M294" s="81"/>
      <c r="N294" s="76"/>
      <c r="O294" s="83" t="s">
        <v>520</v>
      </c>
      <c r="P294" s="83">
        <v>1</v>
      </c>
      <c r="Q294" s="83" t="s">
        <v>521</v>
      </c>
      <c r="R294" s="83" t="s">
        <v>732</v>
      </c>
      <c r="S294" s="83">
        <v>94800</v>
      </c>
      <c r="T294" s="82" t="str">
        <f>REPLACE(INDEX(GroupVertices[Group],MATCH(Edges[[#This Row],[Vertex 1]],GroupVertices[Vertex],0)),1,1,"")</f>
        <v>7</v>
      </c>
      <c r="U294" s="82" t="str">
        <f>REPLACE(INDEX(GroupVertices[Group],MATCH(Edges[[#This Row],[Vertex 2]],GroupVertices[Vertex],0)),1,1,"")</f>
        <v>7</v>
      </c>
      <c r="V294" s="49">
        <v>0</v>
      </c>
      <c r="W294" s="50">
        <v>0</v>
      </c>
      <c r="X294" s="49">
        <v>0</v>
      </c>
      <c r="Y294" s="50">
        <v>0</v>
      </c>
      <c r="Z294" s="49">
        <v>0</v>
      </c>
      <c r="AA294" s="50">
        <v>0</v>
      </c>
      <c r="AB294" s="49">
        <v>5</v>
      </c>
      <c r="AC294" s="50">
        <v>100</v>
      </c>
      <c r="AD294" s="49">
        <v>5</v>
      </c>
    </row>
    <row r="295" spans="1:30" ht="15">
      <c r="A295" s="68" t="s">
        <v>477</v>
      </c>
      <c r="B295" s="68" t="s">
        <v>467</v>
      </c>
      <c r="C295" s="69" t="s">
        <v>1691</v>
      </c>
      <c r="D295" s="70">
        <v>3</v>
      </c>
      <c r="E295" s="71"/>
      <c r="F295" s="72">
        <v>70</v>
      </c>
      <c r="G295" s="69"/>
      <c r="H295" s="73"/>
      <c r="I295" s="74"/>
      <c r="J295" s="74"/>
      <c r="K295" s="35" t="s">
        <v>65</v>
      </c>
      <c r="L295" s="81">
        <v>295</v>
      </c>
      <c r="M295" s="81"/>
      <c r="N295" s="76"/>
      <c r="O295" s="83" t="s">
        <v>520</v>
      </c>
      <c r="P295" s="83">
        <v>1</v>
      </c>
      <c r="Q295" s="83" t="s">
        <v>521</v>
      </c>
      <c r="R295" s="83" t="s">
        <v>733</v>
      </c>
      <c r="S295" s="83">
        <v>95937</v>
      </c>
      <c r="T295" s="82" t="str">
        <f>REPLACE(INDEX(GroupVertices[Group],MATCH(Edges[[#This Row],[Vertex 1]],GroupVertices[Vertex],0)),1,1,"")</f>
        <v>7</v>
      </c>
      <c r="U295" s="82" t="str">
        <f>REPLACE(INDEX(GroupVertices[Group],MATCH(Edges[[#This Row],[Vertex 2]],GroupVertices[Vertex],0)),1,1,"")</f>
        <v>7</v>
      </c>
      <c r="V295" s="49">
        <v>0</v>
      </c>
      <c r="W295" s="50">
        <v>0</v>
      </c>
      <c r="X295" s="49">
        <v>0</v>
      </c>
      <c r="Y295" s="50">
        <v>0</v>
      </c>
      <c r="Z295" s="49">
        <v>0</v>
      </c>
      <c r="AA295" s="50">
        <v>0</v>
      </c>
      <c r="AB295" s="49">
        <v>4</v>
      </c>
      <c r="AC295" s="50">
        <v>100</v>
      </c>
      <c r="AD295" s="49">
        <v>4</v>
      </c>
    </row>
    <row r="296" spans="1:30" ht="15">
      <c r="A296" s="68" t="s">
        <v>477</v>
      </c>
      <c r="B296" s="68" t="s">
        <v>477</v>
      </c>
      <c r="C296" s="69" t="s">
        <v>1691</v>
      </c>
      <c r="D296" s="70">
        <v>3</v>
      </c>
      <c r="E296" s="71"/>
      <c r="F296" s="72">
        <v>70</v>
      </c>
      <c r="G296" s="69"/>
      <c r="H296" s="73"/>
      <c r="I296" s="74"/>
      <c r="J296" s="74"/>
      <c r="K296" s="35" t="s">
        <v>65</v>
      </c>
      <c r="L296" s="81">
        <v>296</v>
      </c>
      <c r="M296" s="81"/>
      <c r="N296" s="76"/>
      <c r="O296" s="83" t="s">
        <v>520</v>
      </c>
      <c r="P296" s="83">
        <v>1</v>
      </c>
      <c r="Q296" s="83" t="s">
        <v>521</v>
      </c>
      <c r="R296" s="83" t="s">
        <v>734</v>
      </c>
      <c r="S296" s="83">
        <v>97353</v>
      </c>
      <c r="T296" s="82" t="str">
        <f>REPLACE(INDEX(GroupVertices[Group],MATCH(Edges[[#This Row],[Vertex 1]],GroupVertices[Vertex],0)),1,1,"")</f>
        <v>7</v>
      </c>
      <c r="U296" s="82" t="str">
        <f>REPLACE(INDEX(GroupVertices[Group],MATCH(Edges[[#This Row],[Vertex 2]],GroupVertices[Vertex],0)),1,1,"")</f>
        <v>7</v>
      </c>
      <c r="V296" s="49">
        <v>0</v>
      </c>
      <c r="W296" s="50">
        <v>0</v>
      </c>
      <c r="X296" s="49">
        <v>0</v>
      </c>
      <c r="Y296" s="50">
        <v>0</v>
      </c>
      <c r="Z296" s="49">
        <v>0</v>
      </c>
      <c r="AA296" s="50">
        <v>0</v>
      </c>
      <c r="AB296" s="49">
        <v>2</v>
      </c>
      <c r="AC296" s="50">
        <v>100</v>
      </c>
      <c r="AD296" s="49">
        <v>2</v>
      </c>
    </row>
    <row r="297" spans="1:30" ht="15">
      <c r="A297" s="68" t="s">
        <v>479</v>
      </c>
      <c r="B297" s="68" t="s">
        <v>477</v>
      </c>
      <c r="C297" s="69" t="s">
        <v>1691</v>
      </c>
      <c r="D297" s="70">
        <v>3</v>
      </c>
      <c r="E297" s="71"/>
      <c r="F297" s="72">
        <v>70</v>
      </c>
      <c r="G297" s="69"/>
      <c r="H297" s="73"/>
      <c r="I297" s="74"/>
      <c r="J297" s="74"/>
      <c r="K297" s="35" t="s">
        <v>65</v>
      </c>
      <c r="L297" s="81">
        <v>297</v>
      </c>
      <c r="M297" s="81"/>
      <c r="N297" s="76"/>
      <c r="O297" s="83" t="s">
        <v>520</v>
      </c>
      <c r="P297" s="83">
        <v>1</v>
      </c>
      <c r="Q297" s="83" t="s">
        <v>521</v>
      </c>
      <c r="R297" s="83" t="s">
        <v>731</v>
      </c>
      <c r="S297" s="83">
        <v>97403</v>
      </c>
      <c r="T297" s="82" t="str">
        <f>REPLACE(INDEX(GroupVertices[Group],MATCH(Edges[[#This Row],[Vertex 1]],GroupVertices[Vertex],0)),1,1,"")</f>
        <v>3</v>
      </c>
      <c r="U297" s="82" t="str">
        <f>REPLACE(INDEX(GroupVertices[Group],MATCH(Edges[[#This Row],[Vertex 2]],GroupVertices[Vertex],0)),1,1,"")</f>
        <v>7</v>
      </c>
      <c r="V297" s="49">
        <v>0</v>
      </c>
      <c r="W297" s="50">
        <v>0</v>
      </c>
      <c r="X297" s="49">
        <v>0</v>
      </c>
      <c r="Y297" s="50">
        <v>0</v>
      </c>
      <c r="Z297" s="49">
        <v>0</v>
      </c>
      <c r="AA297" s="50">
        <v>0</v>
      </c>
      <c r="AB297" s="49">
        <v>12</v>
      </c>
      <c r="AC297" s="50">
        <v>100</v>
      </c>
      <c r="AD297" s="49">
        <v>12</v>
      </c>
    </row>
    <row r="298" spans="1:30" ht="15">
      <c r="A298" s="68" t="s">
        <v>480</v>
      </c>
      <c r="B298" s="68" t="s">
        <v>479</v>
      </c>
      <c r="C298" s="69" t="s">
        <v>1691</v>
      </c>
      <c r="D298" s="70">
        <v>3</v>
      </c>
      <c r="E298" s="71"/>
      <c r="F298" s="72">
        <v>70</v>
      </c>
      <c r="G298" s="69"/>
      <c r="H298" s="73"/>
      <c r="I298" s="74"/>
      <c r="J298" s="74"/>
      <c r="K298" s="35" t="s">
        <v>65</v>
      </c>
      <c r="L298" s="81">
        <v>298</v>
      </c>
      <c r="M298" s="81"/>
      <c r="N298" s="76"/>
      <c r="O298" s="83" t="s">
        <v>520</v>
      </c>
      <c r="P298" s="83">
        <v>1</v>
      </c>
      <c r="Q298" s="83" t="s">
        <v>521</v>
      </c>
      <c r="R298" s="83" t="s">
        <v>735</v>
      </c>
      <c r="S298" s="83">
        <v>98746</v>
      </c>
      <c r="T298" s="82" t="str">
        <f>REPLACE(INDEX(GroupVertices[Group],MATCH(Edges[[#This Row],[Vertex 1]],GroupVertices[Vertex],0)),1,1,"")</f>
        <v>3</v>
      </c>
      <c r="U298" s="82" t="str">
        <f>REPLACE(INDEX(GroupVertices[Group],MATCH(Edges[[#This Row],[Vertex 2]],GroupVertices[Vertex],0)),1,1,"")</f>
        <v>3</v>
      </c>
      <c r="V298" s="49">
        <v>0</v>
      </c>
      <c r="W298" s="50">
        <v>0</v>
      </c>
      <c r="X298" s="49">
        <v>0</v>
      </c>
      <c r="Y298" s="50">
        <v>0</v>
      </c>
      <c r="Z298" s="49">
        <v>0</v>
      </c>
      <c r="AA298" s="50">
        <v>0</v>
      </c>
      <c r="AB298" s="49">
        <v>4</v>
      </c>
      <c r="AC298" s="50">
        <v>100</v>
      </c>
      <c r="AD298" s="49">
        <v>4</v>
      </c>
    </row>
    <row r="299" spans="1:30" ht="15">
      <c r="A299" s="68" t="s">
        <v>481</v>
      </c>
      <c r="B299" s="68" t="s">
        <v>480</v>
      </c>
      <c r="C299" s="69" t="s">
        <v>1691</v>
      </c>
      <c r="D299" s="70">
        <v>3</v>
      </c>
      <c r="E299" s="71"/>
      <c r="F299" s="72">
        <v>70</v>
      </c>
      <c r="G299" s="69"/>
      <c r="H299" s="73"/>
      <c r="I299" s="74"/>
      <c r="J299" s="74"/>
      <c r="K299" s="35" t="s">
        <v>66</v>
      </c>
      <c r="L299" s="81">
        <v>299</v>
      </c>
      <c r="M299" s="81"/>
      <c r="N299" s="76"/>
      <c r="O299" s="83" t="s">
        <v>520</v>
      </c>
      <c r="P299" s="83">
        <v>1</v>
      </c>
      <c r="Q299" s="83" t="s">
        <v>521</v>
      </c>
      <c r="R299" s="83" t="s">
        <v>736</v>
      </c>
      <c r="S299" s="83">
        <v>98910</v>
      </c>
      <c r="T299" s="82" t="str">
        <f>REPLACE(INDEX(GroupVertices[Group],MATCH(Edges[[#This Row],[Vertex 1]],GroupVertices[Vertex],0)),1,1,"")</f>
        <v>3</v>
      </c>
      <c r="U299" s="82" t="str">
        <f>REPLACE(INDEX(GroupVertices[Group],MATCH(Edges[[#This Row],[Vertex 2]],GroupVertices[Vertex],0)),1,1,"")</f>
        <v>3</v>
      </c>
      <c r="V299" s="49">
        <v>0</v>
      </c>
      <c r="W299" s="50">
        <v>0</v>
      </c>
      <c r="X299" s="49">
        <v>0</v>
      </c>
      <c r="Y299" s="50">
        <v>0</v>
      </c>
      <c r="Z299" s="49">
        <v>0</v>
      </c>
      <c r="AA299" s="50">
        <v>0</v>
      </c>
      <c r="AB299" s="49">
        <v>7</v>
      </c>
      <c r="AC299" s="50">
        <v>100</v>
      </c>
      <c r="AD299" s="49">
        <v>7</v>
      </c>
    </row>
    <row r="300" spans="1:30" ht="15">
      <c r="A300" s="68" t="s">
        <v>480</v>
      </c>
      <c r="B300" s="68" t="s">
        <v>481</v>
      </c>
      <c r="C300" s="69" t="s">
        <v>1691</v>
      </c>
      <c r="D300" s="70">
        <v>3</v>
      </c>
      <c r="E300" s="71"/>
      <c r="F300" s="72">
        <v>70</v>
      </c>
      <c r="G300" s="69"/>
      <c r="H300" s="73"/>
      <c r="I300" s="74"/>
      <c r="J300" s="74"/>
      <c r="K300" s="35" t="s">
        <v>66</v>
      </c>
      <c r="L300" s="81">
        <v>300</v>
      </c>
      <c r="M300" s="81"/>
      <c r="N300" s="76"/>
      <c r="O300" s="83" t="s">
        <v>520</v>
      </c>
      <c r="P300" s="83">
        <v>1</v>
      </c>
      <c r="Q300" s="83" t="s">
        <v>521</v>
      </c>
      <c r="R300" s="83" t="s">
        <v>736</v>
      </c>
      <c r="S300" s="83">
        <v>99034</v>
      </c>
      <c r="T300" s="82" t="str">
        <f>REPLACE(INDEX(GroupVertices[Group],MATCH(Edges[[#This Row],[Vertex 1]],GroupVertices[Vertex],0)),1,1,"")</f>
        <v>3</v>
      </c>
      <c r="U300" s="82" t="str">
        <f>REPLACE(INDEX(GroupVertices[Group],MATCH(Edges[[#This Row],[Vertex 2]],GroupVertices[Vertex],0)),1,1,"")</f>
        <v>3</v>
      </c>
      <c r="V300" s="49">
        <v>0</v>
      </c>
      <c r="W300" s="50">
        <v>0</v>
      </c>
      <c r="X300" s="49">
        <v>0</v>
      </c>
      <c r="Y300" s="50">
        <v>0</v>
      </c>
      <c r="Z300" s="49">
        <v>0</v>
      </c>
      <c r="AA300" s="50">
        <v>0</v>
      </c>
      <c r="AB300" s="49">
        <v>7</v>
      </c>
      <c r="AC300" s="50">
        <v>100</v>
      </c>
      <c r="AD300" s="49">
        <v>7</v>
      </c>
    </row>
    <row r="301" spans="1:30" ht="15">
      <c r="A301" s="68" t="s">
        <v>482</v>
      </c>
      <c r="B301" s="68" t="s">
        <v>480</v>
      </c>
      <c r="C301" s="69" t="s">
        <v>1691</v>
      </c>
      <c r="D301" s="70">
        <v>3</v>
      </c>
      <c r="E301" s="71"/>
      <c r="F301" s="72">
        <v>70</v>
      </c>
      <c r="G301" s="69"/>
      <c r="H301" s="73"/>
      <c r="I301" s="74"/>
      <c r="J301" s="74"/>
      <c r="K301" s="35" t="s">
        <v>65</v>
      </c>
      <c r="L301" s="81">
        <v>301</v>
      </c>
      <c r="M301" s="81"/>
      <c r="N301" s="76"/>
      <c r="O301" s="83" t="s">
        <v>520</v>
      </c>
      <c r="P301" s="83">
        <v>1</v>
      </c>
      <c r="Q301" s="83" t="s">
        <v>521</v>
      </c>
      <c r="R301" s="83" t="s">
        <v>737</v>
      </c>
      <c r="S301" s="83">
        <v>99260</v>
      </c>
      <c r="T301" s="82" t="str">
        <f>REPLACE(INDEX(GroupVertices[Group],MATCH(Edges[[#This Row],[Vertex 1]],GroupVertices[Vertex],0)),1,1,"")</f>
        <v>3</v>
      </c>
      <c r="U301" s="82" t="str">
        <f>REPLACE(INDEX(GroupVertices[Group],MATCH(Edges[[#This Row],[Vertex 2]],GroupVertices[Vertex],0)),1,1,"")</f>
        <v>3</v>
      </c>
      <c r="V301" s="49">
        <v>0</v>
      </c>
      <c r="W301" s="50">
        <v>0</v>
      </c>
      <c r="X301" s="49">
        <v>0</v>
      </c>
      <c r="Y301" s="50">
        <v>0</v>
      </c>
      <c r="Z301" s="49">
        <v>0</v>
      </c>
      <c r="AA301" s="50">
        <v>0</v>
      </c>
      <c r="AB301" s="49">
        <v>11</v>
      </c>
      <c r="AC301" s="50">
        <v>100</v>
      </c>
      <c r="AD301" s="49">
        <v>11</v>
      </c>
    </row>
    <row r="302" spans="1:30" ht="15">
      <c r="A302" s="68" t="s">
        <v>483</v>
      </c>
      <c r="B302" s="68" t="s">
        <v>482</v>
      </c>
      <c r="C302" s="69" t="s">
        <v>1691</v>
      </c>
      <c r="D302" s="70">
        <v>3</v>
      </c>
      <c r="E302" s="71"/>
      <c r="F302" s="72">
        <v>70</v>
      </c>
      <c r="G302" s="69"/>
      <c r="H302" s="73"/>
      <c r="I302" s="74"/>
      <c r="J302" s="74"/>
      <c r="K302" s="35" t="s">
        <v>65</v>
      </c>
      <c r="L302" s="81">
        <v>302</v>
      </c>
      <c r="M302" s="81"/>
      <c r="N302" s="76"/>
      <c r="O302" s="83" t="s">
        <v>520</v>
      </c>
      <c r="P302" s="83">
        <v>1</v>
      </c>
      <c r="Q302" s="83" t="s">
        <v>521</v>
      </c>
      <c r="R302" s="83" t="s">
        <v>738</v>
      </c>
      <c r="S302" s="83">
        <v>99506</v>
      </c>
      <c r="T302" s="82" t="str">
        <f>REPLACE(INDEX(GroupVertices[Group],MATCH(Edges[[#This Row],[Vertex 1]],GroupVertices[Vertex],0)),1,1,"")</f>
        <v>3</v>
      </c>
      <c r="U302" s="82" t="str">
        <f>REPLACE(INDEX(GroupVertices[Group],MATCH(Edges[[#This Row],[Vertex 2]],GroupVertices[Vertex],0)),1,1,"")</f>
        <v>3</v>
      </c>
      <c r="V302" s="49">
        <v>0</v>
      </c>
      <c r="W302" s="50">
        <v>0</v>
      </c>
      <c r="X302" s="49">
        <v>0</v>
      </c>
      <c r="Y302" s="50">
        <v>0</v>
      </c>
      <c r="Z302" s="49">
        <v>0</v>
      </c>
      <c r="AA302" s="50">
        <v>0</v>
      </c>
      <c r="AB302" s="49">
        <v>17</v>
      </c>
      <c r="AC302" s="50">
        <v>100</v>
      </c>
      <c r="AD302" s="49">
        <v>17</v>
      </c>
    </row>
    <row r="303" spans="1:30" ht="15">
      <c r="A303" s="68" t="s">
        <v>484</v>
      </c>
      <c r="B303" s="68" t="s">
        <v>483</v>
      </c>
      <c r="C303" s="69" t="s">
        <v>1691</v>
      </c>
      <c r="D303" s="70">
        <v>3</v>
      </c>
      <c r="E303" s="71"/>
      <c r="F303" s="72">
        <v>70</v>
      </c>
      <c r="G303" s="69"/>
      <c r="H303" s="73"/>
      <c r="I303" s="74"/>
      <c r="J303" s="74"/>
      <c r="K303" s="35" t="s">
        <v>65</v>
      </c>
      <c r="L303" s="81">
        <v>303</v>
      </c>
      <c r="M303" s="81"/>
      <c r="N303" s="76"/>
      <c r="O303" s="83" t="s">
        <v>520</v>
      </c>
      <c r="P303" s="83">
        <v>1</v>
      </c>
      <c r="Q303" s="83" t="s">
        <v>521</v>
      </c>
      <c r="R303" s="83" t="s">
        <v>739</v>
      </c>
      <c r="S303" s="83">
        <v>99447</v>
      </c>
      <c r="T303" s="82" t="str">
        <f>REPLACE(INDEX(GroupVertices[Group],MATCH(Edges[[#This Row],[Vertex 1]],GroupVertices[Vertex],0)),1,1,"")</f>
        <v>3</v>
      </c>
      <c r="U303" s="82" t="str">
        <f>REPLACE(INDEX(GroupVertices[Group],MATCH(Edges[[#This Row],[Vertex 2]],GroupVertices[Vertex],0)),1,1,"")</f>
        <v>3</v>
      </c>
      <c r="V303" s="49">
        <v>0</v>
      </c>
      <c r="W303" s="50">
        <v>0</v>
      </c>
      <c r="X303" s="49">
        <v>0</v>
      </c>
      <c r="Y303" s="50">
        <v>0</v>
      </c>
      <c r="Z303" s="49">
        <v>0</v>
      </c>
      <c r="AA303" s="50">
        <v>0</v>
      </c>
      <c r="AB303" s="49">
        <v>5</v>
      </c>
      <c r="AC303" s="50">
        <v>100</v>
      </c>
      <c r="AD303" s="49">
        <v>5</v>
      </c>
    </row>
    <row r="304" spans="1:30" ht="15">
      <c r="A304" s="68" t="s">
        <v>485</v>
      </c>
      <c r="B304" s="68" t="s">
        <v>484</v>
      </c>
      <c r="C304" s="69" t="s">
        <v>1691</v>
      </c>
      <c r="D304" s="70">
        <v>3</v>
      </c>
      <c r="E304" s="71"/>
      <c r="F304" s="72">
        <v>70</v>
      </c>
      <c r="G304" s="69"/>
      <c r="H304" s="73"/>
      <c r="I304" s="74"/>
      <c r="J304" s="74"/>
      <c r="K304" s="35" t="s">
        <v>65</v>
      </c>
      <c r="L304" s="81">
        <v>304</v>
      </c>
      <c r="M304" s="81"/>
      <c r="N304" s="76"/>
      <c r="O304" s="83" t="s">
        <v>520</v>
      </c>
      <c r="P304" s="83">
        <v>1</v>
      </c>
      <c r="Q304" s="83" t="s">
        <v>521</v>
      </c>
      <c r="R304" s="83" t="s">
        <v>740</v>
      </c>
      <c r="S304" s="83">
        <v>99506</v>
      </c>
      <c r="T304" s="82" t="str">
        <f>REPLACE(INDEX(GroupVertices[Group],MATCH(Edges[[#This Row],[Vertex 1]],GroupVertices[Vertex],0)),1,1,"")</f>
        <v>3</v>
      </c>
      <c r="U304" s="82" t="str">
        <f>REPLACE(INDEX(GroupVertices[Group],MATCH(Edges[[#This Row],[Vertex 2]],GroupVertices[Vertex],0)),1,1,"")</f>
        <v>3</v>
      </c>
      <c r="V304" s="49">
        <v>0</v>
      </c>
      <c r="W304" s="50">
        <v>0</v>
      </c>
      <c r="X304" s="49">
        <v>1</v>
      </c>
      <c r="Y304" s="50">
        <v>8.333333333333334</v>
      </c>
      <c r="Z304" s="49">
        <v>0</v>
      </c>
      <c r="AA304" s="50">
        <v>0</v>
      </c>
      <c r="AB304" s="49">
        <v>11</v>
      </c>
      <c r="AC304" s="50">
        <v>91.66666666666667</v>
      </c>
      <c r="AD304" s="49">
        <v>12</v>
      </c>
    </row>
    <row r="305" spans="1:30" ht="15">
      <c r="A305" s="68" t="s">
        <v>486</v>
      </c>
      <c r="B305" s="68" t="s">
        <v>485</v>
      </c>
      <c r="C305" s="69" t="s">
        <v>1691</v>
      </c>
      <c r="D305" s="70">
        <v>3</v>
      </c>
      <c r="E305" s="71"/>
      <c r="F305" s="72">
        <v>70</v>
      </c>
      <c r="G305" s="69"/>
      <c r="H305" s="73"/>
      <c r="I305" s="74"/>
      <c r="J305" s="74"/>
      <c r="K305" s="35" t="s">
        <v>65</v>
      </c>
      <c r="L305" s="81">
        <v>305</v>
      </c>
      <c r="M305" s="81"/>
      <c r="N305" s="76"/>
      <c r="O305" s="83" t="s">
        <v>520</v>
      </c>
      <c r="P305" s="83">
        <v>1</v>
      </c>
      <c r="Q305" s="83" t="s">
        <v>521</v>
      </c>
      <c r="R305" s="83" t="s">
        <v>741</v>
      </c>
      <c r="S305" s="83">
        <v>99746</v>
      </c>
      <c r="T305" s="82" t="str">
        <f>REPLACE(INDEX(GroupVertices[Group],MATCH(Edges[[#This Row],[Vertex 1]],GroupVertices[Vertex],0)),1,1,"")</f>
        <v>3</v>
      </c>
      <c r="U305" s="82" t="str">
        <f>REPLACE(INDEX(GroupVertices[Group],MATCH(Edges[[#This Row],[Vertex 2]],GroupVertices[Vertex],0)),1,1,"")</f>
        <v>3</v>
      </c>
      <c r="V305" s="49">
        <v>0</v>
      </c>
      <c r="W305" s="50">
        <v>0</v>
      </c>
      <c r="X305" s="49">
        <v>0</v>
      </c>
      <c r="Y305" s="50">
        <v>0</v>
      </c>
      <c r="Z305" s="49">
        <v>0</v>
      </c>
      <c r="AA305" s="50">
        <v>0</v>
      </c>
      <c r="AB305" s="49">
        <v>13</v>
      </c>
      <c r="AC305" s="50">
        <v>100</v>
      </c>
      <c r="AD305" s="49">
        <v>13</v>
      </c>
    </row>
    <row r="306" spans="1:30" ht="15">
      <c r="A306" s="68" t="s">
        <v>487</v>
      </c>
      <c r="B306" s="68" t="s">
        <v>486</v>
      </c>
      <c r="C306" s="69" t="s">
        <v>1691</v>
      </c>
      <c r="D306" s="70">
        <v>3</v>
      </c>
      <c r="E306" s="71"/>
      <c r="F306" s="72">
        <v>70</v>
      </c>
      <c r="G306" s="69"/>
      <c r="H306" s="73"/>
      <c r="I306" s="74"/>
      <c r="J306" s="74"/>
      <c r="K306" s="35" t="s">
        <v>65</v>
      </c>
      <c r="L306" s="81">
        <v>306</v>
      </c>
      <c r="M306" s="81"/>
      <c r="N306" s="76"/>
      <c r="O306" s="83" t="s">
        <v>520</v>
      </c>
      <c r="P306" s="83">
        <v>1</v>
      </c>
      <c r="Q306" s="83" t="s">
        <v>521</v>
      </c>
      <c r="R306" s="83" t="s">
        <v>742</v>
      </c>
      <c r="S306" s="83">
        <v>99986</v>
      </c>
      <c r="T306" s="82" t="str">
        <f>REPLACE(INDEX(GroupVertices[Group],MATCH(Edges[[#This Row],[Vertex 1]],GroupVertices[Vertex],0)),1,1,"")</f>
        <v>3</v>
      </c>
      <c r="U306" s="82" t="str">
        <f>REPLACE(INDEX(GroupVertices[Group],MATCH(Edges[[#This Row],[Vertex 2]],GroupVertices[Vertex],0)),1,1,"")</f>
        <v>3</v>
      </c>
      <c r="V306" s="49">
        <v>0</v>
      </c>
      <c r="W306" s="50">
        <v>0</v>
      </c>
      <c r="X306" s="49">
        <v>0</v>
      </c>
      <c r="Y306" s="50">
        <v>0</v>
      </c>
      <c r="Z306" s="49">
        <v>0</v>
      </c>
      <c r="AA306" s="50">
        <v>0</v>
      </c>
      <c r="AB306" s="49">
        <v>17</v>
      </c>
      <c r="AC306" s="50">
        <v>100</v>
      </c>
      <c r="AD306" s="49">
        <v>17</v>
      </c>
    </row>
    <row r="307" spans="1:30" ht="15">
      <c r="A307" s="68" t="s">
        <v>488</v>
      </c>
      <c r="B307" s="68" t="s">
        <v>487</v>
      </c>
      <c r="C307" s="69" t="s">
        <v>1691</v>
      </c>
      <c r="D307" s="70">
        <v>3</v>
      </c>
      <c r="E307" s="71"/>
      <c r="F307" s="72">
        <v>70</v>
      </c>
      <c r="G307" s="69"/>
      <c r="H307" s="73"/>
      <c r="I307" s="74"/>
      <c r="J307" s="74"/>
      <c r="K307" s="35" t="s">
        <v>65</v>
      </c>
      <c r="L307" s="81">
        <v>307</v>
      </c>
      <c r="M307" s="81"/>
      <c r="N307" s="76"/>
      <c r="O307" s="83" t="s">
        <v>520</v>
      </c>
      <c r="P307" s="83">
        <v>1</v>
      </c>
      <c r="Q307" s="83" t="s">
        <v>521</v>
      </c>
      <c r="R307" s="83" t="s">
        <v>742</v>
      </c>
      <c r="S307" s="83">
        <v>100016</v>
      </c>
      <c r="T307" s="82" t="str">
        <f>REPLACE(INDEX(GroupVertices[Group],MATCH(Edges[[#This Row],[Vertex 1]],GroupVertices[Vertex],0)),1,1,"")</f>
        <v>3</v>
      </c>
      <c r="U307" s="82" t="str">
        <f>REPLACE(INDEX(GroupVertices[Group],MATCH(Edges[[#This Row],[Vertex 2]],GroupVertices[Vertex],0)),1,1,"")</f>
        <v>3</v>
      </c>
      <c r="V307" s="49">
        <v>0</v>
      </c>
      <c r="W307" s="50">
        <v>0</v>
      </c>
      <c r="X307" s="49">
        <v>0</v>
      </c>
      <c r="Y307" s="50">
        <v>0</v>
      </c>
      <c r="Z307" s="49">
        <v>0</v>
      </c>
      <c r="AA307" s="50">
        <v>0</v>
      </c>
      <c r="AB307" s="49">
        <v>17</v>
      </c>
      <c r="AC307" s="50">
        <v>100</v>
      </c>
      <c r="AD307" s="49">
        <v>17</v>
      </c>
    </row>
    <row r="308" spans="1:30" ht="15">
      <c r="A308" s="68" t="s">
        <v>489</v>
      </c>
      <c r="B308" s="68" t="s">
        <v>488</v>
      </c>
      <c r="C308" s="69" t="s">
        <v>1691</v>
      </c>
      <c r="D308" s="70">
        <v>3</v>
      </c>
      <c r="E308" s="71"/>
      <c r="F308" s="72">
        <v>70</v>
      </c>
      <c r="G308" s="69"/>
      <c r="H308" s="73"/>
      <c r="I308" s="74"/>
      <c r="J308" s="74"/>
      <c r="K308" s="35" t="s">
        <v>65</v>
      </c>
      <c r="L308" s="81">
        <v>308</v>
      </c>
      <c r="M308" s="81"/>
      <c r="N308" s="76"/>
      <c r="O308" s="83" t="s">
        <v>520</v>
      </c>
      <c r="P308" s="83">
        <v>1</v>
      </c>
      <c r="Q308" s="83" t="s">
        <v>521</v>
      </c>
      <c r="R308" s="83" t="s">
        <v>743</v>
      </c>
      <c r="S308" s="83">
        <v>100272</v>
      </c>
      <c r="T308" s="82" t="str">
        <f>REPLACE(INDEX(GroupVertices[Group],MATCH(Edges[[#This Row],[Vertex 1]],GroupVertices[Vertex],0)),1,1,"")</f>
        <v>3</v>
      </c>
      <c r="U308" s="82" t="str">
        <f>REPLACE(INDEX(GroupVertices[Group],MATCH(Edges[[#This Row],[Vertex 2]],GroupVertices[Vertex],0)),1,1,"")</f>
        <v>3</v>
      </c>
      <c r="V308" s="49">
        <v>0</v>
      </c>
      <c r="W308" s="50">
        <v>0</v>
      </c>
      <c r="X308" s="49">
        <v>0</v>
      </c>
      <c r="Y308" s="50">
        <v>0</v>
      </c>
      <c r="Z308" s="49">
        <v>0</v>
      </c>
      <c r="AA308" s="50">
        <v>0</v>
      </c>
      <c r="AB308" s="49">
        <v>14</v>
      </c>
      <c r="AC308" s="50">
        <v>100</v>
      </c>
      <c r="AD308" s="49">
        <v>14</v>
      </c>
    </row>
    <row r="309" spans="1:30" ht="15">
      <c r="A309" s="68" t="s">
        <v>489</v>
      </c>
      <c r="B309" s="68" t="s">
        <v>489</v>
      </c>
      <c r="C309" s="69" t="s">
        <v>1691</v>
      </c>
      <c r="D309" s="70">
        <v>3</v>
      </c>
      <c r="E309" s="71"/>
      <c r="F309" s="72">
        <v>70</v>
      </c>
      <c r="G309" s="69"/>
      <c r="H309" s="73"/>
      <c r="I309" s="74"/>
      <c r="J309" s="74"/>
      <c r="K309" s="35" t="s">
        <v>65</v>
      </c>
      <c r="L309" s="81">
        <v>309</v>
      </c>
      <c r="M309" s="81"/>
      <c r="N309" s="76"/>
      <c r="O309" s="83" t="s">
        <v>520</v>
      </c>
      <c r="P309" s="83">
        <v>1</v>
      </c>
      <c r="Q309" s="83" t="s">
        <v>521</v>
      </c>
      <c r="R309" s="83" t="s">
        <v>743</v>
      </c>
      <c r="S309" s="83">
        <v>100017</v>
      </c>
      <c r="T309" s="82" t="str">
        <f>REPLACE(INDEX(GroupVertices[Group],MATCH(Edges[[#This Row],[Vertex 1]],GroupVertices[Vertex],0)),1,1,"")</f>
        <v>3</v>
      </c>
      <c r="U309" s="82" t="str">
        <f>REPLACE(INDEX(GroupVertices[Group],MATCH(Edges[[#This Row],[Vertex 2]],GroupVertices[Vertex],0)),1,1,"")</f>
        <v>3</v>
      </c>
      <c r="V309" s="49">
        <v>0</v>
      </c>
      <c r="W309" s="50">
        <v>0</v>
      </c>
      <c r="X309" s="49">
        <v>0</v>
      </c>
      <c r="Y309" s="50">
        <v>0</v>
      </c>
      <c r="Z309" s="49">
        <v>0</v>
      </c>
      <c r="AA309" s="50">
        <v>0</v>
      </c>
      <c r="AB309" s="49">
        <v>14</v>
      </c>
      <c r="AC309" s="50">
        <v>100</v>
      </c>
      <c r="AD309" s="49">
        <v>14</v>
      </c>
    </row>
    <row r="310" spans="1:30" ht="15">
      <c r="A310" s="68" t="s">
        <v>490</v>
      </c>
      <c r="B310" s="68" t="s">
        <v>489</v>
      </c>
      <c r="C310" s="69" t="s">
        <v>1691</v>
      </c>
      <c r="D310" s="70">
        <v>3</v>
      </c>
      <c r="E310" s="71"/>
      <c r="F310" s="72">
        <v>70</v>
      </c>
      <c r="G310" s="69"/>
      <c r="H310" s="73"/>
      <c r="I310" s="74"/>
      <c r="J310" s="74"/>
      <c r="K310" s="35" t="s">
        <v>65</v>
      </c>
      <c r="L310" s="81">
        <v>310</v>
      </c>
      <c r="M310" s="81"/>
      <c r="N310" s="76"/>
      <c r="O310" s="83" t="s">
        <v>520</v>
      </c>
      <c r="P310" s="83">
        <v>1</v>
      </c>
      <c r="Q310" s="83" t="s">
        <v>521</v>
      </c>
      <c r="R310" s="83" t="s">
        <v>744</v>
      </c>
      <c r="S310" s="83">
        <v>100626</v>
      </c>
      <c r="T310" s="82" t="str">
        <f>REPLACE(INDEX(GroupVertices[Group],MATCH(Edges[[#This Row],[Vertex 1]],GroupVertices[Vertex],0)),1,1,"")</f>
        <v>3</v>
      </c>
      <c r="U310" s="82" t="str">
        <f>REPLACE(INDEX(GroupVertices[Group],MATCH(Edges[[#This Row],[Vertex 2]],GroupVertices[Vertex],0)),1,1,"")</f>
        <v>3</v>
      </c>
      <c r="V310" s="49">
        <v>0</v>
      </c>
      <c r="W310" s="50">
        <v>0</v>
      </c>
      <c r="X310" s="49">
        <v>0</v>
      </c>
      <c r="Y310" s="50">
        <v>0</v>
      </c>
      <c r="Z310" s="49">
        <v>0</v>
      </c>
      <c r="AA310" s="50">
        <v>0</v>
      </c>
      <c r="AB310" s="49">
        <v>32</v>
      </c>
      <c r="AC310" s="50">
        <v>100</v>
      </c>
      <c r="AD310" s="49">
        <v>32</v>
      </c>
    </row>
    <row r="311" spans="1:30" ht="15">
      <c r="A311" s="68" t="s">
        <v>491</v>
      </c>
      <c r="B311" s="68" t="s">
        <v>490</v>
      </c>
      <c r="C311" s="69" t="s">
        <v>1691</v>
      </c>
      <c r="D311" s="70">
        <v>3</v>
      </c>
      <c r="E311" s="71"/>
      <c r="F311" s="72">
        <v>70</v>
      </c>
      <c r="G311" s="69"/>
      <c r="H311" s="73"/>
      <c r="I311" s="74"/>
      <c r="J311" s="74"/>
      <c r="K311" s="35" t="s">
        <v>65</v>
      </c>
      <c r="L311" s="81">
        <v>311</v>
      </c>
      <c r="M311" s="81"/>
      <c r="N311" s="76"/>
      <c r="O311" s="83" t="s">
        <v>520</v>
      </c>
      <c r="P311" s="83">
        <v>1</v>
      </c>
      <c r="Q311" s="83" t="s">
        <v>521</v>
      </c>
      <c r="R311" s="83" t="s">
        <v>745</v>
      </c>
      <c r="S311" s="83">
        <v>100865</v>
      </c>
      <c r="T311" s="82" t="str">
        <f>REPLACE(INDEX(GroupVertices[Group],MATCH(Edges[[#This Row],[Vertex 1]],GroupVertices[Vertex],0)),1,1,"")</f>
        <v>3</v>
      </c>
      <c r="U311" s="82" t="str">
        <f>REPLACE(INDEX(GroupVertices[Group],MATCH(Edges[[#This Row],[Vertex 2]],GroupVertices[Vertex],0)),1,1,"")</f>
        <v>3</v>
      </c>
      <c r="V311" s="49">
        <v>0</v>
      </c>
      <c r="W311" s="50">
        <v>0</v>
      </c>
      <c r="X311" s="49">
        <v>0</v>
      </c>
      <c r="Y311" s="50">
        <v>0</v>
      </c>
      <c r="Z311" s="49">
        <v>0</v>
      </c>
      <c r="AA311" s="50">
        <v>0</v>
      </c>
      <c r="AB311" s="49">
        <v>14</v>
      </c>
      <c r="AC311" s="50">
        <v>100</v>
      </c>
      <c r="AD311" s="49">
        <v>14</v>
      </c>
    </row>
    <row r="312" spans="1:30" ht="15">
      <c r="A312" s="68" t="s">
        <v>492</v>
      </c>
      <c r="B312" s="68" t="s">
        <v>491</v>
      </c>
      <c r="C312" s="69" t="s">
        <v>1691</v>
      </c>
      <c r="D312" s="70">
        <v>3</v>
      </c>
      <c r="E312" s="71"/>
      <c r="F312" s="72">
        <v>70</v>
      </c>
      <c r="G312" s="69"/>
      <c r="H312" s="73"/>
      <c r="I312" s="74"/>
      <c r="J312" s="74"/>
      <c r="K312" s="35" t="s">
        <v>65</v>
      </c>
      <c r="L312" s="81">
        <v>312</v>
      </c>
      <c r="M312" s="81"/>
      <c r="N312" s="76"/>
      <c r="O312" s="83" t="s">
        <v>520</v>
      </c>
      <c r="P312" s="83">
        <v>1</v>
      </c>
      <c r="Q312" s="83" t="s">
        <v>521</v>
      </c>
      <c r="R312" s="83" t="s">
        <v>745</v>
      </c>
      <c r="S312" s="83">
        <v>100897</v>
      </c>
      <c r="T312" s="82" t="str">
        <f>REPLACE(INDEX(GroupVertices[Group],MATCH(Edges[[#This Row],[Vertex 1]],GroupVertices[Vertex],0)),1,1,"")</f>
        <v>3</v>
      </c>
      <c r="U312" s="82" t="str">
        <f>REPLACE(INDEX(GroupVertices[Group],MATCH(Edges[[#This Row],[Vertex 2]],GroupVertices[Vertex],0)),1,1,"")</f>
        <v>3</v>
      </c>
      <c r="V312" s="49">
        <v>0</v>
      </c>
      <c r="W312" s="50">
        <v>0</v>
      </c>
      <c r="X312" s="49">
        <v>0</v>
      </c>
      <c r="Y312" s="50">
        <v>0</v>
      </c>
      <c r="Z312" s="49">
        <v>0</v>
      </c>
      <c r="AA312" s="50">
        <v>0</v>
      </c>
      <c r="AB312" s="49">
        <v>14</v>
      </c>
      <c r="AC312" s="50">
        <v>100</v>
      </c>
      <c r="AD312" s="49">
        <v>14</v>
      </c>
    </row>
    <row r="313" spans="1:30" ht="15">
      <c r="A313" s="68" t="s">
        <v>493</v>
      </c>
      <c r="B313" s="68" t="s">
        <v>492</v>
      </c>
      <c r="C313" s="69" t="s">
        <v>1691</v>
      </c>
      <c r="D313" s="70">
        <v>3</v>
      </c>
      <c r="E313" s="71"/>
      <c r="F313" s="72">
        <v>70</v>
      </c>
      <c r="G313" s="69"/>
      <c r="H313" s="73"/>
      <c r="I313" s="74"/>
      <c r="J313" s="74"/>
      <c r="K313" s="35" t="s">
        <v>65</v>
      </c>
      <c r="L313" s="81">
        <v>313</v>
      </c>
      <c r="M313" s="81"/>
      <c r="N313" s="76"/>
      <c r="O313" s="83" t="s">
        <v>520</v>
      </c>
      <c r="P313" s="83">
        <v>1</v>
      </c>
      <c r="Q313" s="83" t="s">
        <v>521</v>
      </c>
      <c r="R313" s="83" t="s">
        <v>745</v>
      </c>
      <c r="S313" s="83">
        <v>100865</v>
      </c>
      <c r="T313" s="82" t="str">
        <f>REPLACE(INDEX(GroupVertices[Group],MATCH(Edges[[#This Row],[Vertex 1]],GroupVertices[Vertex],0)),1,1,"")</f>
        <v>3</v>
      </c>
      <c r="U313" s="82" t="str">
        <f>REPLACE(INDEX(GroupVertices[Group],MATCH(Edges[[#This Row],[Vertex 2]],GroupVertices[Vertex],0)),1,1,"")</f>
        <v>3</v>
      </c>
      <c r="V313" s="49">
        <v>0</v>
      </c>
      <c r="W313" s="50">
        <v>0</v>
      </c>
      <c r="X313" s="49">
        <v>0</v>
      </c>
      <c r="Y313" s="50">
        <v>0</v>
      </c>
      <c r="Z313" s="49">
        <v>0</v>
      </c>
      <c r="AA313" s="50">
        <v>0</v>
      </c>
      <c r="AB313" s="49">
        <v>14</v>
      </c>
      <c r="AC313" s="50">
        <v>100</v>
      </c>
      <c r="AD313" s="49">
        <v>14</v>
      </c>
    </row>
    <row r="314" spans="1:30" ht="15">
      <c r="A314" s="68" t="s">
        <v>491</v>
      </c>
      <c r="B314" s="68" t="s">
        <v>493</v>
      </c>
      <c r="C314" s="69" t="s">
        <v>1691</v>
      </c>
      <c r="D314" s="70">
        <v>3</v>
      </c>
      <c r="E314" s="71"/>
      <c r="F314" s="72">
        <v>70</v>
      </c>
      <c r="G314" s="69"/>
      <c r="H314" s="73"/>
      <c r="I314" s="74"/>
      <c r="J314" s="74"/>
      <c r="K314" s="35" t="s">
        <v>65</v>
      </c>
      <c r="L314" s="81">
        <v>314</v>
      </c>
      <c r="M314" s="81"/>
      <c r="N314" s="76"/>
      <c r="O314" s="83" t="s">
        <v>520</v>
      </c>
      <c r="P314" s="83">
        <v>1</v>
      </c>
      <c r="Q314" s="83" t="s">
        <v>521</v>
      </c>
      <c r="R314" s="83" t="s">
        <v>745</v>
      </c>
      <c r="S314" s="83">
        <v>100627</v>
      </c>
      <c r="T314" s="82" t="str">
        <f>REPLACE(INDEX(GroupVertices[Group],MATCH(Edges[[#This Row],[Vertex 1]],GroupVertices[Vertex],0)),1,1,"")</f>
        <v>3</v>
      </c>
      <c r="U314" s="82" t="str">
        <f>REPLACE(INDEX(GroupVertices[Group],MATCH(Edges[[#This Row],[Vertex 2]],GroupVertices[Vertex],0)),1,1,"")</f>
        <v>3</v>
      </c>
      <c r="V314" s="49">
        <v>0</v>
      </c>
      <c r="W314" s="50">
        <v>0</v>
      </c>
      <c r="X314" s="49">
        <v>0</v>
      </c>
      <c r="Y314" s="50">
        <v>0</v>
      </c>
      <c r="Z314" s="49">
        <v>0</v>
      </c>
      <c r="AA314" s="50">
        <v>0</v>
      </c>
      <c r="AB314" s="49">
        <v>14</v>
      </c>
      <c r="AC314" s="50">
        <v>100</v>
      </c>
      <c r="AD314" s="49">
        <v>14</v>
      </c>
    </row>
    <row r="315" spans="1:30" ht="15">
      <c r="A315" s="68" t="s">
        <v>494</v>
      </c>
      <c r="B315" s="68" t="s">
        <v>491</v>
      </c>
      <c r="C315" s="69" t="s">
        <v>1691</v>
      </c>
      <c r="D315" s="70">
        <v>3</v>
      </c>
      <c r="E315" s="71"/>
      <c r="F315" s="72">
        <v>70</v>
      </c>
      <c r="G315" s="69"/>
      <c r="H315" s="73"/>
      <c r="I315" s="74"/>
      <c r="J315" s="74"/>
      <c r="K315" s="35" t="s">
        <v>65</v>
      </c>
      <c r="L315" s="81">
        <v>315</v>
      </c>
      <c r="M315" s="81"/>
      <c r="N315" s="76"/>
      <c r="O315" s="83" t="s">
        <v>520</v>
      </c>
      <c r="P315" s="83">
        <v>1</v>
      </c>
      <c r="Q315" s="83" t="s">
        <v>521</v>
      </c>
      <c r="R315" s="83" t="s">
        <v>746</v>
      </c>
      <c r="S315" s="83">
        <v>100863</v>
      </c>
      <c r="T315" s="82" t="str">
        <f>REPLACE(INDEX(GroupVertices[Group],MATCH(Edges[[#This Row],[Vertex 1]],GroupVertices[Vertex],0)),1,1,"")</f>
        <v>3</v>
      </c>
      <c r="U315" s="82" t="str">
        <f>REPLACE(INDEX(GroupVertices[Group],MATCH(Edges[[#This Row],[Vertex 2]],GroupVertices[Vertex],0)),1,1,"")</f>
        <v>3</v>
      </c>
      <c r="V315" s="49">
        <v>0</v>
      </c>
      <c r="W315" s="50">
        <v>0</v>
      </c>
      <c r="X315" s="49">
        <v>0</v>
      </c>
      <c r="Y315" s="50">
        <v>0</v>
      </c>
      <c r="Z315" s="49">
        <v>0</v>
      </c>
      <c r="AA315" s="50">
        <v>0</v>
      </c>
      <c r="AB315" s="49">
        <v>13</v>
      </c>
      <c r="AC315" s="50">
        <v>100</v>
      </c>
      <c r="AD315" s="49">
        <v>13</v>
      </c>
    </row>
    <row r="316" spans="1:30" ht="15">
      <c r="A316" s="68" t="s">
        <v>495</v>
      </c>
      <c r="B316" s="68" t="s">
        <v>494</v>
      </c>
      <c r="C316" s="69" t="s">
        <v>1691</v>
      </c>
      <c r="D316" s="70">
        <v>3</v>
      </c>
      <c r="E316" s="71"/>
      <c r="F316" s="72">
        <v>70</v>
      </c>
      <c r="G316" s="69"/>
      <c r="H316" s="73"/>
      <c r="I316" s="74"/>
      <c r="J316" s="74"/>
      <c r="K316" s="35" t="s">
        <v>66</v>
      </c>
      <c r="L316" s="81">
        <v>316</v>
      </c>
      <c r="M316" s="81"/>
      <c r="N316" s="76"/>
      <c r="O316" s="83" t="s">
        <v>520</v>
      </c>
      <c r="P316" s="83">
        <v>1</v>
      </c>
      <c r="Q316" s="83" t="s">
        <v>521</v>
      </c>
      <c r="R316" s="83" t="s">
        <v>747</v>
      </c>
      <c r="S316" s="83">
        <v>101399</v>
      </c>
      <c r="T316" s="82" t="str">
        <f>REPLACE(INDEX(GroupVertices[Group],MATCH(Edges[[#This Row],[Vertex 1]],GroupVertices[Vertex],0)),1,1,"")</f>
        <v>3</v>
      </c>
      <c r="U316" s="82" t="str">
        <f>REPLACE(INDEX(GroupVertices[Group],MATCH(Edges[[#This Row],[Vertex 2]],GroupVertices[Vertex],0)),1,1,"")</f>
        <v>3</v>
      </c>
      <c r="V316" s="49">
        <v>0</v>
      </c>
      <c r="W316" s="50">
        <v>0</v>
      </c>
      <c r="X316" s="49">
        <v>0</v>
      </c>
      <c r="Y316" s="50">
        <v>0</v>
      </c>
      <c r="Z316" s="49">
        <v>0</v>
      </c>
      <c r="AA316" s="50">
        <v>0</v>
      </c>
      <c r="AB316" s="49">
        <v>10</v>
      </c>
      <c r="AC316" s="50">
        <v>100</v>
      </c>
      <c r="AD316" s="49">
        <v>10</v>
      </c>
    </row>
    <row r="317" spans="1:30" ht="15">
      <c r="A317" s="68" t="s">
        <v>328</v>
      </c>
      <c r="B317" s="68" t="s">
        <v>495</v>
      </c>
      <c r="C317" s="69" t="s">
        <v>1691</v>
      </c>
      <c r="D317" s="70">
        <v>3</v>
      </c>
      <c r="E317" s="71"/>
      <c r="F317" s="72">
        <v>70</v>
      </c>
      <c r="G317" s="69"/>
      <c r="H317" s="73"/>
      <c r="I317" s="74"/>
      <c r="J317" s="74"/>
      <c r="K317" s="35" t="s">
        <v>65</v>
      </c>
      <c r="L317" s="81">
        <v>317</v>
      </c>
      <c r="M317" s="81"/>
      <c r="N317" s="76"/>
      <c r="O317" s="83" t="s">
        <v>520</v>
      </c>
      <c r="P317" s="83">
        <v>1</v>
      </c>
      <c r="Q317" s="83" t="s">
        <v>521</v>
      </c>
      <c r="R317" s="83" t="s">
        <v>748</v>
      </c>
      <c r="S317" s="83">
        <v>101711</v>
      </c>
      <c r="T317" s="82" t="str">
        <f>REPLACE(INDEX(GroupVertices[Group],MATCH(Edges[[#This Row],[Vertex 1]],GroupVertices[Vertex],0)),1,1,"")</f>
        <v>1</v>
      </c>
      <c r="U317" s="82" t="str">
        <f>REPLACE(INDEX(GroupVertices[Group],MATCH(Edges[[#This Row],[Vertex 2]],GroupVertices[Vertex],0)),1,1,"")</f>
        <v>3</v>
      </c>
      <c r="V317" s="49">
        <v>0</v>
      </c>
      <c r="W317" s="50">
        <v>0</v>
      </c>
      <c r="X317" s="49">
        <v>0</v>
      </c>
      <c r="Y317" s="50">
        <v>0</v>
      </c>
      <c r="Z317" s="49">
        <v>0</v>
      </c>
      <c r="AA317" s="50">
        <v>0</v>
      </c>
      <c r="AB317" s="49">
        <v>16</v>
      </c>
      <c r="AC317" s="50">
        <v>100</v>
      </c>
      <c r="AD317" s="49">
        <v>16</v>
      </c>
    </row>
    <row r="318" spans="1:30" ht="15">
      <c r="A318" s="68" t="s">
        <v>495</v>
      </c>
      <c r="B318" s="68" t="s">
        <v>498</v>
      </c>
      <c r="C318" s="69" t="s">
        <v>1691</v>
      </c>
      <c r="D318" s="70">
        <v>3</v>
      </c>
      <c r="E318" s="71"/>
      <c r="F318" s="72">
        <v>70</v>
      </c>
      <c r="G318" s="69"/>
      <c r="H318" s="73"/>
      <c r="I318" s="74"/>
      <c r="J318" s="74"/>
      <c r="K318" s="35" t="s">
        <v>65</v>
      </c>
      <c r="L318" s="81">
        <v>318</v>
      </c>
      <c r="M318" s="81"/>
      <c r="N318" s="76"/>
      <c r="O318" s="83" t="s">
        <v>520</v>
      </c>
      <c r="P318" s="83">
        <v>1</v>
      </c>
      <c r="Q318" s="83" t="s">
        <v>521</v>
      </c>
      <c r="R318" s="83" t="s">
        <v>749</v>
      </c>
      <c r="S318" s="83">
        <v>102726</v>
      </c>
      <c r="T318" s="82" t="str">
        <f>REPLACE(INDEX(GroupVertices[Group],MATCH(Edges[[#This Row],[Vertex 1]],GroupVertices[Vertex],0)),1,1,"")</f>
        <v>3</v>
      </c>
      <c r="U318" s="82" t="str">
        <f>REPLACE(INDEX(GroupVertices[Group],MATCH(Edges[[#This Row],[Vertex 2]],GroupVertices[Vertex],0)),1,1,"")</f>
        <v>3</v>
      </c>
      <c r="V318" s="49">
        <v>0</v>
      </c>
      <c r="W318" s="50">
        <v>0</v>
      </c>
      <c r="X318" s="49">
        <v>0</v>
      </c>
      <c r="Y318" s="50">
        <v>0</v>
      </c>
      <c r="Z318" s="49">
        <v>0</v>
      </c>
      <c r="AA318" s="50">
        <v>0</v>
      </c>
      <c r="AB318" s="49">
        <v>8</v>
      </c>
      <c r="AC318" s="50">
        <v>100</v>
      </c>
      <c r="AD318" s="49">
        <v>8</v>
      </c>
    </row>
    <row r="319" spans="1:30" ht="15">
      <c r="A319" s="68" t="s">
        <v>494</v>
      </c>
      <c r="B319" s="68" t="s">
        <v>495</v>
      </c>
      <c r="C319" s="69" t="s">
        <v>1691</v>
      </c>
      <c r="D319" s="70">
        <v>3</v>
      </c>
      <c r="E319" s="71"/>
      <c r="F319" s="72">
        <v>70</v>
      </c>
      <c r="G319" s="69"/>
      <c r="H319" s="73"/>
      <c r="I319" s="74"/>
      <c r="J319" s="74"/>
      <c r="K319" s="35" t="s">
        <v>66</v>
      </c>
      <c r="L319" s="81">
        <v>319</v>
      </c>
      <c r="M319" s="81"/>
      <c r="N319" s="76"/>
      <c r="O319" s="83" t="s">
        <v>520</v>
      </c>
      <c r="P319" s="83">
        <v>1</v>
      </c>
      <c r="Q319" s="83" t="s">
        <v>521</v>
      </c>
      <c r="R319" s="83" t="s">
        <v>746</v>
      </c>
      <c r="S319" s="83">
        <v>102491</v>
      </c>
      <c r="T319" s="82" t="str">
        <f>REPLACE(INDEX(GroupVertices[Group],MATCH(Edges[[#This Row],[Vertex 1]],GroupVertices[Vertex],0)),1,1,"")</f>
        <v>3</v>
      </c>
      <c r="U319" s="82" t="str">
        <f>REPLACE(INDEX(GroupVertices[Group],MATCH(Edges[[#This Row],[Vertex 2]],GroupVertices[Vertex],0)),1,1,"")</f>
        <v>3</v>
      </c>
      <c r="V319" s="49">
        <v>0</v>
      </c>
      <c r="W319" s="50">
        <v>0</v>
      </c>
      <c r="X319" s="49">
        <v>0</v>
      </c>
      <c r="Y319" s="50">
        <v>0</v>
      </c>
      <c r="Z319" s="49">
        <v>0</v>
      </c>
      <c r="AA319" s="50">
        <v>0</v>
      </c>
      <c r="AB319" s="49">
        <v>13</v>
      </c>
      <c r="AC319" s="50">
        <v>100</v>
      </c>
      <c r="AD319" s="49">
        <v>13</v>
      </c>
    </row>
    <row r="320" spans="1:30" ht="15">
      <c r="A320" s="68" t="s">
        <v>496</v>
      </c>
      <c r="B320" s="68" t="s">
        <v>494</v>
      </c>
      <c r="C320" s="69" t="s">
        <v>1691</v>
      </c>
      <c r="D320" s="70">
        <v>3</v>
      </c>
      <c r="E320" s="71"/>
      <c r="F320" s="72">
        <v>70</v>
      </c>
      <c r="G320" s="69"/>
      <c r="H320" s="73"/>
      <c r="I320" s="74"/>
      <c r="J320" s="74"/>
      <c r="K320" s="35" t="s">
        <v>65</v>
      </c>
      <c r="L320" s="81">
        <v>320</v>
      </c>
      <c r="M320" s="81"/>
      <c r="N320" s="76"/>
      <c r="O320" s="83" t="s">
        <v>520</v>
      </c>
      <c r="P320" s="83">
        <v>1</v>
      </c>
      <c r="Q320" s="83" t="s">
        <v>521</v>
      </c>
      <c r="R320" s="83" t="s">
        <v>750</v>
      </c>
      <c r="S320" s="83">
        <v>102740</v>
      </c>
      <c r="T320" s="82" t="str">
        <f>REPLACE(INDEX(GroupVertices[Group],MATCH(Edges[[#This Row],[Vertex 1]],GroupVertices[Vertex],0)),1,1,"")</f>
        <v>3</v>
      </c>
      <c r="U320" s="82" t="str">
        <f>REPLACE(INDEX(GroupVertices[Group],MATCH(Edges[[#This Row],[Vertex 2]],GroupVertices[Vertex],0)),1,1,"")</f>
        <v>3</v>
      </c>
      <c r="V320" s="49">
        <v>0</v>
      </c>
      <c r="W320" s="50">
        <v>0</v>
      </c>
      <c r="X320" s="49">
        <v>1</v>
      </c>
      <c r="Y320" s="50">
        <v>6.25</v>
      </c>
      <c r="Z320" s="49">
        <v>0</v>
      </c>
      <c r="AA320" s="50">
        <v>0</v>
      </c>
      <c r="AB320" s="49">
        <v>15</v>
      </c>
      <c r="AC320" s="50">
        <v>93.75</v>
      </c>
      <c r="AD320" s="49">
        <v>16</v>
      </c>
    </row>
    <row r="321" spans="1:30" ht="15">
      <c r="A321" s="68" t="s">
        <v>496</v>
      </c>
      <c r="B321" s="68" t="s">
        <v>496</v>
      </c>
      <c r="C321" s="69" t="s">
        <v>1691</v>
      </c>
      <c r="D321" s="70">
        <v>3</v>
      </c>
      <c r="E321" s="71"/>
      <c r="F321" s="72">
        <v>70</v>
      </c>
      <c r="G321" s="69"/>
      <c r="H321" s="73"/>
      <c r="I321" s="74"/>
      <c r="J321" s="74"/>
      <c r="K321" s="35" t="s">
        <v>65</v>
      </c>
      <c r="L321" s="81">
        <v>321</v>
      </c>
      <c r="M321" s="81"/>
      <c r="N321" s="76"/>
      <c r="O321" s="83" t="s">
        <v>520</v>
      </c>
      <c r="P321" s="83">
        <v>1</v>
      </c>
      <c r="Q321" s="83" t="s">
        <v>521</v>
      </c>
      <c r="R321" s="83" t="s">
        <v>750</v>
      </c>
      <c r="S321" s="83">
        <v>102492</v>
      </c>
      <c r="T321" s="82" t="str">
        <f>REPLACE(INDEX(GroupVertices[Group],MATCH(Edges[[#This Row],[Vertex 1]],GroupVertices[Vertex],0)),1,1,"")</f>
        <v>3</v>
      </c>
      <c r="U321" s="82" t="str">
        <f>REPLACE(INDEX(GroupVertices[Group],MATCH(Edges[[#This Row],[Vertex 2]],GroupVertices[Vertex],0)),1,1,"")</f>
        <v>3</v>
      </c>
      <c r="V321" s="49">
        <v>0</v>
      </c>
      <c r="W321" s="50">
        <v>0</v>
      </c>
      <c r="X321" s="49">
        <v>1</v>
      </c>
      <c r="Y321" s="50">
        <v>6.25</v>
      </c>
      <c r="Z321" s="49">
        <v>0</v>
      </c>
      <c r="AA321" s="50">
        <v>0</v>
      </c>
      <c r="AB321" s="49">
        <v>15</v>
      </c>
      <c r="AC321" s="50">
        <v>93.75</v>
      </c>
      <c r="AD321" s="49">
        <v>16</v>
      </c>
    </row>
    <row r="322" spans="1:30" ht="15">
      <c r="A322" s="68" t="s">
        <v>497</v>
      </c>
      <c r="B322" s="68" t="s">
        <v>496</v>
      </c>
      <c r="C322" s="69" t="s">
        <v>1691</v>
      </c>
      <c r="D322" s="70">
        <v>3</v>
      </c>
      <c r="E322" s="71"/>
      <c r="F322" s="72">
        <v>70</v>
      </c>
      <c r="G322" s="69"/>
      <c r="H322" s="73"/>
      <c r="I322" s="74"/>
      <c r="J322" s="74"/>
      <c r="K322" s="35" t="s">
        <v>65</v>
      </c>
      <c r="L322" s="81">
        <v>322</v>
      </c>
      <c r="M322" s="81"/>
      <c r="N322" s="76"/>
      <c r="O322" s="83" t="s">
        <v>520</v>
      </c>
      <c r="P322" s="83">
        <v>1</v>
      </c>
      <c r="Q322" s="83" t="s">
        <v>521</v>
      </c>
      <c r="R322" s="83" t="s">
        <v>739</v>
      </c>
      <c r="S322" s="83">
        <v>102527</v>
      </c>
      <c r="T322" s="82" t="str">
        <f>REPLACE(INDEX(GroupVertices[Group],MATCH(Edges[[#This Row],[Vertex 1]],GroupVertices[Vertex],0)),1,1,"")</f>
        <v>3</v>
      </c>
      <c r="U322" s="82" t="str">
        <f>REPLACE(INDEX(GroupVertices[Group],MATCH(Edges[[#This Row],[Vertex 2]],GroupVertices[Vertex],0)),1,1,"")</f>
        <v>3</v>
      </c>
      <c r="V322" s="49">
        <v>0</v>
      </c>
      <c r="W322" s="50">
        <v>0</v>
      </c>
      <c r="X322" s="49">
        <v>0</v>
      </c>
      <c r="Y322" s="50">
        <v>0</v>
      </c>
      <c r="Z322" s="49">
        <v>0</v>
      </c>
      <c r="AA322" s="50">
        <v>0</v>
      </c>
      <c r="AB322" s="49">
        <v>5</v>
      </c>
      <c r="AC322" s="50">
        <v>100</v>
      </c>
      <c r="AD322" s="49">
        <v>5</v>
      </c>
    </row>
    <row r="323" spans="1:30" ht="15">
      <c r="A323" s="68" t="s">
        <v>497</v>
      </c>
      <c r="B323" s="68" t="s">
        <v>497</v>
      </c>
      <c r="C323" s="69" t="s">
        <v>1691</v>
      </c>
      <c r="D323" s="70">
        <v>3</v>
      </c>
      <c r="E323" s="71"/>
      <c r="F323" s="72">
        <v>70</v>
      </c>
      <c r="G323" s="69"/>
      <c r="H323" s="73"/>
      <c r="I323" s="74"/>
      <c r="J323" s="74"/>
      <c r="K323" s="35" t="s">
        <v>65</v>
      </c>
      <c r="L323" s="81">
        <v>323</v>
      </c>
      <c r="M323" s="81"/>
      <c r="N323" s="76"/>
      <c r="O323" s="83" t="s">
        <v>520</v>
      </c>
      <c r="P323" s="83">
        <v>1</v>
      </c>
      <c r="Q323" s="83" t="s">
        <v>521</v>
      </c>
      <c r="R323" s="83" t="s">
        <v>739</v>
      </c>
      <c r="S323" s="83">
        <v>102484</v>
      </c>
      <c r="T323" s="82" t="str">
        <f>REPLACE(INDEX(GroupVertices[Group],MATCH(Edges[[#This Row],[Vertex 1]],GroupVertices[Vertex],0)),1,1,"")</f>
        <v>3</v>
      </c>
      <c r="U323" s="82" t="str">
        <f>REPLACE(INDEX(GroupVertices[Group],MATCH(Edges[[#This Row],[Vertex 2]],GroupVertices[Vertex],0)),1,1,"")</f>
        <v>3</v>
      </c>
      <c r="V323" s="49">
        <v>0</v>
      </c>
      <c r="W323" s="50">
        <v>0</v>
      </c>
      <c r="X323" s="49">
        <v>0</v>
      </c>
      <c r="Y323" s="50">
        <v>0</v>
      </c>
      <c r="Z323" s="49">
        <v>0</v>
      </c>
      <c r="AA323" s="50">
        <v>0</v>
      </c>
      <c r="AB323" s="49">
        <v>5</v>
      </c>
      <c r="AC323" s="50">
        <v>100</v>
      </c>
      <c r="AD323" s="49">
        <v>5</v>
      </c>
    </row>
    <row r="324" spans="1:30" ht="15">
      <c r="A324" s="68" t="s">
        <v>498</v>
      </c>
      <c r="B324" s="68" t="s">
        <v>497</v>
      </c>
      <c r="C324" s="69" t="s">
        <v>1691</v>
      </c>
      <c r="D324" s="70">
        <v>3</v>
      </c>
      <c r="E324" s="71"/>
      <c r="F324" s="72">
        <v>70</v>
      </c>
      <c r="G324" s="69"/>
      <c r="H324" s="73"/>
      <c r="I324" s="74"/>
      <c r="J324" s="74"/>
      <c r="K324" s="35" t="s">
        <v>65</v>
      </c>
      <c r="L324" s="81">
        <v>324</v>
      </c>
      <c r="M324" s="81"/>
      <c r="N324" s="76"/>
      <c r="O324" s="83" t="s">
        <v>520</v>
      </c>
      <c r="P324" s="83">
        <v>1</v>
      </c>
      <c r="Q324" s="83" t="s">
        <v>521</v>
      </c>
      <c r="R324" s="83" t="s">
        <v>751</v>
      </c>
      <c r="S324" s="83">
        <v>102492</v>
      </c>
      <c r="T324" s="82" t="str">
        <f>REPLACE(INDEX(GroupVertices[Group],MATCH(Edges[[#This Row],[Vertex 1]],GroupVertices[Vertex],0)),1,1,"")</f>
        <v>3</v>
      </c>
      <c r="U324" s="82" t="str">
        <f>REPLACE(INDEX(GroupVertices[Group],MATCH(Edges[[#This Row],[Vertex 2]],GroupVertices[Vertex],0)),1,1,"")</f>
        <v>3</v>
      </c>
      <c r="V324" s="49">
        <v>0</v>
      </c>
      <c r="W324" s="50">
        <v>0</v>
      </c>
      <c r="X324" s="49">
        <v>0</v>
      </c>
      <c r="Y324" s="50">
        <v>0</v>
      </c>
      <c r="Z324" s="49">
        <v>0</v>
      </c>
      <c r="AA324" s="50">
        <v>0</v>
      </c>
      <c r="AB324" s="49">
        <v>1</v>
      </c>
      <c r="AC324" s="50">
        <v>100</v>
      </c>
      <c r="AD324" s="49">
        <v>1</v>
      </c>
    </row>
    <row r="325" spans="1:30" ht="15">
      <c r="A325" s="68" t="s">
        <v>498</v>
      </c>
      <c r="B325" s="68" t="s">
        <v>328</v>
      </c>
      <c r="C325" s="69" t="s">
        <v>1691</v>
      </c>
      <c r="D325" s="70">
        <v>3</v>
      </c>
      <c r="E325" s="71"/>
      <c r="F325" s="72">
        <v>70</v>
      </c>
      <c r="G325" s="69"/>
      <c r="H325" s="73"/>
      <c r="I325" s="74"/>
      <c r="J325" s="74"/>
      <c r="K325" s="35" t="s">
        <v>65</v>
      </c>
      <c r="L325" s="81">
        <v>325</v>
      </c>
      <c r="M325" s="81"/>
      <c r="N325" s="76"/>
      <c r="O325" s="83" t="s">
        <v>520</v>
      </c>
      <c r="P325" s="83">
        <v>1</v>
      </c>
      <c r="Q325" s="83" t="s">
        <v>521</v>
      </c>
      <c r="R325" s="83" t="s">
        <v>752</v>
      </c>
      <c r="S325" s="83">
        <v>102521</v>
      </c>
      <c r="T325" s="82" t="str">
        <f>REPLACE(INDEX(GroupVertices[Group],MATCH(Edges[[#This Row],[Vertex 1]],GroupVertices[Vertex],0)),1,1,"")</f>
        <v>3</v>
      </c>
      <c r="U325" s="82" t="str">
        <f>REPLACE(INDEX(GroupVertices[Group],MATCH(Edges[[#This Row],[Vertex 2]],GroupVertices[Vertex],0)),1,1,"")</f>
        <v>1</v>
      </c>
      <c r="V325" s="49">
        <v>0</v>
      </c>
      <c r="W325" s="50">
        <v>0</v>
      </c>
      <c r="X325" s="49">
        <v>0</v>
      </c>
      <c r="Y325" s="50">
        <v>0</v>
      </c>
      <c r="Z325" s="49">
        <v>0</v>
      </c>
      <c r="AA325" s="50">
        <v>0</v>
      </c>
      <c r="AB325" s="49">
        <v>17</v>
      </c>
      <c r="AC325" s="50">
        <v>100</v>
      </c>
      <c r="AD325" s="49">
        <v>17</v>
      </c>
    </row>
    <row r="326" spans="1:30" ht="15">
      <c r="A326" s="68" t="s">
        <v>498</v>
      </c>
      <c r="B326" s="68" t="s">
        <v>498</v>
      </c>
      <c r="C326" s="69" t="s">
        <v>1692</v>
      </c>
      <c r="D326" s="70">
        <v>10</v>
      </c>
      <c r="E326" s="71"/>
      <c r="F326" s="72">
        <v>40</v>
      </c>
      <c r="G326" s="69"/>
      <c r="H326" s="73"/>
      <c r="I326" s="74"/>
      <c r="J326" s="74"/>
      <c r="K326" s="35" t="s">
        <v>65</v>
      </c>
      <c r="L326" s="81">
        <v>326</v>
      </c>
      <c r="M326" s="81"/>
      <c r="N326" s="76"/>
      <c r="O326" s="83" t="s">
        <v>520</v>
      </c>
      <c r="P326" s="83">
        <v>3</v>
      </c>
      <c r="Q326" s="83" t="s">
        <v>521</v>
      </c>
      <c r="R326" s="83" t="s">
        <v>753</v>
      </c>
      <c r="S326" s="83">
        <v>102203</v>
      </c>
      <c r="T326" s="82" t="str">
        <f>REPLACE(INDEX(GroupVertices[Group],MATCH(Edges[[#This Row],[Vertex 1]],GroupVertices[Vertex],0)),1,1,"")</f>
        <v>3</v>
      </c>
      <c r="U326" s="82" t="str">
        <f>REPLACE(INDEX(GroupVertices[Group],MATCH(Edges[[#This Row],[Vertex 2]],GroupVertices[Vertex],0)),1,1,"")</f>
        <v>3</v>
      </c>
      <c r="V326" s="49">
        <v>1</v>
      </c>
      <c r="W326" s="50">
        <v>5.2631578947368425</v>
      </c>
      <c r="X326" s="49">
        <v>0</v>
      </c>
      <c r="Y326" s="50">
        <v>0</v>
      </c>
      <c r="Z326" s="49">
        <v>0</v>
      </c>
      <c r="AA326" s="50">
        <v>0</v>
      </c>
      <c r="AB326" s="49">
        <v>18</v>
      </c>
      <c r="AC326" s="50">
        <v>94.73684210526316</v>
      </c>
      <c r="AD326" s="49">
        <v>19</v>
      </c>
    </row>
    <row r="327" spans="1:30" ht="15">
      <c r="A327" s="68" t="s">
        <v>499</v>
      </c>
      <c r="B327" s="68" t="s">
        <v>498</v>
      </c>
      <c r="C327" s="69" t="s">
        <v>1691</v>
      </c>
      <c r="D327" s="70">
        <v>3</v>
      </c>
      <c r="E327" s="71"/>
      <c r="F327" s="72">
        <v>70</v>
      </c>
      <c r="G327" s="69"/>
      <c r="H327" s="73"/>
      <c r="I327" s="74"/>
      <c r="J327" s="74"/>
      <c r="K327" s="35" t="s">
        <v>65</v>
      </c>
      <c r="L327" s="81">
        <v>327</v>
      </c>
      <c r="M327" s="81"/>
      <c r="N327" s="76"/>
      <c r="O327" s="83" t="s">
        <v>520</v>
      </c>
      <c r="P327" s="83">
        <v>1</v>
      </c>
      <c r="Q327" s="83" t="s">
        <v>521</v>
      </c>
      <c r="R327" s="83" t="s">
        <v>754</v>
      </c>
      <c r="S327" s="83">
        <v>69122</v>
      </c>
      <c r="T327" s="82" t="str">
        <f>REPLACE(INDEX(GroupVertices[Group],MATCH(Edges[[#This Row],[Vertex 1]],GroupVertices[Vertex],0)),1,1,"")</f>
        <v>5</v>
      </c>
      <c r="U327" s="82" t="str">
        <f>REPLACE(INDEX(GroupVertices[Group],MATCH(Edges[[#This Row],[Vertex 2]],GroupVertices[Vertex],0)),1,1,"")</f>
        <v>3</v>
      </c>
      <c r="V327" s="49">
        <v>1</v>
      </c>
      <c r="W327" s="50">
        <v>1.0526315789473684</v>
      </c>
      <c r="X327" s="49">
        <v>1</v>
      </c>
      <c r="Y327" s="50">
        <v>1.0526315789473684</v>
      </c>
      <c r="Z327" s="49">
        <v>0</v>
      </c>
      <c r="AA327" s="50">
        <v>0</v>
      </c>
      <c r="AB327" s="49">
        <v>93</v>
      </c>
      <c r="AC327" s="50">
        <v>97.89473684210526</v>
      </c>
      <c r="AD327" s="49">
        <v>95</v>
      </c>
    </row>
    <row r="328" spans="1:30" ht="15">
      <c r="A328" s="68" t="s">
        <v>499</v>
      </c>
      <c r="B328" s="68" t="s">
        <v>500</v>
      </c>
      <c r="C328" s="69" t="s">
        <v>1691</v>
      </c>
      <c r="D328" s="70">
        <v>3</v>
      </c>
      <c r="E328" s="71"/>
      <c r="F328" s="72">
        <v>70</v>
      </c>
      <c r="G328" s="69"/>
      <c r="H328" s="73"/>
      <c r="I328" s="74"/>
      <c r="J328" s="74"/>
      <c r="K328" s="35" t="s">
        <v>66</v>
      </c>
      <c r="L328" s="81">
        <v>328</v>
      </c>
      <c r="M328" s="81"/>
      <c r="N328" s="76"/>
      <c r="O328" s="83" t="s">
        <v>520</v>
      </c>
      <c r="P328" s="83">
        <v>1</v>
      </c>
      <c r="Q328" s="83" t="s">
        <v>521</v>
      </c>
      <c r="R328" s="83" t="s">
        <v>755</v>
      </c>
      <c r="S328" s="83">
        <v>37852</v>
      </c>
      <c r="T328" s="82" t="str">
        <f>REPLACE(INDEX(GroupVertices[Group],MATCH(Edges[[#This Row],[Vertex 1]],GroupVertices[Vertex],0)),1,1,"")</f>
        <v>5</v>
      </c>
      <c r="U328" s="82" t="str">
        <f>REPLACE(INDEX(GroupVertices[Group],MATCH(Edges[[#This Row],[Vertex 2]],GroupVertices[Vertex],0)),1,1,"")</f>
        <v>5</v>
      </c>
      <c r="V328" s="49">
        <v>0</v>
      </c>
      <c r="W328" s="50">
        <v>0</v>
      </c>
      <c r="X328" s="49">
        <v>0</v>
      </c>
      <c r="Y328" s="50">
        <v>0</v>
      </c>
      <c r="Z328" s="49">
        <v>0</v>
      </c>
      <c r="AA328" s="50">
        <v>0</v>
      </c>
      <c r="AB328" s="49">
        <v>11</v>
      </c>
      <c r="AC328" s="50">
        <v>100</v>
      </c>
      <c r="AD328" s="49">
        <v>11</v>
      </c>
    </row>
    <row r="329" spans="1:30" ht="15">
      <c r="A329" s="68" t="s">
        <v>500</v>
      </c>
      <c r="B329" s="68" t="s">
        <v>499</v>
      </c>
      <c r="C329" s="69" t="s">
        <v>1692</v>
      </c>
      <c r="D329" s="70">
        <v>10</v>
      </c>
      <c r="E329" s="71"/>
      <c r="F329" s="72">
        <v>40</v>
      </c>
      <c r="G329" s="69"/>
      <c r="H329" s="73"/>
      <c r="I329" s="74"/>
      <c r="J329" s="74"/>
      <c r="K329" s="35" t="s">
        <v>66</v>
      </c>
      <c r="L329" s="81">
        <v>329</v>
      </c>
      <c r="M329" s="81"/>
      <c r="N329" s="76"/>
      <c r="O329" s="83" t="s">
        <v>520</v>
      </c>
      <c r="P329" s="83">
        <v>2</v>
      </c>
      <c r="Q329" s="83" t="s">
        <v>521</v>
      </c>
      <c r="R329" s="83" t="s">
        <v>756</v>
      </c>
      <c r="S329" s="83">
        <v>38143</v>
      </c>
      <c r="T329" s="82" t="str">
        <f>REPLACE(INDEX(GroupVertices[Group],MATCH(Edges[[#This Row],[Vertex 1]],GroupVertices[Vertex],0)),1,1,"")</f>
        <v>5</v>
      </c>
      <c r="U329" s="82" t="str">
        <f>REPLACE(INDEX(GroupVertices[Group],MATCH(Edges[[#This Row],[Vertex 2]],GroupVertices[Vertex],0)),1,1,"")</f>
        <v>5</v>
      </c>
      <c r="V329" s="49">
        <v>0</v>
      </c>
      <c r="W329" s="50">
        <v>0</v>
      </c>
      <c r="X329" s="49">
        <v>0</v>
      </c>
      <c r="Y329" s="50">
        <v>0</v>
      </c>
      <c r="Z329" s="49">
        <v>0</v>
      </c>
      <c r="AA329" s="50">
        <v>0</v>
      </c>
      <c r="AB329" s="49">
        <v>11</v>
      </c>
      <c r="AC329" s="50">
        <v>100</v>
      </c>
      <c r="AD329" s="49">
        <v>11</v>
      </c>
    </row>
    <row r="330" spans="1:30" ht="15">
      <c r="A330" s="68" t="s">
        <v>500</v>
      </c>
      <c r="B330" s="68" t="s">
        <v>500</v>
      </c>
      <c r="C330" s="69" t="s">
        <v>1692</v>
      </c>
      <c r="D330" s="70">
        <v>10</v>
      </c>
      <c r="E330" s="71"/>
      <c r="F330" s="72">
        <v>40</v>
      </c>
      <c r="G330" s="69"/>
      <c r="H330" s="73"/>
      <c r="I330" s="74"/>
      <c r="J330" s="74"/>
      <c r="K330" s="35" t="s">
        <v>65</v>
      </c>
      <c r="L330" s="81">
        <v>330</v>
      </c>
      <c r="M330" s="81"/>
      <c r="N330" s="76"/>
      <c r="O330" s="83" t="s">
        <v>520</v>
      </c>
      <c r="P330" s="83">
        <v>7</v>
      </c>
      <c r="Q330" s="83" t="s">
        <v>521</v>
      </c>
      <c r="R330" s="83" t="s">
        <v>757</v>
      </c>
      <c r="S330" s="83">
        <v>37442</v>
      </c>
      <c r="T330" s="82" t="str">
        <f>REPLACE(INDEX(GroupVertices[Group],MATCH(Edges[[#This Row],[Vertex 1]],GroupVertices[Vertex],0)),1,1,"")</f>
        <v>5</v>
      </c>
      <c r="U330" s="82" t="str">
        <f>REPLACE(INDEX(GroupVertices[Group],MATCH(Edges[[#This Row],[Vertex 2]],GroupVertices[Vertex],0)),1,1,"")</f>
        <v>5</v>
      </c>
      <c r="V330" s="49">
        <v>0</v>
      </c>
      <c r="W330" s="50">
        <v>0</v>
      </c>
      <c r="X330" s="49">
        <v>0</v>
      </c>
      <c r="Y330" s="50">
        <v>0</v>
      </c>
      <c r="Z330" s="49">
        <v>0</v>
      </c>
      <c r="AA330" s="50">
        <v>0</v>
      </c>
      <c r="AB330" s="49">
        <v>34</v>
      </c>
      <c r="AC330" s="50">
        <v>100</v>
      </c>
      <c r="AD330" s="49">
        <v>34</v>
      </c>
    </row>
    <row r="331" spans="1:30" ht="15">
      <c r="A331" s="68" t="s">
        <v>501</v>
      </c>
      <c r="B331" s="68" t="s">
        <v>500</v>
      </c>
      <c r="C331" s="69" t="s">
        <v>1691</v>
      </c>
      <c r="D331" s="70">
        <v>3</v>
      </c>
      <c r="E331" s="71"/>
      <c r="F331" s="72">
        <v>70</v>
      </c>
      <c r="G331" s="69"/>
      <c r="H331" s="73"/>
      <c r="I331" s="74"/>
      <c r="J331" s="74"/>
      <c r="K331" s="35" t="s">
        <v>65</v>
      </c>
      <c r="L331" s="81">
        <v>331</v>
      </c>
      <c r="M331" s="81"/>
      <c r="N331" s="76"/>
      <c r="O331" s="83" t="s">
        <v>520</v>
      </c>
      <c r="P331" s="83">
        <v>1</v>
      </c>
      <c r="Q331" s="83" t="s">
        <v>521</v>
      </c>
      <c r="R331" s="83" t="s">
        <v>758</v>
      </c>
      <c r="S331" s="83">
        <v>37637</v>
      </c>
      <c r="T331" s="82" t="str">
        <f>REPLACE(INDEX(GroupVertices[Group],MATCH(Edges[[#This Row],[Vertex 1]],GroupVertices[Vertex],0)),1,1,"")</f>
        <v>5</v>
      </c>
      <c r="U331" s="82" t="str">
        <f>REPLACE(INDEX(GroupVertices[Group],MATCH(Edges[[#This Row],[Vertex 2]],GroupVertices[Vertex],0)),1,1,"")</f>
        <v>5</v>
      </c>
      <c r="V331" s="49">
        <v>0</v>
      </c>
      <c r="W331" s="50">
        <v>0</v>
      </c>
      <c r="X331" s="49">
        <v>0</v>
      </c>
      <c r="Y331" s="50">
        <v>0</v>
      </c>
      <c r="Z331" s="49">
        <v>0</v>
      </c>
      <c r="AA331" s="50">
        <v>0</v>
      </c>
      <c r="AB331" s="49">
        <v>5</v>
      </c>
      <c r="AC331" s="50">
        <v>100</v>
      </c>
      <c r="AD331" s="49">
        <v>5</v>
      </c>
    </row>
    <row r="332" spans="1:30" ht="15">
      <c r="A332" s="68" t="s">
        <v>502</v>
      </c>
      <c r="B332" s="68" t="s">
        <v>501</v>
      </c>
      <c r="C332" s="69" t="s">
        <v>1691</v>
      </c>
      <c r="D332" s="70">
        <v>3</v>
      </c>
      <c r="E332" s="71"/>
      <c r="F332" s="72">
        <v>70</v>
      </c>
      <c r="G332" s="69"/>
      <c r="H332" s="73"/>
      <c r="I332" s="74"/>
      <c r="J332" s="74"/>
      <c r="K332" s="35" t="s">
        <v>65</v>
      </c>
      <c r="L332" s="81">
        <v>332</v>
      </c>
      <c r="M332" s="81"/>
      <c r="N332" s="76"/>
      <c r="O332" s="83" t="s">
        <v>520</v>
      </c>
      <c r="P332" s="83">
        <v>1</v>
      </c>
      <c r="Q332" s="83" t="s">
        <v>521</v>
      </c>
      <c r="R332" s="83" t="s">
        <v>759</v>
      </c>
      <c r="S332" s="83">
        <v>37647</v>
      </c>
      <c r="T332" s="82" t="str">
        <f>REPLACE(INDEX(GroupVertices[Group],MATCH(Edges[[#This Row],[Vertex 1]],GroupVertices[Vertex],0)),1,1,"")</f>
        <v>5</v>
      </c>
      <c r="U332" s="82" t="str">
        <f>REPLACE(INDEX(GroupVertices[Group],MATCH(Edges[[#This Row],[Vertex 2]],GroupVertices[Vertex],0)),1,1,"")</f>
        <v>5</v>
      </c>
      <c r="V332" s="49">
        <v>1</v>
      </c>
      <c r="W332" s="50">
        <v>7.142857142857143</v>
      </c>
      <c r="X332" s="49">
        <v>0</v>
      </c>
      <c r="Y332" s="50">
        <v>0</v>
      </c>
      <c r="Z332" s="49">
        <v>0</v>
      </c>
      <c r="AA332" s="50">
        <v>0</v>
      </c>
      <c r="AB332" s="49">
        <v>13</v>
      </c>
      <c r="AC332" s="50">
        <v>92.85714285714286</v>
      </c>
      <c r="AD332" s="49">
        <v>14</v>
      </c>
    </row>
    <row r="333" spans="1:30" ht="15">
      <c r="A333" s="68" t="s">
        <v>503</v>
      </c>
      <c r="B333" s="68" t="s">
        <v>502</v>
      </c>
      <c r="C333" s="69" t="s">
        <v>1691</v>
      </c>
      <c r="D333" s="70">
        <v>3</v>
      </c>
      <c r="E333" s="71"/>
      <c r="F333" s="72">
        <v>70</v>
      </c>
      <c r="G333" s="69"/>
      <c r="H333" s="73"/>
      <c r="I333" s="74"/>
      <c r="J333" s="74"/>
      <c r="K333" s="35" t="s">
        <v>65</v>
      </c>
      <c r="L333" s="81">
        <v>333</v>
      </c>
      <c r="M333" s="81"/>
      <c r="N333" s="76"/>
      <c r="O333" s="83" t="s">
        <v>520</v>
      </c>
      <c r="P333" s="83">
        <v>1</v>
      </c>
      <c r="Q333" s="83" t="s">
        <v>521</v>
      </c>
      <c r="R333" s="83" t="s">
        <v>760</v>
      </c>
      <c r="S333" s="83">
        <v>37851</v>
      </c>
      <c r="T333" s="82" t="str">
        <f>REPLACE(INDEX(GroupVertices[Group],MATCH(Edges[[#This Row],[Vertex 1]],GroupVertices[Vertex],0)),1,1,"")</f>
        <v>5</v>
      </c>
      <c r="U333" s="82" t="str">
        <f>REPLACE(INDEX(GroupVertices[Group],MATCH(Edges[[#This Row],[Vertex 2]],GroupVertices[Vertex],0)),1,1,"")</f>
        <v>5</v>
      </c>
      <c r="V333" s="49">
        <v>0</v>
      </c>
      <c r="W333" s="50">
        <v>0</v>
      </c>
      <c r="X333" s="49">
        <v>0</v>
      </c>
      <c r="Y333" s="50">
        <v>0</v>
      </c>
      <c r="Z333" s="49">
        <v>0</v>
      </c>
      <c r="AA333" s="50">
        <v>0</v>
      </c>
      <c r="AB333" s="49">
        <v>3</v>
      </c>
      <c r="AC333" s="50">
        <v>100</v>
      </c>
      <c r="AD333" s="49">
        <v>3</v>
      </c>
    </row>
    <row r="334" spans="1:30" ht="15">
      <c r="A334" s="68" t="s">
        <v>504</v>
      </c>
      <c r="B334" s="68" t="s">
        <v>503</v>
      </c>
      <c r="C334" s="69" t="s">
        <v>1691</v>
      </c>
      <c r="D334" s="70">
        <v>3</v>
      </c>
      <c r="E334" s="71"/>
      <c r="F334" s="72">
        <v>70</v>
      </c>
      <c r="G334" s="69"/>
      <c r="H334" s="73"/>
      <c r="I334" s="74"/>
      <c r="J334" s="74"/>
      <c r="K334" s="35" t="s">
        <v>65</v>
      </c>
      <c r="L334" s="81">
        <v>334</v>
      </c>
      <c r="M334" s="81"/>
      <c r="N334" s="76"/>
      <c r="O334" s="83" t="s">
        <v>520</v>
      </c>
      <c r="P334" s="83">
        <v>1</v>
      </c>
      <c r="Q334" s="83" t="s">
        <v>521</v>
      </c>
      <c r="R334" s="83" t="s">
        <v>761</v>
      </c>
      <c r="S334" s="83">
        <v>38051</v>
      </c>
      <c r="T334" s="82" t="str">
        <f>REPLACE(INDEX(GroupVertices[Group],MATCH(Edges[[#This Row],[Vertex 1]],GroupVertices[Vertex],0)),1,1,"")</f>
        <v>5</v>
      </c>
      <c r="U334" s="82" t="str">
        <f>REPLACE(INDEX(GroupVertices[Group],MATCH(Edges[[#This Row],[Vertex 2]],GroupVertices[Vertex],0)),1,1,"")</f>
        <v>5</v>
      </c>
      <c r="V334" s="49">
        <v>0</v>
      </c>
      <c r="W334" s="50">
        <v>0</v>
      </c>
      <c r="X334" s="49">
        <v>0</v>
      </c>
      <c r="Y334" s="50">
        <v>0</v>
      </c>
      <c r="Z334" s="49">
        <v>0</v>
      </c>
      <c r="AA334" s="50">
        <v>0</v>
      </c>
      <c r="AB334" s="49">
        <v>8</v>
      </c>
      <c r="AC334" s="50">
        <v>100</v>
      </c>
      <c r="AD334" s="49">
        <v>8</v>
      </c>
    </row>
    <row r="335" spans="1:30" ht="15">
      <c r="A335" s="68" t="s">
        <v>328</v>
      </c>
      <c r="B335" s="68" t="s">
        <v>504</v>
      </c>
      <c r="C335" s="69" t="s">
        <v>1691</v>
      </c>
      <c r="D335" s="70">
        <v>3</v>
      </c>
      <c r="E335" s="71"/>
      <c r="F335" s="72">
        <v>70</v>
      </c>
      <c r="G335" s="69"/>
      <c r="H335" s="73"/>
      <c r="I335" s="74"/>
      <c r="J335" s="74"/>
      <c r="K335" s="35" t="s">
        <v>65</v>
      </c>
      <c r="L335" s="81">
        <v>335</v>
      </c>
      <c r="M335" s="81"/>
      <c r="N335" s="76"/>
      <c r="O335" s="83" t="s">
        <v>520</v>
      </c>
      <c r="P335" s="83">
        <v>1</v>
      </c>
      <c r="Q335" s="83" t="s">
        <v>521</v>
      </c>
      <c r="R335" s="83" t="s">
        <v>762</v>
      </c>
      <c r="S335" s="83">
        <v>38340</v>
      </c>
      <c r="T335" s="82" t="str">
        <f>REPLACE(INDEX(GroupVertices[Group],MATCH(Edges[[#This Row],[Vertex 1]],GroupVertices[Vertex],0)),1,1,"")</f>
        <v>1</v>
      </c>
      <c r="U335" s="82" t="str">
        <f>REPLACE(INDEX(GroupVertices[Group],MATCH(Edges[[#This Row],[Vertex 2]],GroupVertices[Vertex],0)),1,1,"")</f>
        <v>5</v>
      </c>
      <c r="V335" s="49">
        <v>0</v>
      </c>
      <c r="W335" s="50">
        <v>0</v>
      </c>
      <c r="X335" s="49">
        <v>0</v>
      </c>
      <c r="Y335" s="50">
        <v>0</v>
      </c>
      <c r="Z335" s="49">
        <v>0</v>
      </c>
      <c r="AA335" s="50">
        <v>0</v>
      </c>
      <c r="AB335" s="49">
        <v>21</v>
      </c>
      <c r="AC335" s="50">
        <v>100</v>
      </c>
      <c r="AD335" s="49">
        <v>21</v>
      </c>
    </row>
    <row r="336" spans="1:30" ht="15">
      <c r="A336" s="68" t="s">
        <v>505</v>
      </c>
      <c r="B336" s="68" t="s">
        <v>328</v>
      </c>
      <c r="C336" s="69" t="s">
        <v>1691</v>
      </c>
      <c r="D336" s="70">
        <v>3</v>
      </c>
      <c r="E336" s="71"/>
      <c r="F336" s="72">
        <v>70</v>
      </c>
      <c r="G336" s="69"/>
      <c r="H336" s="73"/>
      <c r="I336" s="74"/>
      <c r="J336" s="74"/>
      <c r="K336" s="35" t="s">
        <v>65</v>
      </c>
      <c r="L336" s="81">
        <v>336</v>
      </c>
      <c r="M336" s="81"/>
      <c r="N336" s="76"/>
      <c r="O336" s="83" t="s">
        <v>520</v>
      </c>
      <c r="P336" s="83">
        <v>1</v>
      </c>
      <c r="Q336" s="83" t="s">
        <v>521</v>
      </c>
      <c r="R336" s="83" t="s">
        <v>763</v>
      </c>
      <c r="S336" s="83">
        <v>36836</v>
      </c>
      <c r="T336" s="82" t="str">
        <f>REPLACE(INDEX(GroupVertices[Group],MATCH(Edges[[#This Row],[Vertex 1]],GroupVertices[Vertex],0)),1,1,"")</f>
        <v>5</v>
      </c>
      <c r="U336" s="82" t="str">
        <f>REPLACE(INDEX(GroupVertices[Group],MATCH(Edges[[#This Row],[Vertex 2]],GroupVertices[Vertex],0)),1,1,"")</f>
        <v>1</v>
      </c>
      <c r="V336" s="49">
        <v>0</v>
      </c>
      <c r="W336" s="50">
        <v>0</v>
      </c>
      <c r="X336" s="49">
        <v>0</v>
      </c>
      <c r="Y336" s="50">
        <v>0</v>
      </c>
      <c r="Z336" s="49">
        <v>0</v>
      </c>
      <c r="AA336" s="50">
        <v>0</v>
      </c>
      <c r="AB336" s="49">
        <v>4</v>
      </c>
      <c r="AC336" s="50">
        <v>100</v>
      </c>
      <c r="AD336" s="49">
        <v>4</v>
      </c>
    </row>
    <row r="337" spans="1:30" ht="15">
      <c r="A337" s="68" t="s">
        <v>499</v>
      </c>
      <c r="B337" s="68" t="s">
        <v>328</v>
      </c>
      <c r="C337" s="69" t="s">
        <v>1691</v>
      </c>
      <c r="D337" s="70">
        <v>3</v>
      </c>
      <c r="E337" s="71"/>
      <c r="F337" s="72">
        <v>70</v>
      </c>
      <c r="G337" s="69"/>
      <c r="H337" s="73"/>
      <c r="I337" s="74"/>
      <c r="J337" s="74"/>
      <c r="K337" s="35" t="s">
        <v>65</v>
      </c>
      <c r="L337" s="81">
        <v>337</v>
      </c>
      <c r="M337" s="81"/>
      <c r="N337" s="76"/>
      <c r="O337" s="83" t="s">
        <v>520</v>
      </c>
      <c r="P337" s="83">
        <v>1</v>
      </c>
      <c r="Q337" s="83" t="s">
        <v>521</v>
      </c>
      <c r="R337" s="83" t="s">
        <v>764</v>
      </c>
      <c r="S337" s="83">
        <v>29615</v>
      </c>
      <c r="T337" s="82" t="str">
        <f>REPLACE(INDEX(GroupVertices[Group],MATCH(Edges[[#This Row],[Vertex 1]],GroupVertices[Vertex],0)),1,1,"")</f>
        <v>5</v>
      </c>
      <c r="U337" s="82" t="str">
        <f>REPLACE(INDEX(GroupVertices[Group],MATCH(Edges[[#This Row],[Vertex 2]],GroupVertices[Vertex],0)),1,1,"")</f>
        <v>1</v>
      </c>
      <c r="V337" s="49">
        <v>0</v>
      </c>
      <c r="W337" s="50">
        <v>0</v>
      </c>
      <c r="X337" s="49">
        <v>0</v>
      </c>
      <c r="Y337" s="50">
        <v>0</v>
      </c>
      <c r="Z337" s="49">
        <v>0</v>
      </c>
      <c r="AA337" s="50">
        <v>0</v>
      </c>
      <c r="AB337" s="49">
        <v>11</v>
      </c>
      <c r="AC337" s="50">
        <v>100</v>
      </c>
      <c r="AD337" s="49">
        <v>11</v>
      </c>
    </row>
    <row r="338" spans="1:30" ht="15">
      <c r="A338" s="68" t="s">
        <v>506</v>
      </c>
      <c r="B338" s="68" t="s">
        <v>505</v>
      </c>
      <c r="C338" s="69" t="s">
        <v>1691</v>
      </c>
      <c r="D338" s="70">
        <v>3</v>
      </c>
      <c r="E338" s="71"/>
      <c r="F338" s="72">
        <v>70</v>
      </c>
      <c r="G338" s="69"/>
      <c r="H338" s="73"/>
      <c r="I338" s="74"/>
      <c r="J338" s="74"/>
      <c r="K338" s="35" t="s">
        <v>65</v>
      </c>
      <c r="L338" s="81">
        <v>338</v>
      </c>
      <c r="M338" s="81"/>
      <c r="N338" s="76"/>
      <c r="O338" s="83" t="s">
        <v>520</v>
      </c>
      <c r="P338" s="83">
        <v>1</v>
      </c>
      <c r="Q338" s="83" t="s">
        <v>521</v>
      </c>
      <c r="R338" s="83" t="s">
        <v>765</v>
      </c>
      <c r="S338" s="83">
        <v>58308</v>
      </c>
      <c r="T338" s="82" t="str">
        <f>REPLACE(INDEX(GroupVertices[Group],MATCH(Edges[[#This Row],[Vertex 1]],GroupVertices[Vertex],0)),1,1,"")</f>
        <v>5</v>
      </c>
      <c r="U338" s="82" t="str">
        <f>REPLACE(INDEX(GroupVertices[Group],MATCH(Edges[[#This Row],[Vertex 2]],GroupVertices[Vertex],0)),1,1,"")</f>
        <v>5</v>
      </c>
      <c r="V338" s="49">
        <v>0</v>
      </c>
      <c r="W338" s="50">
        <v>0</v>
      </c>
      <c r="X338" s="49">
        <v>0</v>
      </c>
      <c r="Y338" s="50">
        <v>0</v>
      </c>
      <c r="Z338" s="49">
        <v>0</v>
      </c>
      <c r="AA338" s="50">
        <v>0</v>
      </c>
      <c r="AB338" s="49">
        <v>16</v>
      </c>
      <c r="AC338" s="50">
        <v>100</v>
      </c>
      <c r="AD338" s="49">
        <v>16</v>
      </c>
    </row>
    <row r="339" spans="1:30" ht="15">
      <c r="A339" s="68" t="s">
        <v>507</v>
      </c>
      <c r="B339" s="68" t="s">
        <v>506</v>
      </c>
      <c r="C339" s="69" t="s">
        <v>1691</v>
      </c>
      <c r="D339" s="70">
        <v>3</v>
      </c>
      <c r="E339" s="71"/>
      <c r="F339" s="72">
        <v>70</v>
      </c>
      <c r="G339" s="69"/>
      <c r="H339" s="73"/>
      <c r="I339" s="74"/>
      <c r="J339" s="74"/>
      <c r="K339" s="35" t="s">
        <v>65</v>
      </c>
      <c r="L339" s="81">
        <v>339</v>
      </c>
      <c r="M339" s="81"/>
      <c r="N339" s="76"/>
      <c r="O339" s="83" t="s">
        <v>520</v>
      </c>
      <c r="P339" s="83">
        <v>1</v>
      </c>
      <c r="Q339" s="83" t="s">
        <v>521</v>
      </c>
      <c r="R339" s="83" t="s">
        <v>766</v>
      </c>
      <c r="S339" s="83">
        <v>30413</v>
      </c>
      <c r="T339" s="82" t="str">
        <f>REPLACE(INDEX(GroupVertices[Group],MATCH(Edges[[#This Row],[Vertex 1]],GroupVertices[Vertex],0)),1,1,"")</f>
        <v>5</v>
      </c>
      <c r="U339" s="82" t="str">
        <f>REPLACE(INDEX(GroupVertices[Group],MATCH(Edges[[#This Row],[Vertex 2]],GroupVertices[Vertex],0)),1,1,"")</f>
        <v>5</v>
      </c>
      <c r="V339" s="49">
        <v>0</v>
      </c>
      <c r="W339" s="50">
        <v>0</v>
      </c>
      <c r="X339" s="49">
        <v>0</v>
      </c>
      <c r="Y339" s="50">
        <v>0</v>
      </c>
      <c r="Z339" s="49">
        <v>0</v>
      </c>
      <c r="AA339" s="50">
        <v>0</v>
      </c>
      <c r="AB339" s="49">
        <v>37</v>
      </c>
      <c r="AC339" s="50">
        <v>100</v>
      </c>
      <c r="AD339" s="49">
        <v>37</v>
      </c>
    </row>
    <row r="340" spans="1:30" ht="15">
      <c r="A340" s="68" t="s">
        <v>508</v>
      </c>
      <c r="B340" s="68" t="s">
        <v>507</v>
      </c>
      <c r="C340" s="69" t="s">
        <v>1691</v>
      </c>
      <c r="D340" s="70">
        <v>3</v>
      </c>
      <c r="E340" s="71"/>
      <c r="F340" s="72">
        <v>70</v>
      </c>
      <c r="G340" s="69"/>
      <c r="H340" s="73"/>
      <c r="I340" s="74"/>
      <c r="J340" s="74"/>
      <c r="K340" s="35" t="s">
        <v>65</v>
      </c>
      <c r="L340" s="81">
        <v>340</v>
      </c>
      <c r="M340" s="81"/>
      <c r="N340" s="76"/>
      <c r="O340" s="83" t="s">
        <v>520</v>
      </c>
      <c r="P340" s="83">
        <v>1</v>
      </c>
      <c r="Q340" s="83" t="s">
        <v>521</v>
      </c>
      <c r="R340" s="83" t="s">
        <v>767</v>
      </c>
      <c r="S340" s="83">
        <v>30466</v>
      </c>
      <c r="T340" s="82" t="str">
        <f>REPLACE(INDEX(GroupVertices[Group],MATCH(Edges[[#This Row],[Vertex 1]],GroupVertices[Vertex],0)),1,1,"")</f>
        <v>5</v>
      </c>
      <c r="U340" s="82" t="str">
        <f>REPLACE(INDEX(GroupVertices[Group],MATCH(Edges[[#This Row],[Vertex 2]],GroupVertices[Vertex],0)),1,1,"")</f>
        <v>5</v>
      </c>
      <c r="V340" s="49">
        <v>1</v>
      </c>
      <c r="W340" s="50">
        <v>8.333333333333334</v>
      </c>
      <c r="X340" s="49">
        <v>0</v>
      </c>
      <c r="Y340" s="50">
        <v>0</v>
      </c>
      <c r="Z340" s="49">
        <v>0</v>
      </c>
      <c r="AA340" s="50">
        <v>0</v>
      </c>
      <c r="AB340" s="49">
        <v>11</v>
      </c>
      <c r="AC340" s="50">
        <v>91.66666666666667</v>
      </c>
      <c r="AD340" s="49">
        <v>12</v>
      </c>
    </row>
    <row r="341" spans="1:30" ht="15">
      <c r="A341" s="68" t="s">
        <v>508</v>
      </c>
      <c r="B341" s="68" t="s">
        <v>508</v>
      </c>
      <c r="C341" s="69" t="s">
        <v>1691</v>
      </c>
      <c r="D341" s="70">
        <v>3</v>
      </c>
      <c r="E341" s="71"/>
      <c r="F341" s="72">
        <v>70</v>
      </c>
      <c r="G341" s="69"/>
      <c r="H341" s="73"/>
      <c r="I341" s="74"/>
      <c r="J341" s="74"/>
      <c r="K341" s="35" t="s">
        <v>65</v>
      </c>
      <c r="L341" s="81">
        <v>341</v>
      </c>
      <c r="M341" s="81"/>
      <c r="N341" s="76"/>
      <c r="O341" s="83" t="s">
        <v>520</v>
      </c>
      <c r="P341" s="83">
        <v>1</v>
      </c>
      <c r="Q341" s="83" t="s">
        <v>521</v>
      </c>
      <c r="R341" s="83" t="s">
        <v>767</v>
      </c>
      <c r="S341" s="83">
        <v>30413</v>
      </c>
      <c r="T341" s="82" t="str">
        <f>REPLACE(INDEX(GroupVertices[Group],MATCH(Edges[[#This Row],[Vertex 1]],GroupVertices[Vertex],0)),1,1,"")</f>
        <v>5</v>
      </c>
      <c r="U341" s="82" t="str">
        <f>REPLACE(INDEX(GroupVertices[Group],MATCH(Edges[[#This Row],[Vertex 2]],GroupVertices[Vertex],0)),1,1,"")</f>
        <v>5</v>
      </c>
      <c r="V341" s="49">
        <v>1</v>
      </c>
      <c r="W341" s="50">
        <v>8.333333333333334</v>
      </c>
      <c r="X341" s="49">
        <v>0</v>
      </c>
      <c r="Y341" s="50">
        <v>0</v>
      </c>
      <c r="Z341" s="49">
        <v>0</v>
      </c>
      <c r="AA341" s="50">
        <v>0</v>
      </c>
      <c r="AB341" s="49">
        <v>11</v>
      </c>
      <c r="AC341" s="50">
        <v>91.66666666666667</v>
      </c>
      <c r="AD341" s="49">
        <v>12</v>
      </c>
    </row>
    <row r="342" spans="1:30" ht="15">
      <c r="A342" s="68" t="s">
        <v>509</v>
      </c>
      <c r="B342" s="68" t="s">
        <v>508</v>
      </c>
      <c r="C342" s="69" t="s">
        <v>1691</v>
      </c>
      <c r="D342" s="70">
        <v>3</v>
      </c>
      <c r="E342" s="71"/>
      <c r="F342" s="72">
        <v>70</v>
      </c>
      <c r="G342" s="69"/>
      <c r="H342" s="73"/>
      <c r="I342" s="74"/>
      <c r="J342" s="74"/>
      <c r="K342" s="35" t="s">
        <v>65</v>
      </c>
      <c r="L342" s="81">
        <v>342</v>
      </c>
      <c r="M342" s="81"/>
      <c r="N342" s="76"/>
      <c r="O342" s="83" t="s">
        <v>520</v>
      </c>
      <c r="P342" s="83">
        <v>1</v>
      </c>
      <c r="Q342" s="83" t="s">
        <v>521</v>
      </c>
      <c r="R342" s="83" t="s">
        <v>767</v>
      </c>
      <c r="S342" s="83">
        <v>30458</v>
      </c>
      <c r="T342" s="82" t="str">
        <f>REPLACE(INDEX(GroupVertices[Group],MATCH(Edges[[#This Row],[Vertex 1]],GroupVertices[Vertex],0)),1,1,"")</f>
        <v>5</v>
      </c>
      <c r="U342" s="82" t="str">
        <f>REPLACE(INDEX(GroupVertices[Group],MATCH(Edges[[#This Row],[Vertex 2]],GroupVertices[Vertex],0)),1,1,"")</f>
        <v>5</v>
      </c>
      <c r="V342" s="49">
        <v>1</v>
      </c>
      <c r="W342" s="50">
        <v>8.333333333333334</v>
      </c>
      <c r="X342" s="49">
        <v>0</v>
      </c>
      <c r="Y342" s="50">
        <v>0</v>
      </c>
      <c r="Z342" s="49">
        <v>0</v>
      </c>
      <c r="AA342" s="50">
        <v>0</v>
      </c>
      <c r="AB342" s="49">
        <v>11</v>
      </c>
      <c r="AC342" s="50">
        <v>91.66666666666667</v>
      </c>
      <c r="AD342" s="49">
        <v>12</v>
      </c>
    </row>
    <row r="343" spans="1:30" ht="15">
      <c r="A343" s="68" t="s">
        <v>509</v>
      </c>
      <c r="B343" s="68" t="s">
        <v>509</v>
      </c>
      <c r="C343" s="69" t="s">
        <v>1691</v>
      </c>
      <c r="D343" s="70">
        <v>3</v>
      </c>
      <c r="E343" s="71"/>
      <c r="F343" s="72">
        <v>70</v>
      </c>
      <c r="G343" s="69"/>
      <c r="H343" s="73"/>
      <c r="I343" s="74"/>
      <c r="J343" s="74"/>
      <c r="K343" s="35" t="s">
        <v>65</v>
      </c>
      <c r="L343" s="81">
        <v>343</v>
      </c>
      <c r="M343" s="81"/>
      <c r="N343" s="76"/>
      <c r="O343" s="83" t="s">
        <v>520</v>
      </c>
      <c r="P343" s="83">
        <v>1</v>
      </c>
      <c r="Q343" s="83" t="s">
        <v>521</v>
      </c>
      <c r="R343" s="83" t="s">
        <v>767</v>
      </c>
      <c r="S343" s="83">
        <v>30413</v>
      </c>
      <c r="T343" s="82" t="str">
        <f>REPLACE(INDEX(GroupVertices[Group],MATCH(Edges[[#This Row],[Vertex 1]],GroupVertices[Vertex],0)),1,1,"")</f>
        <v>5</v>
      </c>
      <c r="U343" s="82" t="str">
        <f>REPLACE(INDEX(GroupVertices[Group],MATCH(Edges[[#This Row],[Vertex 2]],GroupVertices[Vertex],0)),1,1,"")</f>
        <v>5</v>
      </c>
      <c r="V343" s="49">
        <v>1</v>
      </c>
      <c r="W343" s="50">
        <v>8.333333333333334</v>
      </c>
      <c r="X343" s="49">
        <v>0</v>
      </c>
      <c r="Y343" s="50">
        <v>0</v>
      </c>
      <c r="Z343" s="49">
        <v>0</v>
      </c>
      <c r="AA343" s="50">
        <v>0</v>
      </c>
      <c r="AB343" s="49">
        <v>11</v>
      </c>
      <c r="AC343" s="50">
        <v>91.66666666666667</v>
      </c>
      <c r="AD343" s="49">
        <v>12</v>
      </c>
    </row>
    <row r="344" spans="1:30" ht="15">
      <c r="A344" s="68" t="s">
        <v>510</v>
      </c>
      <c r="B344" s="68" t="s">
        <v>509</v>
      </c>
      <c r="C344" s="69" t="s">
        <v>1691</v>
      </c>
      <c r="D344" s="70">
        <v>3</v>
      </c>
      <c r="E344" s="71"/>
      <c r="F344" s="72">
        <v>70</v>
      </c>
      <c r="G344" s="69"/>
      <c r="H344" s="73"/>
      <c r="I344" s="74"/>
      <c r="J344" s="74"/>
      <c r="K344" s="35" t="s">
        <v>65</v>
      </c>
      <c r="L344" s="81">
        <v>344</v>
      </c>
      <c r="M344" s="81"/>
      <c r="N344" s="76"/>
      <c r="O344" s="83" t="s">
        <v>520</v>
      </c>
      <c r="P344" s="83">
        <v>1</v>
      </c>
      <c r="Q344" s="83" t="s">
        <v>521</v>
      </c>
      <c r="R344" s="83" t="s">
        <v>767</v>
      </c>
      <c r="S344" s="83">
        <v>30162</v>
      </c>
      <c r="T344" s="82" t="str">
        <f>REPLACE(INDEX(GroupVertices[Group],MATCH(Edges[[#This Row],[Vertex 1]],GroupVertices[Vertex],0)),1,1,"")</f>
        <v>5</v>
      </c>
      <c r="U344" s="82" t="str">
        <f>REPLACE(INDEX(GroupVertices[Group],MATCH(Edges[[#This Row],[Vertex 2]],GroupVertices[Vertex],0)),1,1,"")</f>
        <v>5</v>
      </c>
      <c r="V344" s="49">
        <v>1</v>
      </c>
      <c r="W344" s="50">
        <v>8.333333333333334</v>
      </c>
      <c r="X344" s="49">
        <v>0</v>
      </c>
      <c r="Y344" s="50">
        <v>0</v>
      </c>
      <c r="Z344" s="49">
        <v>0</v>
      </c>
      <c r="AA344" s="50">
        <v>0</v>
      </c>
      <c r="AB344" s="49">
        <v>11</v>
      </c>
      <c r="AC344" s="50">
        <v>91.66666666666667</v>
      </c>
      <c r="AD344" s="49">
        <v>12</v>
      </c>
    </row>
    <row r="345" spans="1:30" ht="15">
      <c r="A345" s="68" t="s">
        <v>510</v>
      </c>
      <c r="B345" s="68" t="s">
        <v>499</v>
      </c>
      <c r="C345" s="69" t="s">
        <v>1691</v>
      </c>
      <c r="D345" s="70">
        <v>3</v>
      </c>
      <c r="E345" s="71"/>
      <c r="F345" s="72">
        <v>70</v>
      </c>
      <c r="G345" s="69"/>
      <c r="H345" s="73"/>
      <c r="I345" s="74"/>
      <c r="J345" s="74"/>
      <c r="K345" s="35" t="s">
        <v>65</v>
      </c>
      <c r="L345" s="81">
        <v>345</v>
      </c>
      <c r="M345" s="81"/>
      <c r="N345" s="76"/>
      <c r="O345" s="83" t="s">
        <v>520</v>
      </c>
      <c r="P345" s="83">
        <v>1</v>
      </c>
      <c r="Q345" s="83" t="s">
        <v>521</v>
      </c>
      <c r="R345" s="83" t="s">
        <v>767</v>
      </c>
      <c r="S345" s="83">
        <v>29867</v>
      </c>
      <c r="T345" s="82" t="str">
        <f>REPLACE(INDEX(GroupVertices[Group],MATCH(Edges[[#This Row],[Vertex 1]],GroupVertices[Vertex],0)),1,1,"")</f>
        <v>5</v>
      </c>
      <c r="U345" s="82" t="str">
        <f>REPLACE(INDEX(GroupVertices[Group],MATCH(Edges[[#This Row],[Vertex 2]],GroupVertices[Vertex],0)),1,1,"")</f>
        <v>5</v>
      </c>
      <c r="V345" s="49">
        <v>1</v>
      </c>
      <c r="W345" s="50">
        <v>8.333333333333334</v>
      </c>
      <c r="X345" s="49">
        <v>0</v>
      </c>
      <c r="Y345" s="50">
        <v>0</v>
      </c>
      <c r="Z345" s="49">
        <v>0</v>
      </c>
      <c r="AA345" s="50">
        <v>0</v>
      </c>
      <c r="AB345" s="49">
        <v>11</v>
      </c>
      <c r="AC345" s="50">
        <v>91.66666666666667</v>
      </c>
      <c r="AD345" s="49">
        <v>12</v>
      </c>
    </row>
    <row r="346" spans="1:30" ht="15">
      <c r="A346" s="68" t="s">
        <v>505</v>
      </c>
      <c r="B346" s="68" t="s">
        <v>510</v>
      </c>
      <c r="C346" s="69" t="s">
        <v>1691</v>
      </c>
      <c r="D346" s="70">
        <v>3</v>
      </c>
      <c r="E346" s="71"/>
      <c r="F346" s="72">
        <v>70</v>
      </c>
      <c r="G346" s="69"/>
      <c r="H346" s="73"/>
      <c r="I346" s="74"/>
      <c r="J346" s="74"/>
      <c r="K346" s="35" t="s">
        <v>65</v>
      </c>
      <c r="L346" s="81">
        <v>346</v>
      </c>
      <c r="M346" s="81"/>
      <c r="N346" s="76"/>
      <c r="O346" s="83" t="s">
        <v>520</v>
      </c>
      <c r="P346" s="83">
        <v>1</v>
      </c>
      <c r="Q346" s="83" t="s">
        <v>521</v>
      </c>
      <c r="R346" s="83" t="s">
        <v>768</v>
      </c>
      <c r="S346" s="83">
        <v>30413</v>
      </c>
      <c r="T346" s="82" t="str">
        <f>REPLACE(INDEX(GroupVertices[Group],MATCH(Edges[[#This Row],[Vertex 1]],GroupVertices[Vertex],0)),1,1,"")</f>
        <v>5</v>
      </c>
      <c r="U346" s="82" t="str">
        <f>REPLACE(INDEX(GroupVertices[Group],MATCH(Edges[[#This Row],[Vertex 2]],GroupVertices[Vertex],0)),1,1,"")</f>
        <v>5</v>
      </c>
      <c r="V346" s="49">
        <v>0</v>
      </c>
      <c r="W346" s="50">
        <v>0</v>
      </c>
      <c r="X346" s="49">
        <v>0</v>
      </c>
      <c r="Y346" s="50">
        <v>0</v>
      </c>
      <c r="Z346" s="49">
        <v>0</v>
      </c>
      <c r="AA346" s="50">
        <v>0</v>
      </c>
      <c r="AB346" s="49">
        <v>6</v>
      </c>
      <c r="AC346" s="50">
        <v>100</v>
      </c>
      <c r="AD346" s="49">
        <v>6</v>
      </c>
    </row>
    <row r="347" spans="1:30" ht="15">
      <c r="A347" s="68" t="s">
        <v>511</v>
      </c>
      <c r="B347" s="68" t="s">
        <v>510</v>
      </c>
      <c r="C347" s="69" t="s">
        <v>1691</v>
      </c>
      <c r="D347" s="70">
        <v>3</v>
      </c>
      <c r="E347" s="71"/>
      <c r="F347" s="72">
        <v>70</v>
      </c>
      <c r="G347" s="69"/>
      <c r="H347" s="73"/>
      <c r="I347" s="74"/>
      <c r="J347" s="74"/>
      <c r="K347" s="35" t="s">
        <v>65</v>
      </c>
      <c r="L347" s="81">
        <v>347</v>
      </c>
      <c r="M347" s="81"/>
      <c r="N347" s="76"/>
      <c r="O347" s="83" t="s">
        <v>520</v>
      </c>
      <c r="P347" s="83">
        <v>1</v>
      </c>
      <c r="Q347" s="83" t="s">
        <v>521</v>
      </c>
      <c r="R347" s="83" t="s">
        <v>769</v>
      </c>
      <c r="S347" s="83">
        <v>30392</v>
      </c>
      <c r="T347" s="82" t="str">
        <f>REPLACE(INDEX(GroupVertices[Group],MATCH(Edges[[#This Row],[Vertex 1]],GroupVertices[Vertex],0)),1,1,"")</f>
        <v>5</v>
      </c>
      <c r="U347" s="82" t="str">
        <f>REPLACE(INDEX(GroupVertices[Group],MATCH(Edges[[#This Row],[Vertex 2]],GroupVertices[Vertex],0)),1,1,"")</f>
        <v>5</v>
      </c>
      <c r="V347" s="49">
        <v>0</v>
      </c>
      <c r="W347" s="50">
        <v>0</v>
      </c>
      <c r="X347" s="49">
        <v>0</v>
      </c>
      <c r="Y347" s="50">
        <v>0</v>
      </c>
      <c r="Z347" s="49">
        <v>0</v>
      </c>
      <c r="AA347" s="50">
        <v>0</v>
      </c>
      <c r="AB347" s="49">
        <v>15</v>
      </c>
      <c r="AC347" s="50">
        <v>100</v>
      </c>
      <c r="AD347" s="49">
        <v>15</v>
      </c>
    </row>
    <row r="348" spans="1:30" ht="15">
      <c r="A348" s="68" t="s">
        <v>512</v>
      </c>
      <c r="B348" s="68" t="s">
        <v>511</v>
      </c>
      <c r="C348" s="69" t="s">
        <v>1691</v>
      </c>
      <c r="D348" s="70">
        <v>3</v>
      </c>
      <c r="E348" s="71"/>
      <c r="F348" s="72">
        <v>70</v>
      </c>
      <c r="G348" s="69"/>
      <c r="H348" s="73"/>
      <c r="I348" s="74"/>
      <c r="J348" s="74"/>
      <c r="K348" s="35" t="s">
        <v>65</v>
      </c>
      <c r="L348" s="81">
        <v>348</v>
      </c>
      <c r="M348" s="81"/>
      <c r="N348" s="76"/>
      <c r="O348" s="83" t="s">
        <v>520</v>
      </c>
      <c r="P348" s="83">
        <v>1</v>
      </c>
      <c r="Q348" s="83" t="s">
        <v>521</v>
      </c>
      <c r="R348" s="83" t="s">
        <v>769</v>
      </c>
      <c r="S348" s="83">
        <v>30430</v>
      </c>
      <c r="T348" s="82" t="str">
        <f>REPLACE(INDEX(GroupVertices[Group],MATCH(Edges[[#This Row],[Vertex 1]],GroupVertices[Vertex],0)),1,1,"")</f>
        <v>5</v>
      </c>
      <c r="U348" s="82" t="str">
        <f>REPLACE(INDEX(GroupVertices[Group],MATCH(Edges[[#This Row],[Vertex 2]],GroupVertices[Vertex],0)),1,1,"")</f>
        <v>5</v>
      </c>
      <c r="V348" s="49">
        <v>0</v>
      </c>
      <c r="W348" s="50">
        <v>0</v>
      </c>
      <c r="X348" s="49">
        <v>0</v>
      </c>
      <c r="Y348" s="50">
        <v>0</v>
      </c>
      <c r="Z348" s="49">
        <v>0</v>
      </c>
      <c r="AA348" s="50">
        <v>0</v>
      </c>
      <c r="AB348" s="49">
        <v>15</v>
      </c>
      <c r="AC348" s="50">
        <v>100</v>
      </c>
      <c r="AD348" s="49">
        <v>15</v>
      </c>
    </row>
    <row r="349" spans="1:30" ht="15">
      <c r="A349" s="68" t="s">
        <v>512</v>
      </c>
      <c r="B349" s="68" t="s">
        <v>512</v>
      </c>
      <c r="C349" s="69" t="s">
        <v>1691</v>
      </c>
      <c r="D349" s="70">
        <v>3</v>
      </c>
      <c r="E349" s="71"/>
      <c r="F349" s="72">
        <v>70</v>
      </c>
      <c r="G349" s="69"/>
      <c r="H349" s="73"/>
      <c r="I349" s="74"/>
      <c r="J349" s="74"/>
      <c r="K349" s="35" t="s">
        <v>65</v>
      </c>
      <c r="L349" s="81">
        <v>349</v>
      </c>
      <c r="M349" s="81"/>
      <c r="N349" s="76"/>
      <c r="O349" s="83" t="s">
        <v>520</v>
      </c>
      <c r="P349" s="83">
        <v>1</v>
      </c>
      <c r="Q349" s="83" t="s">
        <v>521</v>
      </c>
      <c r="R349" s="83" t="s">
        <v>769</v>
      </c>
      <c r="S349" s="83">
        <v>30392</v>
      </c>
      <c r="T349" s="82" t="str">
        <f>REPLACE(INDEX(GroupVertices[Group],MATCH(Edges[[#This Row],[Vertex 1]],GroupVertices[Vertex],0)),1,1,"")</f>
        <v>5</v>
      </c>
      <c r="U349" s="82" t="str">
        <f>REPLACE(INDEX(GroupVertices[Group],MATCH(Edges[[#This Row],[Vertex 2]],GroupVertices[Vertex],0)),1,1,"")</f>
        <v>5</v>
      </c>
      <c r="V349" s="49">
        <v>0</v>
      </c>
      <c r="W349" s="50">
        <v>0</v>
      </c>
      <c r="X349" s="49">
        <v>0</v>
      </c>
      <c r="Y349" s="50">
        <v>0</v>
      </c>
      <c r="Z349" s="49">
        <v>0</v>
      </c>
      <c r="AA349" s="50">
        <v>0</v>
      </c>
      <c r="AB349" s="49">
        <v>15</v>
      </c>
      <c r="AC349" s="50">
        <v>100</v>
      </c>
      <c r="AD349" s="49">
        <v>15</v>
      </c>
    </row>
    <row r="350" spans="1:30" ht="15">
      <c r="A350" s="68" t="s">
        <v>513</v>
      </c>
      <c r="B350" s="68" t="s">
        <v>512</v>
      </c>
      <c r="C350" s="69" t="s">
        <v>1691</v>
      </c>
      <c r="D350" s="70">
        <v>3</v>
      </c>
      <c r="E350" s="71"/>
      <c r="F350" s="72">
        <v>70</v>
      </c>
      <c r="G350" s="69"/>
      <c r="H350" s="73"/>
      <c r="I350" s="74"/>
      <c r="J350" s="74"/>
      <c r="K350" s="35" t="s">
        <v>65</v>
      </c>
      <c r="L350" s="81">
        <v>350</v>
      </c>
      <c r="M350" s="81"/>
      <c r="N350" s="76"/>
      <c r="O350" s="83" t="s">
        <v>520</v>
      </c>
      <c r="P350" s="83">
        <v>1</v>
      </c>
      <c r="Q350" s="83" t="s">
        <v>521</v>
      </c>
      <c r="R350" s="83" t="s">
        <v>769</v>
      </c>
      <c r="S350" s="83">
        <v>30431</v>
      </c>
      <c r="T350" s="82" t="str">
        <f>REPLACE(INDEX(GroupVertices[Group],MATCH(Edges[[#This Row],[Vertex 1]],GroupVertices[Vertex],0)),1,1,"")</f>
        <v>5</v>
      </c>
      <c r="U350" s="82" t="str">
        <f>REPLACE(INDEX(GroupVertices[Group],MATCH(Edges[[#This Row],[Vertex 2]],GroupVertices[Vertex],0)),1,1,"")</f>
        <v>5</v>
      </c>
      <c r="V350" s="49">
        <v>0</v>
      </c>
      <c r="W350" s="50">
        <v>0</v>
      </c>
      <c r="X350" s="49">
        <v>0</v>
      </c>
      <c r="Y350" s="50">
        <v>0</v>
      </c>
      <c r="Z350" s="49">
        <v>0</v>
      </c>
      <c r="AA350" s="50">
        <v>0</v>
      </c>
      <c r="AB350" s="49">
        <v>15</v>
      </c>
      <c r="AC350" s="50">
        <v>100</v>
      </c>
      <c r="AD350" s="49">
        <v>15</v>
      </c>
    </row>
    <row r="351" spans="1:30" ht="15">
      <c r="A351" s="68" t="s">
        <v>511</v>
      </c>
      <c r="B351" s="68" t="s">
        <v>513</v>
      </c>
      <c r="C351" s="69" t="s">
        <v>1691</v>
      </c>
      <c r="D351" s="70">
        <v>3</v>
      </c>
      <c r="E351" s="71"/>
      <c r="F351" s="72">
        <v>70</v>
      </c>
      <c r="G351" s="69"/>
      <c r="H351" s="73"/>
      <c r="I351" s="74"/>
      <c r="J351" s="74"/>
      <c r="K351" s="35" t="s">
        <v>65</v>
      </c>
      <c r="L351" s="81">
        <v>351</v>
      </c>
      <c r="M351" s="81"/>
      <c r="N351" s="76"/>
      <c r="O351" s="83" t="s">
        <v>520</v>
      </c>
      <c r="P351" s="83">
        <v>1</v>
      </c>
      <c r="Q351" s="83" t="s">
        <v>521</v>
      </c>
      <c r="R351" s="83" t="s">
        <v>769</v>
      </c>
      <c r="S351" s="83">
        <v>30388</v>
      </c>
      <c r="T351" s="82" t="str">
        <f>REPLACE(INDEX(GroupVertices[Group],MATCH(Edges[[#This Row],[Vertex 1]],GroupVertices[Vertex],0)),1,1,"")</f>
        <v>5</v>
      </c>
      <c r="U351" s="82" t="str">
        <f>REPLACE(INDEX(GroupVertices[Group],MATCH(Edges[[#This Row],[Vertex 2]],GroupVertices[Vertex],0)),1,1,"")</f>
        <v>5</v>
      </c>
      <c r="V351" s="49">
        <v>0</v>
      </c>
      <c r="W351" s="50">
        <v>0</v>
      </c>
      <c r="X351" s="49">
        <v>0</v>
      </c>
      <c r="Y351" s="50">
        <v>0</v>
      </c>
      <c r="Z351" s="49">
        <v>0</v>
      </c>
      <c r="AA351" s="50">
        <v>0</v>
      </c>
      <c r="AB351" s="49">
        <v>15</v>
      </c>
      <c r="AC351" s="50">
        <v>100</v>
      </c>
      <c r="AD351" s="49">
        <v>15</v>
      </c>
    </row>
    <row r="352" spans="1:30" ht="15">
      <c r="A352" s="68" t="s">
        <v>514</v>
      </c>
      <c r="B352" s="68" t="s">
        <v>511</v>
      </c>
      <c r="C352" s="69" t="s">
        <v>1691</v>
      </c>
      <c r="D352" s="70">
        <v>3</v>
      </c>
      <c r="E352" s="71"/>
      <c r="F352" s="72">
        <v>70</v>
      </c>
      <c r="G352" s="69"/>
      <c r="H352" s="73"/>
      <c r="I352" s="74"/>
      <c r="J352" s="74"/>
      <c r="K352" s="35" t="s">
        <v>65</v>
      </c>
      <c r="L352" s="81">
        <v>352</v>
      </c>
      <c r="M352" s="81"/>
      <c r="N352" s="76"/>
      <c r="O352" s="83" t="s">
        <v>520</v>
      </c>
      <c r="P352" s="83">
        <v>1</v>
      </c>
      <c r="Q352" s="83" t="s">
        <v>521</v>
      </c>
      <c r="R352" s="83" t="s">
        <v>770</v>
      </c>
      <c r="S352" s="83">
        <v>30871</v>
      </c>
      <c r="T352" s="82" t="str">
        <f>REPLACE(INDEX(GroupVertices[Group],MATCH(Edges[[#This Row],[Vertex 1]],GroupVertices[Vertex],0)),1,1,"")</f>
        <v>5</v>
      </c>
      <c r="U352" s="82" t="str">
        <f>REPLACE(INDEX(GroupVertices[Group],MATCH(Edges[[#This Row],[Vertex 2]],GroupVertices[Vertex],0)),1,1,"")</f>
        <v>5</v>
      </c>
      <c r="V352" s="49">
        <v>0</v>
      </c>
      <c r="W352" s="50">
        <v>0</v>
      </c>
      <c r="X352" s="49">
        <v>0</v>
      </c>
      <c r="Y352" s="50">
        <v>0</v>
      </c>
      <c r="Z352" s="49">
        <v>0</v>
      </c>
      <c r="AA352" s="50">
        <v>0</v>
      </c>
      <c r="AB352" s="49">
        <v>7</v>
      </c>
      <c r="AC352" s="50">
        <v>100</v>
      </c>
      <c r="AD352" s="49">
        <v>7</v>
      </c>
    </row>
    <row r="353" spans="1:30" ht="15">
      <c r="A353" s="68" t="s">
        <v>515</v>
      </c>
      <c r="B353" s="68" t="s">
        <v>514</v>
      </c>
      <c r="C353" s="69" t="s">
        <v>1691</v>
      </c>
      <c r="D353" s="70">
        <v>3</v>
      </c>
      <c r="E353" s="71"/>
      <c r="F353" s="72">
        <v>70</v>
      </c>
      <c r="G353" s="69"/>
      <c r="H353" s="73"/>
      <c r="I353" s="74"/>
      <c r="J353" s="74"/>
      <c r="K353" s="35" t="s">
        <v>65</v>
      </c>
      <c r="L353" s="81">
        <v>353</v>
      </c>
      <c r="M353" s="81"/>
      <c r="N353" s="76"/>
      <c r="O353" s="83" t="s">
        <v>520</v>
      </c>
      <c r="P353" s="83">
        <v>1</v>
      </c>
      <c r="Q353" s="83" t="s">
        <v>521</v>
      </c>
      <c r="R353" s="83" t="s">
        <v>771</v>
      </c>
      <c r="S353" s="83">
        <v>31437</v>
      </c>
      <c r="T353" s="82" t="str">
        <f>REPLACE(INDEX(GroupVertices[Group],MATCH(Edges[[#This Row],[Vertex 1]],GroupVertices[Vertex],0)),1,1,"")</f>
        <v>5</v>
      </c>
      <c r="U353" s="82" t="str">
        <f>REPLACE(INDEX(GroupVertices[Group],MATCH(Edges[[#This Row],[Vertex 2]],GroupVertices[Vertex],0)),1,1,"")</f>
        <v>5</v>
      </c>
      <c r="V353" s="49">
        <v>0</v>
      </c>
      <c r="W353" s="50">
        <v>0</v>
      </c>
      <c r="X353" s="49">
        <v>0</v>
      </c>
      <c r="Y353" s="50">
        <v>0</v>
      </c>
      <c r="Z353" s="49">
        <v>0</v>
      </c>
      <c r="AA353" s="50">
        <v>0</v>
      </c>
      <c r="AB353" s="49">
        <v>6</v>
      </c>
      <c r="AC353" s="50">
        <v>100</v>
      </c>
      <c r="AD353" s="49">
        <v>6</v>
      </c>
    </row>
    <row r="354" spans="1:30" ht="15">
      <c r="A354" s="68" t="s">
        <v>515</v>
      </c>
      <c r="B354" s="68" t="s">
        <v>515</v>
      </c>
      <c r="C354" s="69" t="s">
        <v>1692</v>
      </c>
      <c r="D354" s="70">
        <v>10</v>
      </c>
      <c r="E354" s="71"/>
      <c r="F354" s="72">
        <v>40</v>
      </c>
      <c r="G354" s="69"/>
      <c r="H354" s="73"/>
      <c r="I354" s="74"/>
      <c r="J354" s="74"/>
      <c r="K354" s="35" t="s">
        <v>65</v>
      </c>
      <c r="L354" s="81">
        <v>354</v>
      </c>
      <c r="M354" s="81"/>
      <c r="N354" s="76"/>
      <c r="O354" s="83" t="s">
        <v>520</v>
      </c>
      <c r="P354" s="83">
        <v>2</v>
      </c>
      <c r="Q354" s="83" t="s">
        <v>521</v>
      </c>
      <c r="R354" s="83" t="s">
        <v>772</v>
      </c>
      <c r="S354" s="83">
        <v>30871</v>
      </c>
      <c r="T354" s="82" t="str">
        <f>REPLACE(INDEX(GroupVertices[Group],MATCH(Edges[[#This Row],[Vertex 1]],GroupVertices[Vertex],0)),1,1,"")</f>
        <v>5</v>
      </c>
      <c r="U354" s="82" t="str">
        <f>REPLACE(INDEX(GroupVertices[Group],MATCH(Edges[[#This Row],[Vertex 2]],GroupVertices[Vertex],0)),1,1,"")</f>
        <v>5</v>
      </c>
      <c r="V354" s="49">
        <v>0</v>
      </c>
      <c r="W354" s="50">
        <v>0</v>
      </c>
      <c r="X354" s="49">
        <v>0</v>
      </c>
      <c r="Y354" s="50">
        <v>0</v>
      </c>
      <c r="Z354" s="49">
        <v>0</v>
      </c>
      <c r="AA354" s="50">
        <v>0</v>
      </c>
      <c r="AB354" s="49">
        <v>4</v>
      </c>
      <c r="AC354" s="50">
        <v>100</v>
      </c>
      <c r="AD354" s="49">
        <v>4</v>
      </c>
    </row>
    <row r="355" spans="1:30" ht="15">
      <c r="A355" s="68" t="s">
        <v>516</v>
      </c>
      <c r="B355" s="68" t="s">
        <v>515</v>
      </c>
      <c r="C355" s="69" t="s">
        <v>1691</v>
      </c>
      <c r="D355" s="70">
        <v>3</v>
      </c>
      <c r="E355" s="71"/>
      <c r="F355" s="72">
        <v>70</v>
      </c>
      <c r="G355" s="69"/>
      <c r="H355" s="73"/>
      <c r="I355" s="74"/>
      <c r="J355" s="74"/>
      <c r="K355" s="35" t="s">
        <v>65</v>
      </c>
      <c r="L355" s="81">
        <v>355</v>
      </c>
      <c r="M355" s="81"/>
      <c r="N355" s="76"/>
      <c r="O355" s="83" t="s">
        <v>520</v>
      </c>
      <c r="P355" s="83">
        <v>1</v>
      </c>
      <c r="Q355" s="83" t="s">
        <v>521</v>
      </c>
      <c r="R355" s="83" t="s">
        <v>773</v>
      </c>
      <c r="S355" s="83">
        <v>31225</v>
      </c>
      <c r="T355" s="82" t="str">
        <f>REPLACE(INDEX(GroupVertices[Group],MATCH(Edges[[#This Row],[Vertex 1]],GroupVertices[Vertex],0)),1,1,"")</f>
        <v>5</v>
      </c>
      <c r="U355" s="82" t="str">
        <f>REPLACE(INDEX(GroupVertices[Group],MATCH(Edges[[#This Row],[Vertex 2]],GroupVertices[Vertex],0)),1,1,"")</f>
        <v>5</v>
      </c>
      <c r="V355" s="49">
        <v>0</v>
      </c>
      <c r="W355" s="50">
        <v>0</v>
      </c>
      <c r="X355" s="49">
        <v>0</v>
      </c>
      <c r="Y355" s="50">
        <v>0</v>
      </c>
      <c r="Z355" s="49">
        <v>0</v>
      </c>
      <c r="AA355" s="50">
        <v>0</v>
      </c>
      <c r="AB355" s="49">
        <v>4</v>
      </c>
      <c r="AC355" s="50">
        <v>100</v>
      </c>
      <c r="AD355" s="49">
        <v>4</v>
      </c>
    </row>
    <row r="356" spans="1:30" ht="15">
      <c r="A356" s="68" t="s">
        <v>516</v>
      </c>
      <c r="B356" s="68" t="s">
        <v>516</v>
      </c>
      <c r="C356" s="69" t="s">
        <v>1691</v>
      </c>
      <c r="D356" s="70">
        <v>3</v>
      </c>
      <c r="E356" s="71"/>
      <c r="F356" s="72">
        <v>70</v>
      </c>
      <c r="G356" s="69"/>
      <c r="H356" s="73"/>
      <c r="I356" s="74"/>
      <c r="J356" s="74"/>
      <c r="K356" s="35" t="s">
        <v>65</v>
      </c>
      <c r="L356" s="81">
        <v>356</v>
      </c>
      <c r="M356" s="81"/>
      <c r="N356" s="76"/>
      <c r="O356" s="83" t="s">
        <v>520</v>
      </c>
      <c r="P356" s="83">
        <v>1</v>
      </c>
      <c r="Q356" s="83" t="s">
        <v>521</v>
      </c>
      <c r="R356" s="83" t="s">
        <v>774</v>
      </c>
      <c r="S356" s="83">
        <v>31432</v>
      </c>
      <c r="T356" s="82" t="str">
        <f>REPLACE(INDEX(GroupVertices[Group],MATCH(Edges[[#This Row],[Vertex 1]],GroupVertices[Vertex],0)),1,1,"")</f>
        <v>5</v>
      </c>
      <c r="U356" s="82" t="str">
        <f>REPLACE(INDEX(GroupVertices[Group],MATCH(Edges[[#This Row],[Vertex 2]],GroupVertices[Vertex],0)),1,1,"")</f>
        <v>5</v>
      </c>
      <c r="V356" s="49">
        <v>0</v>
      </c>
      <c r="W356" s="50">
        <v>0</v>
      </c>
      <c r="X356" s="49">
        <v>0</v>
      </c>
      <c r="Y356" s="50">
        <v>0</v>
      </c>
      <c r="Z356" s="49">
        <v>0</v>
      </c>
      <c r="AA356" s="50">
        <v>0</v>
      </c>
      <c r="AB356" s="49">
        <v>3</v>
      </c>
      <c r="AC356" s="50">
        <v>100</v>
      </c>
      <c r="AD356" s="49">
        <v>3</v>
      </c>
    </row>
    <row r="357" spans="1:30" ht="15">
      <c r="A357" s="68" t="s">
        <v>499</v>
      </c>
      <c r="B357" s="68" t="s">
        <v>516</v>
      </c>
      <c r="C357" s="69" t="s">
        <v>1691</v>
      </c>
      <c r="D357" s="70">
        <v>3</v>
      </c>
      <c r="E357" s="71"/>
      <c r="F357" s="72">
        <v>70</v>
      </c>
      <c r="G357" s="69"/>
      <c r="H357" s="73"/>
      <c r="I357" s="74"/>
      <c r="J357" s="74"/>
      <c r="K357" s="35" t="s">
        <v>65</v>
      </c>
      <c r="L357" s="81">
        <v>357</v>
      </c>
      <c r="M357" s="81"/>
      <c r="N357" s="76"/>
      <c r="O357" s="83" t="s">
        <v>520</v>
      </c>
      <c r="P357" s="83">
        <v>1</v>
      </c>
      <c r="Q357" s="83" t="s">
        <v>521</v>
      </c>
      <c r="R357" s="83" t="s">
        <v>764</v>
      </c>
      <c r="S357" s="83">
        <v>21189</v>
      </c>
      <c r="T357" s="82" t="str">
        <f>REPLACE(INDEX(GroupVertices[Group],MATCH(Edges[[#This Row],[Vertex 1]],GroupVertices[Vertex],0)),1,1,"")</f>
        <v>5</v>
      </c>
      <c r="U357" s="82" t="str">
        <f>REPLACE(INDEX(GroupVertices[Group],MATCH(Edges[[#This Row],[Vertex 2]],GroupVertices[Vertex],0)),1,1,"")</f>
        <v>5</v>
      </c>
      <c r="V357" s="49">
        <v>0</v>
      </c>
      <c r="W357" s="50">
        <v>0</v>
      </c>
      <c r="X357" s="49">
        <v>0</v>
      </c>
      <c r="Y357" s="50">
        <v>0</v>
      </c>
      <c r="Z357" s="49">
        <v>0</v>
      </c>
      <c r="AA357" s="50">
        <v>0</v>
      </c>
      <c r="AB357" s="49">
        <v>11</v>
      </c>
      <c r="AC357" s="50">
        <v>100</v>
      </c>
      <c r="AD357" s="49">
        <v>11</v>
      </c>
    </row>
    <row r="358" spans="1:30" ht="15">
      <c r="A358" s="68" t="s">
        <v>505</v>
      </c>
      <c r="B358" s="68" t="s">
        <v>499</v>
      </c>
      <c r="C358" s="69" t="s">
        <v>1691</v>
      </c>
      <c r="D358" s="70">
        <v>3</v>
      </c>
      <c r="E358" s="71"/>
      <c r="F358" s="72">
        <v>70</v>
      </c>
      <c r="G358" s="69"/>
      <c r="H358" s="73"/>
      <c r="I358" s="74"/>
      <c r="J358" s="74"/>
      <c r="K358" s="35" t="s">
        <v>65</v>
      </c>
      <c r="L358" s="81">
        <v>358</v>
      </c>
      <c r="M358" s="81"/>
      <c r="N358" s="76"/>
      <c r="O358" s="83" t="s">
        <v>520</v>
      </c>
      <c r="P358" s="83">
        <v>1</v>
      </c>
      <c r="Q358" s="83" t="s">
        <v>521</v>
      </c>
      <c r="R358" s="83" t="s">
        <v>775</v>
      </c>
      <c r="S358" s="83">
        <v>21652</v>
      </c>
      <c r="T358" s="82" t="str">
        <f>REPLACE(INDEX(GroupVertices[Group],MATCH(Edges[[#This Row],[Vertex 1]],GroupVertices[Vertex],0)),1,1,"")</f>
        <v>5</v>
      </c>
      <c r="U358" s="82" t="str">
        <f>REPLACE(INDEX(GroupVertices[Group],MATCH(Edges[[#This Row],[Vertex 2]],GroupVertices[Vertex],0)),1,1,"")</f>
        <v>5</v>
      </c>
      <c r="V358" s="49">
        <v>0</v>
      </c>
      <c r="W358" s="50">
        <v>0</v>
      </c>
      <c r="X358" s="49">
        <v>0</v>
      </c>
      <c r="Y358" s="50">
        <v>0</v>
      </c>
      <c r="Z358" s="49">
        <v>0</v>
      </c>
      <c r="AA358" s="50">
        <v>0</v>
      </c>
      <c r="AB358" s="49">
        <v>2</v>
      </c>
      <c r="AC358" s="50">
        <v>100</v>
      </c>
      <c r="AD358" s="49">
        <v>2</v>
      </c>
    </row>
    <row r="359" spans="1:30" ht="15">
      <c r="A359" s="68" t="s">
        <v>505</v>
      </c>
      <c r="B359" s="68" t="s">
        <v>505</v>
      </c>
      <c r="C359" s="69" t="s">
        <v>1691</v>
      </c>
      <c r="D359" s="70">
        <v>3</v>
      </c>
      <c r="E359" s="71"/>
      <c r="F359" s="72">
        <v>70</v>
      </c>
      <c r="G359" s="69"/>
      <c r="H359" s="73"/>
      <c r="I359" s="74"/>
      <c r="J359" s="74"/>
      <c r="K359" s="35" t="s">
        <v>65</v>
      </c>
      <c r="L359" s="81">
        <v>359</v>
      </c>
      <c r="M359" s="81"/>
      <c r="N359" s="76"/>
      <c r="O359" s="83" t="s">
        <v>520</v>
      </c>
      <c r="P359" s="83">
        <v>1</v>
      </c>
      <c r="Q359" s="83" t="s">
        <v>521</v>
      </c>
      <c r="R359" s="83" t="s">
        <v>775</v>
      </c>
      <c r="S359" s="83">
        <v>21879</v>
      </c>
      <c r="T359" s="82" t="str">
        <f>REPLACE(INDEX(GroupVertices[Group],MATCH(Edges[[#This Row],[Vertex 1]],GroupVertices[Vertex],0)),1,1,"")</f>
        <v>5</v>
      </c>
      <c r="U359" s="82" t="str">
        <f>REPLACE(INDEX(GroupVertices[Group],MATCH(Edges[[#This Row],[Vertex 2]],GroupVertices[Vertex],0)),1,1,"")</f>
        <v>5</v>
      </c>
      <c r="V359" s="49">
        <v>0</v>
      </c>
      <c r="W359" s="50">
        <v>0</v>
      </c>
      <c r="X359" s="49">
        <v>0</v>
      </c>
      <c r="Y359" s="50">
        <v>0</v>
      </c>
      <c r="Z359" s="49">
        <v>0</v>
      </c>
      <c r="AA359" s="50">
        <v>0</v>
      </c>
      <c r="AB359" s="49">
        <v>2</v>
      </c>
      <c r="AC359" s="50">
        <v>100</v>
      </c>
      <c r="AD359" s="49">
        <v>2</v>
      </c>
    </row>
    <row r="360" spans="1:30" ht="15">
      <c r="A360" s="68" t="s">
        <v>517</v>
      </c>
      <c r="B360" s="68" t="s">
        <v>505</v>
      </c>
      <c r="C360" s="69" t="s">
        <v>1691</v>
      </c>
      <c r="D360" s="70">
        <v>3</v>
      </c>
      <c r="E360" s="71"/>
      <c r="F360" s="72">
        <v>70</v>
      </c>
      <c r="G360" s="69"/>
      <c r="H360" s="73"/>
      <c r="I360" s="74"/>
      <c r="J360" s="74"/>
      <c r="K360" s="35" t="s">
        <v>65</v>
      </c>
      <c r="L360" s="81">
        <v>360</v>
      </c>
      <c r="M360" s="81"/>
      <c r="N360" s="76"/>
      <c r="O360" s="83" t="s">
        <v>520</v>
      </c>
      <c r="P360" s="83">
        <v>1</v>
      </c>
      <c r="Q360" s="83" t="s">
        <v>521</v>
      </c>
      <c r="R360" s="83" t="s">
        <v>776</v>
      </c>
      <c r="S360" s="83">
        <v>23010</v>
      </c>
      <c r="T360" s="82" t="str">
        <f>REPLACE(INDEX(GroupVertices[Group],MATCH(Edges[[#This Row],[Vertex 1]],GroupVertices[Vertex],0)),1,1,"")</f>
        <v>5</v>
      </c>
      <c r="U360" s="82" t="str">
        <f>REPLACE(INDEX(GroupVertices[Group],MATCH(Edges[[#This Row],[Vertex 2]],GroupVertices[Vertex],0)),1,1,"")</f>
        <v>5</v>
      </c>
      <c r="V360" s="49">
        <v>0</v>
      </c>
      <c r="W360" s="50">
        <v>0</v>
      </c>
      <c r="X360" s="49">
        <v>0</v>
      </c>
      <c r="Y360" s="50">
        <v>0</v>
      </c>
      <c r="Z360" s="49">
        <v>0</v>
      </c>
      <c r="AA360" s="50">
        <v>0</v>
      </c>
      <c r="AB360" s="49">
        <v>8</v>
      </c>
      <c r="AC360" s="50">
        <v>100</v>
      </c>
      <c r="AD360" s="49">
        <v>8</v>
      </c>
    </row>
    <row r="361" spans="1:30" ht="15">
      <c r="A361" s="68" t="s">
        <v>517</v>
      </c>
      <c r="B361" s="68" t="s">
        <v>517</v>
      </c>
      <c r="C361" s="69" t="s">
        <v>1692</v>
      </c>
      <c r="D361" s="70">
        <v>10</v>
      </c>
      <c r="E361" s="71"/>
      <c r="F361" s="72">
        <v>40</v>
      </c>
      <c r="G361" s="69"/>
      <c r="H361" s="73"/>
      <c r="I361" s="74"/>
      <c r="J361" s="74"/>
      <c r="K361" s="35" t="s">
        <v>65</v>
      </c>
      <c r="L361" s="81">
        <v>361</v>
      </c>
      <c r="M361" s="81"/>
      <c r="N361" s="76"/>
      <c r="O361" s="83" t="s">
        <v>520</v>
      </c>
      <c r="P361" s="83">
        <v>8</v>
      </c>
      <c r="Q361" s="83" t="s">
        <v>521</v>
      </c>
      <c r="R361" s="83" t="s">
        <v>777</v>
      </c>
      <c r="S361" s="83">
        <v>21879</v>
      </c>
      <c r="T361" s="82" t="str">
        <f>REPLACE(INDEX(GroupVertices[Group],MATCH(Edges[[#This Row],[Vertex 1]],GroupVertices[Vertex],0)),1,1,"")</f>
        <v>5</v>
      </c>
      <c r="U361" s="82" t="str">
        <f>REPLACE(INDEX(GroupVertices[Group],MATCH(Edges[[#This Row],[Vertex 2]],GroupVertices[Vertex],0)),1,1,"")</f>
        <v>5</v>
      </c>
      <c r="V361" s="49">
        <v>0</v>
      </c>
      <c r="W361" s="50">
        <v>0</v>
      </c>
      <c r="X361" s="49">
        <v>0</v>
      </c>
      <c r="Y361" s="50">
        <v>0</v>
      </c>
      <c r="Z361" s="49">
        <v>0</v>
      </c>
      <c r="AA361" s="50">
        <v>0</v>
      </c>
      <c r="AB361" s="49">
        <v>4</v>
      </c>
      <c r="AC361" s="50">
        <v>100</v>
      </c>
      <c r="AD361" s="49">
        <v>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1"/>
    <dataValidation allowBlank="1" showErrorMessage="1" sqref="N2:N3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1"/>
    <dataValidation allowBlank="1" showInputMessage="1" promptTitle="Edge Color" prompt="To select an optional edge color, right-click and select Select Color on the right-click menu." sqref="C3:C361"/>
    <dataValidation allowBlank="1" showInputMessage="1" promptTitle="Edge Width" prompt="Enter an optional edge width between 1 and 10." errorTitle="Invalid Edge Width" error="The optional edge width must be a whole number between 1 and 10." sqref="D3:D361"/>
    <dataValidation allowBlank="1" showInputMessage="1" promptTitle="Edge Opacity" prompt="Enter an optional edge opacity between 0 (transparent) and 100 (opaque)." errorTitle="Invalid Edge Opacity" error="The optional edge opacity must be a whole number between 0 and 10." sqref="F3:F3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1">
      <formula1>ValidEdgeVisibilities</formula1>
    </dataValidation>
    <dataValidation allowBlank="1" showInputMessage="1" showErrorMessage="1" promptTitle="Vertex 1 Name" prompt="Enter the name of the edge's first vertex." sqref="A3:A361"/>
    <dataValidation allowBlank="1" showInputMessage="1" showErrorMessage="1" promptTitle="Vertex 2 Name" prompt="Enter the name of the edge's second vertex." sqref="B3:B361"/>
    <dataValidation allowBlank="1" showInputMessage="1" showErrorMessage="1" promptTitle="Edge Label" prompt="Enter an optional edge label." errorTitle="Invalid Edge Visibility" error="You have entered an unrecognized edge visibility.  Try selecting from the drop-down list instead." sqref="H3:H3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12C1D-2051-4270-AA51-50B8B869DDAD}">
  <dimension ref="A1:C4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1248</v>
      </c>
      <c r="B2" s="109" t="s">
        <v>1249</v>
      </c>
      <c r="C2" s="54" t="s">
        <v>1250</v>
      </c>
    </row>
    <row r="3" spans="1:3" ht="15">
      <c r="A3" s="108" t="s">
        <v>807</v>
      </c>
      <c r="B3" s="108" t="s">
        <v>807</v>
      </c>
      <c r="C3" s="35">
        <v>54</v>
      </c>
    </row>
    <row r="4" spans="1:3" ht="15">
      <c r="A4" s="108" t="s">
        <v>807</v>
      </c>
      <c r="B4" s="123" t="s">
        <v>808</v>
      </c>
      <c r="C4" s="35">
        <v>2</v>
      </c>
    </row>
    <row r="5" spans="1:3" ht="15">
      <c r="A5" s="108" t="s">
        <v>807</v>
      </c>
      <c r="B5" s="123" t="s">
        <v>809</v>
      </c>
      <c r="C5" s="35">
        <v>1</v>
      </c>
    </row>
    <row r="6" spans="1:3" ht="15">
      <c r="A6" s="108" t="s">
        <v>807</v>
      </c>
      <c r="B6" s="123" t="s">
        <v>810</v>
      </c>
      <c r="C6" s="35">
        <v>6</v>
      </c>
    </row>
    <row r="7" spans="1:3" ht="15">
      <c r="A7" s="108" t="s">
        <v>807</v>
      </c>
      <c r="B7" s="123" t="s">
        <v>811</v>
      </c>
      <c r="C7" s="35">
        <v>1</v>
      </c>
    </row>
    <row r="8" spans="1:3" ht="15">
      <c r="A8" s="108" t="s">
        <v>807</v>
      </c>
      <c r="B8" s="123" t="s">
        <v>812</v>
      </c>
      <c r="C8" s="35">
        <v>2</v>
      </c>
    </row>
    <row r="9" spans="1:3" ht="15">
      <c r="A9" s="108" t="s">
        <v>807</v>
      </c>
      <c r="B9" s="123" t="s">
        <v>814</v>
      </c>
      <c r="C9" s="35">
        <v>4</v>
      </c>
    </row>
    <row r="10" spans="1:3" ht="15">
      <c r="A10" s="108" t="s">
        <v>807</v>
      </c>
      <c r="B10" s="123" t="s">
        <v>815</v>
      </c>
      <c r="C10" s="35">
        <v>2</v>
      </c>
    </row>
    <row r="11" spans="1:3" ht="15">
      <c r="A11" s="108" t="s">
        <v>807</v>
      </c>
      <c r="B11" s="123" t="s">
        <v>816</v>
      </c>
      <c r="C11" s="35">
        <v>2</v>
      </c>
    </row>
    <row r="12" spans="1:3" ht="15">
      <c r="A12" s="108" t="s">
        <v>807</v>
      </c>
      <c r="B12" s="123" t="s">
        <v>817</v>
      </c>
      <c r="C12" s="35">
        <v>1</v>
      </c>
    </row>
    <row r="13" spans="1:3" ht="15">
      <c r="A13" s="108" t="s">
        <v>807</v>
      </c>
      <c r="B13" s="123" t="s">
        <v>818</v>
      </c>
      <c r="C13" s="35">
        <v>1</v>
      </c>
    </row>
    <row r="14" spans="1:3" ht="15">
      <c r="A14" s="108" t="s">
        <v>808</v>
      </c>
      <c r="B14" s="123" t="s">
        <v>807</v>
      </c>
      <c r="C14" s="35">
        <v>2</v>
      </c>
    </row>
    <row r="15" spans="1:3" ht="15">
      <c r="A15" s="108" t="s">
        <v>808</v>
      </c>
      <c r="B15" s="123" t="s">
        <v>808</v>
      </c>
      <c r="C15" s="35">
        <v>43</v>
      </c>
    </row>
    <row r="16" spans="1:3" ht="15">
      <c r="A16" s="108" t="s">
        <v>809</v>
      </c>
      <c r="B16" s="123" t="s">
        <v>807</v>
      </c>
      <c r="C16" s="35">
        <v>1</v>
      </c>
    </row>
    <row r="17" spans="1:3" ht="15">
      <c r="A17" s="108" t="s">
        <v>809</v>
      </c>
      <c r="B17" s="123" t="s">
        <v>809</v>
      </c>
      <c r="C17" s="35">
        <v>27</v>
      </c>
    </row>
    <row r="18" spans="1:3" ht="15">
      <c r="A18" s="108" t="s">
        <v>809</v>
      </c>
      <c r="B18" s="123" t="s">
        <v>813</v>
      </c>
      <c r="C18" s="35">
        <v>1</v>
      </c>
    </row>
    <row r="19" spans="1:3" ht="15">
      <c r="A19" s="108" t="s">
        <v>810</v>
      </c>
      <c r="B19" s="123" t="s">
        <v>807</v>
      </c>
      <c r="C19" s="35">
        <v>4</v>
      </c>
    </row>
    <row r="20" spans="1:3" ht="15">
      <c r="A20" s="108" t="s">
        <v>810</v>
      </c>
      <c r="B20" s="123" t="s">
        <v>810</v>
      </c>
      <c r="C20" s="35">
        <v>28</v>
      </c>
    </row>
    <row r="21" spans="1:3" ht="15">
      <c r="A21" s="108" t="s">
        <v>810</v>
      </c>
      <c r="B21" s="123" t="s">
        <v>816</v>
      </c>
      <c r="C21" s="35">
        <v>1</v>
      </c>
    </row>
    <row r="22" spans="1:3" ht="15">
      <c r="A22" s="108" t="s">
        <v>811</v>
      </c>
      <c r="B22" s="123" t="s">
        <v>807</v>
      </c>
      <c r="C22" s="35">
        <v>2</v>
      </c>
    </row>
    <row r="23" spans="1:3" ht="15">
      <c r="A23" s="108" t="s">
        <v>811</v>
      </c>
      <c r="B23" s="123" t="s">
        <v>809</v>
      </c>
      <c r="C23" s="35">
        <v>1</v>
      </c>
    </row>
    <row r="24" spans="1:3" ht="15">
      <c r="A24" s="108" t="s">
        <v>811</v>
      </c>
      <c r="B24" s="123" t="s">
        <v>811</v>
      </c>
      <c r="C24" s="35">
        <v>31</v>
      </c>
    </row>
    <row r="25" spans="1:3" ht="15">
      <c r="A25" s="108" t="s">
        <v>812</v>
      </c>
      <c r="B25" s="123" t="s">
        <v>807</v>
      </c>
      <c r="C25" s="35">
        <v>2</v>
      </c>
    </row>
    <row r="26" spans="1:3" ht="15">
      <c r="A26" s="108" t="s">
        <v>812</v>
      </c>
      <c r="B26" s="123" t="s">
        <v>812</v>
      </c>
      <c r="C26" s="35">
        <v>27</v>
      </c>
    </row>
    <row r="27" spans="1:3" ht="15">
      <c r="A27" s="108" t="s">
        <v>813</v>
      </c>
      <c r="B27" s="123" t="s">
        <v>807</v>
      </c>
      <c r="C27" s="35">
        <v>1</v>
      </c>
    </row>
    <row r="28" spans="1:3" ht="15">
      <c r="A28" s="108" t="s">
        <v>813</v>
      </c>
      <c r="B28" s="123" t="s">
        <v>813</v>
      </c>
      <c r="C28" s="35">
        <v>27</v>
      </c>
    </row>
    <row r="29" spans="1:3" ht="15">
      <c r="A29" s="108" t="s">
        <v>814</v>
      </c>
      <c r="B29" s="123" t="s">
        <v>807</v>
      </c>
      <c r="C29" s="35">
        <v>3</v>
      </c>
    </row>
    <row r="30" spans="1:3" ht="15">
      <c r="A30" s="108" t="s">
        <v>814</v>
      </c>
      <c r="B30" s="123" t="s">
        <v>808</v>
      </c>
      <c r="C30" s="35">
        <v>1</v>
      </c>
    </row>
    <row r="31" spans="1:3" ht="15">
      <c r="A31" s="108" t="s">
        <v>814</v>
      </c>
      <c r="B31" s="123" t="s">
        <v>814</v>
      </c>
      <c r="C31" s="35">
        <v>21</v>
      </c>
    </row>
    <row r="32" spans="1:3" ht="15">
      <c r="A32" s="108" t="s">
        <v>815</v>
      </c>
      <c r="B32" s="123" t="s">
        <v>807</v>
      </c>
      <c r="C32" s="35">
        <v>2</v>
      </c>
    </row>
    <row r="33" spans="1:3" ht="15">
      <c r="A33" s="108" t="s">
        <v>815</v>
      </c>
      <c r="B33" s="123" t="s">
        <v>815</v>
      </c>
      <c r="C33" s="35">
        <v>13</v>
      </c>
    </row>
    <row r="34" spans="1:3" ht="15">
      <c r="A34" s="108" t="s">
        <v>816</v>
      </c>
      <c r="B34" s="123" t="s">
        <v>807</v>
      </c>
      <c r="C34" s="35">
        <v>2</v>
      </c>
    </row>
    <row r="35" spans="1:3" ht="15">
      <c r="A35" s="108" t="s">
        <v>816</v>
      </c>
      <c r="B35" s="123" t="s">
        <v>816</v>
      </c>
      <c r="C35" s="35">
        <v>17</v>
      </c>
    </row>
    <row r="36" spans="1:3" ht="15">
      <c r="A36" s="108" t="s">
        <v>816</v>
      </c>
      <c r="B36" s="123" t="s">
        <v>817</v>
      </c>
      <c r="C36" s="35">
        <v>1</v>
      </c>
    </row>
    <row r="37" spans="1:3" ht="15">
      <c r="A37" s="108" t="s">
        <v>817</v>
      </c>
      <c r="B37" s="123" t="s">
        <v>807</v>
      </c>
      <c r="C37" s="35">
        <v>1</v>
      </c>
    </row>
    <row r="38" spans="1:3" ht="15">
      <c r="A38" s="108" t="s">
        <v>817</v>
      </c>
      <c r="B38" s="123" t="s">
        <v>811</v>
      </c>
      <c r="C38" s="35">
        <v>1</v>
      </c>
    </row>
    <row r="39" spans="1:3" ht="15">
      <c r="A39" s="108" t="s">
        <v>817</v>
      </c>
      <c r="B39" s="123" t="s">
        <v>817</v>
      </c>
      <c r="C39" s="35">
        <v>15</v>
      </c>
    </row>
    <row r="40" spans="1:3" ht="15">
      <c r="A40" s="108" t="s">
        <v>818</v>
      </c>
      <c r="B40" s="123" t="s">
        <v>807</v>
      </c>
      <c r="C40" s="35">
        <v>2</v>
      </c>
    </row>
    <row r="41" spans="1:3" ht="15">
      <c r="A41" s="124" t="s">
        <v>818</v>
      </c>
      <c r="B41" s="123" t="s">
        <v>818</v>
      </c>
      <c r="C41" s="35">
        <v>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11EE2-121C-4660-BFF0-4EEB44E02093}">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1268</v>
      </c>
      <c r="B1" s="13" t="s">
        <v>17</v>
      </c>
    </row>
    <row r="2" spans="1:2" ht="15">
      <c r="A2" s="82" t="s">
        <v>1269</v>
      </c>
      <c r="B2" s="82"/>
    </row>
    <row r="3" spans="1:2" ht="15">
      <c r="A3" s="83" t="s">
        <v>1270</v>
      </c>
      <c r="B3" s="82"/>
    </row>
    <row r="4" spans="1:2" ht="15">
      <c r="A4" s="83" t="s">
        <v>1271</v>
      </c>
      <c r="B4" s="82"/>
    </row>
    <row r="5" spans="1:2" ht="15">
      <c r="A5" s="83" t="s">
        <v>1272</v>
      </c>
      <c r="B5" s="82"/>
    </row>
    <row r="6" spans="1:2" ht="15">
      <c r="A6" s="83" t="s">
        <v>1273</v>
      </c>
      <c r="B6" s="82"/>
    </row>
    <row r="7" spans="1:2" ht="15">
      <c r="A7" s="83" t="s">
        <v>785</v>
      </c>
      <c r="B7" s="82"/>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725D2-2A01-475D-94D4-0ABA0582A7CA}">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1274</v>
      </c>
      <c r="B1" s="13" t="s">
        <v>34</v>
      </c>
    </row>
    <row r="2" spans="1:2" ht="15">
      <c r="A2" s="100" t="s">
        <v>328</v>
      </c>
      <c r="B2" s="82">
        <v>37191.472294</v>
      </c>
    </row>
    <row r="3" spans="1:2" ht="15">
      <c r="A3" s="104" t="s">
        <v>463</v>
      </c>
      <c r="B3" s="82">
        <v>7266.27381</v>
      </c>
    </row>
    <row r="4" spans="1:2" ht="15">
      <c r="A4" s="104" t="s">
        <v>464</v>
      </c>
      <c r="B4" s="82">
        <v>6965.940476</v>
      </c>
    </row>
    <row r="5" spans="1:2" ht="15">
      <c r="A5" s="104" t="s">
        <v>316</v>
      </c>
      <c r="B5" s="82">
        <v>5778</v>
      </c>
    </row>
    <row r="6" spans="1:2" ht="15">
      <c r="A6" s="104" t="s">
        <v>466</v>
      </c>
      <c r="B6" s="82">
        <v>4100.940476</v>
      </c>
    </row>
    <row r="7" spans="1:2" ht="15">
      <c r="A7" s="104" t="s">
        <v>378</v>
      </c>
      <c r="B7" s="82">
        <v>3976.61342</v>
      </c>
    </row>
    <row r="8" spans="1:2" ht="15">
      <c r="A8" s="104" t="s">
        <v>495</v>
      </c>
      <c r="B8" s="82">
        <v>3970.659524</v>
      </c>
    </row>
    <row r="9" spans="1:2" ht="15">
      <c r="A9" s="104" t="s">
        <v>505</v>
      </c>
      <c r="B9" s="82">
        <v>3917.609524</v>
      </c>
    </row>
    <row r="10" spans="1:2" ht="15">
      <c r="A10" s="104" t="s">
        <v>467</v>
      </c>
      <c r="B10" s="82">
        <v>3859.607143</v>
      </c>
    </row>
    <row r="11" spans="1:2" ht="15">
      <c r="A11" s="104" t="s">
        <v>494</v>
      </c>
      <c r="B11" s="82">
        <v>3660.32619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15492-961A-4C68-A6DB-36F647B03947}">
  <dimension ref="A1:V24"/>
  <sheetViews>
    <sheetView workbookViewId="0" topLeftCell="A1"/>
  </sheetViews>
  <sheetFormatPr defaultColWidth="9.140625" defaultRowHeight="15"/>
  <cols>
    <col min="1" max="1" width="46.7109375" style="0" customWidth="1"/>
    <col min="2" max="2" width="20.28125" style="0" bestFit="1" customWidth="1"/>
    <col min="3" max="3" width="36.7109375" style="0" customWidth="1"/>
    <col min="4" max="4" width="11.28125" style="0" bestFit="1" customWidth="1"/>
    <col min="5" max="5" width="36.7109375" style="0" customWidth="1"/>
    <col min="6" max="6" width="11.28125" style="0" bestFit="1" customWidth="1"/>
    <col min="7" max="7" width="36.7109375" style="0" customWidth="1"/>
    <col min="8" max="8" width="11.28125" style="0" bestFit="1" customWidth="1"/>
    <col min="9" max="9" width="36.7109375" style="0" customWidth="1"/>
    <col min="10" max="10" width="11.28125" style="0" bestFit="1" customWidth="1"/>
    <col min="11" max="11" width="36.7109375" style="0" customWidth="1"/>
    <col min="12" max="12" width="11.28125" style="0" bestFit="1" customWidth="1"/>
    <col min="13" max="13" width="36.7109375" style="0" customWidth="1"/>
    <col min="14" max="14" width="11.28125" style="0" bestFit="1" customWidth="1"/>
    <col min="15" max="15" width="36.7109375" style="0" customWidth="1"/>
    <col min="16" max="16" width="11.28125" style="0" bestFit="1" customWidth="1"/>
    <col min="17" max="17" width="36.7109375" style="0" customWidth="1"/>
    <col min="18" max="18" width="11.28125" style="0" bestFit="1" customWidth="1"/>
    <col min="19" max="19" width="36.7109375" style="0" customWidth="1"/>
    <col min="20" max="20" width="11.28125" style="0" bestFit="1" customWidth="1"/>
    <col min="21" max="21" width="37.7109375" style="0" customWidth="1"/>
    <col min="22" max="22" width="12.28125" style="0" bestFit="1" customWidth="1"/>
  </cols>
  <sheetData>
    <row r="1" spans="1:22" ht="15" customHeight="1">
      <c r="A1" s="13" t="s">
        <v>1275</v>
      </c>
      <c r="B1" s="13" t="s">
        <v>1276</v>
      </c>
      <c r="C1" s="13" t="s">
        <v>1277</v>
      </c>
      <c r="D1" s="13" t="s">
        <v>1279</v>
      </c>
      <c r="E1" s="13" t="s">
        <v>1278</v>
      </c>
      <c r="F1" s="13" t="s">
        <v>1281</v>
      </c>
      <c r="G1" s="13" t="s">
        <v>1280</v>
      </c>
      <c r="H1" s="13" t="s">
        <v>1283</v>
      </c>
      <c r="I1" s="13" t="s">
        <v>1282</v>
      </c>
      <c r="J1" s="13" t="s">
        <v>1285</v>
      </c>
      <c r="K1" s="13" t="s">
        <v>1284</v>
      </c>
      <c r="L1" s="13" t="s">
        <v>1287</v>
      </c>
      <c r="M1" s="13" t="s">
        <v>1286</v>
      </c>
      <c r="N1" s="13" t="s">
        <v>1289</v>
      </c>
      <c r="O1" s="13" t="s">
        <v>1288</v>
      </c>
      <c r="P1" s="13" t="s">
        <v>1291</v>
      </c>
      <c r="Q1" s="13" t="s">
        <v>1290</v>
      </c>
      <c r="R1" s="13" t="s">
        <v>1293</v>
      </c>
      <c r="S1" s="13" t="s">
        <v>1292</v>
      </c>
      <c r="T1" s="13" t="s">
        <v>1295</v>
      </c>
      <c r="U1" s="13" t="s">
        <v>1294</v>
      </c>
      <c r="V1" s="13" t="s">
        <v>1296</v>
      </c>
    </row>
    <row r="2" spans="1:22" ht="15">
      <c r="A2" s="103" t="s">
        <v>843</v>
      </c>
      <c r="B2" s="103">
        <v>73</v>
      </c>
      <c r="C2" s="103" t="s">
        <v>844</v>
      </c>
      <c r="D2" s="103">
        <v>20</v>
      </c>
      <c r="E2" s="103" t="s">
        <v>844</v>
      </c>
      <c r="F2" s="103">
        <v>6</v>
      </c>
      <c r="G2" s="103" t="s">
        <v>860</v>
      </c>
      <c r="H2" s="103">
        <v>8</v>
      </c>
      <c r="I2" s="103" t="s">
        <v>883</v>
      </c>
      <c r="J2" s="103">
        <v>6</v>
      </c>
      <c r="K2" s="103" t="s">
        <v>846</v>
      </c>
      <c r="L2" s="103">
        <v>24</v>
      </c>
      <c r="M2" s="103" t="s">
        <v>843</v>
      </c>
      <c r="N2" s="103">
        <v>6</v>
      </c>
      <c r="O2" s="103" t="s">
        <v>851</v>
      </c>
      <c r="P2" s="103">
        <v>9</v>
      </c>
      <c r="Q2" s="103" t="s">
        <v>843</v>
      </c>
      <c r="R2" s="103">
        <v>13</v>
      </c>
      <c r="S2" s="103" t="s">
        <v>849</v>
      </c>
      <c r="T2" s="103">
        <v>5</v>
      </c>
      <c r="U2" s="103" t="s">
        <v>843</v>
      </c>
      <c r="V2" s="103">
        <v>5</v>
      </c>
    </row>
    <row r="3" spans="1:22" ht="15">
      <c r="A3" s="84" t="s">
        <v>844</v>
      </c>
      <c r="B3" s="103">
        <v>67</v>
      </c>
      <c r="C3" s="103" t="s">
        <v>843</v>
      </c>
      <c r="D3" s="103">
        <v>19</v>
      </c>
      <c r="E3" s="103" t="s">
        <v>843</v>
      </c>
      <c r="F3" s="103">
        <v>5</v>
      </c>
      <c r="G3" s="103" t="s">
        <v>848</v>
      </c>
      <c r="H3" s="103">
        <v>7</v>
      </c>
      <c r="I3" s="103" t="s">
        <v>850</v>
      </c>
      <c r="J3" s="103">
        <v>5</v>
      </c>
      <c r="K3" s="103" t="s">
        <v>843</v>
      </c>
      <c r="L3" s="103">
        <v>16</v>
      </c>
      <c r="M3" s="103" t="s">
        <v>897</v>
      </c>
      <c r="N3" s="103">
        <v>5</v>
      </c>
      <c r="O3" s="103" t="s">
        <v>852</v>
      </c>
      <c r="P3" s="103">
        <v>8</v>
      </c>
      <c r="Q3" s="103" t="s">
        <v>844</v>
      </c>
      <c r="R3" s="103">
        <v>12</v>
      </c>
      <c r="S3" s="103" t="s">
        <v>853</v>
      </c>
      <c r="T3" s="103">
        <v>4</v>
      </c>
      <c r="U3" s="103" t="s">
        <v>844</v>
      </c>
      <c r="V3" s="103">
        <v>4</v>
      </c>
    </row>
    <row r="4" spans="1:22" ht="15">
      <c r="A4" s="84" t="s">
        <v>845</v>
      </c>
      <c r="B4" s="103">
        <v>26</v>
      </c>
      <c r="C4" s="103" t="s">
        <v>845</v>
      </c>
      <c r="D4" s="103">
        <v>13</v>
      </c>
      <c r="E4" s="103" t="s">
        <v>905</v>
      </c>
      <c r="F4" s="103">
        <v>5</v>
      </c>
      <c r="G4" s="103" t="s">
        <v>881</v>
      </c>
      <c r="H4" s="103">
        <v>5</v>
      </c>
      <c r="I4" s="103" t="s">
        <v>845</v>
      </c>
      <c r="J4" s="103">
        <v>5</v>
      </c>
      <c r="K4" s="103" t="s">
        <v>844</v>
      </c>
      <c r="L4" s="103">
        <v>13</v>
      </c>
      <c r="M4" s="103" t="s">
        <v>898</v>
      </c>
      <c r="N4" s="103">
        <v>5</v>
      </c>
      <c r="O4" s="103" t="s">
        <v>920</v>
      </c>
      <c r="P4" s="103">
        <v>4</v>
      </c>
      <c r="Q4" s="103" t="s">
        <v>904</v>
      </c>
      <c r="R4" s="103">
        <v>5</v>
      </c>
      <c r="S4" s="103" t="s">
        <v>862</v>
      </c>
      <c r="T4" s="103">
        <v>4</v>
      </c>
      <c r="U4" s="103" t="s">
        <v>983</v>
      </c>
      <c r="V4" s="103">
        <v>3</v>
      </c>
    </row>
    <row r="5" spans="1:22" ht="15">
      <c r="A5" s="84" t="s">
        <v>846</v>
      </c>
      <c r="B5" s="103">
        <v>24</v>
      </c>
      <c r="C5" s="103" t="s">
        <v>847</v>
      </c>
      <c r="D5" s="103">
        <v>13</v>
      </c>
      <c r="E5" s="103" t="s">
        <v>847</v>
      </c>
      <c r="F5" s="103">
        <v>4</v>
      </c>
      <c r="G5" s="103" t="s">
        <v>858</v>
      </c>
      <c r="H5" s="103">
        <v>4</v>
      </c>
      <c r="I5" s="103" t="s">
        <v>896</v>
      </c>
      <c r="J5" s="103">
        <v>3</v>
      </c>
      <c r="K5" s="103" t="s">
        <v>869</v>
      </c>
      <c r="L5" s="103">
        <v>6</v>
      </c>
      <c r="M5" s="103" t="s">
        <v>928</v>
      </c>
      <c r="N5" s="103">
        <v>4</v>
      </c>
      <c r="O5" s="103" t="s">
        <v>921</v>
      </c>
      <c r="P5" s="103">
        <v>4</v>
      </c>
      <c r="Q5" s="103" t="s">
        <v>919</v>
      </c>
      <c r="R5" s="103">
        <v>3</v>
      </c>
      <c r="S5" s="103" t="s">
        <v>863</v>
      </c>
      <c r="T5" s="103">
        <v>4</v>
      </c>
      <c r="U5" s="103" t="s">
        <v>984</v>
      </c>
      <c r="V5" s="103">
        <v>3</v>
      </c>
    </row>
    <row r="6" spans="1:22" ht="15">
      <c r="A6" s="84" t="s">
        <v>847</v>
      </c>
      <c r="B6" s="103">
        <v>24</v>
      </c>
      <c r="C6" s="103" t="s">
        <v>876</v>
      </c>
      <c r="D6" s="103">
        <v>6</v>
      </c>
      <c r="E6" s="103" t="s">
        <v>945</v>
      </c>
      <c r="F6" s="103">
        <v>4</v>
      </c>
      <c r="G6" s="103" t="s">
        <v>912</v>
      </c>
      <c r="H6" s="103">
        <v>4</v>
      </c>
      <c r="I6" s="103" t="s">
        <v>992</v>
      </c>
      <c r="J6" s="103">
        <v>3</v>
      </c>
      <c r="K6" s="103" t="s">
        <v>871</v>
      </c>
      <c r="L6" s="103">
        <v>6</v>
      </c>
      <c r="M6" s="103" t="s">
        <v>929</v>
      </c>
      <c r="N6" s="103">
        <v>4</v>
      </c>
      <c r="O6" s="103" t="s">
        <v>922</v>
      </c>
      <c r="P6" s="103">
        <v>4</v>
      </c>
      <c r="Q6" s="103" t="s">
        <v>855</v>
      </c>
      <c r="R6" s="103">
        <v>3</v>
      </c>
      <c r="S6" s="103" t="s">
        <v>844</v>
      </c>
      <c r="T6" s="103">
        <v>3</v>
      </c>
      <c r="U6" s="103" t="s">
        <v>985</v>
      </c>
      <c r="V6" s="103">
        <v>3</v>
      </c>
    </row>
    <row r="7" spans="1:22" ht="15">
      <c r="A7" s="84" t="s">
        <v>848</v>
      </c>
      <c r="B7" s="103">
        <v>13</v>
      </c>
      <c r="C7" s="103" t="s">
        <v>877</v>
      </c>
      <c r="D7" s="103">
        <v>6</v>
      </c>
      <c r="E7" s="103" t="s">
        <v>1018</v>
      </c>
      <c r="F7" s="103">
        <v>3</v>
      </c>
      <c r="G7" s="103" t="s">
        <v>913</v>
      </c>
      <c r="H7" s="103">
        <v>4</v>
      </c>
      <c r="I7" s="103" t="s">
        <v>993</v>
      </c>
      <c r="J7" s="103">
        <v>3</v>
      </c>
      <c r="K7" s="103" t="s">
        <v>872</v>
      </c>
      <c r="L7" s="103">
        <v>6</v>
      </c>
      <c r="M7" s="103" t="s">
        <v>976</v>
      </c>
      <c r="N7" s="103">
        <v>3</v>
      </c>
      <c r="O7" s="103" t="s">
        <v>867</v>
      </c>
      <c r="P7" s="103">
        <v>4</v>
      </c>
      <c r="Q7" s="103" t="s">
        <v>907</v>
      </c>
      <c r="R7" s="103">
        <v>3</v>
      </c>
      <c r="S7" s="103" t="s">
        <v>843</v>
      </c>
      <c r="T7" s="103">
        <v>2</v>
      </c>
      <c r="U7" s="103" t="s">
        <v>986</v>
      </c>
      <c r="V7" s="103">
        <v>3</v>
      </c>
    </row>
    <row r="8" spans="1:22" ht="15">
      <c r="A8" s="84" t="s">
        <v>849</v>
      </c>
      <c r="B8" s="103">
        <v>11</v>
      </c>
      <c r="C8" s="103" t="s">
        <v>936</v>
      </c>
      <c r="D8" s="103">
        <v>4</v>
      </c>
      <c r="E8" s="103" t="s">
        <v>1019</v>
      </c>
      <c r="F8" s="103">
        <v>3</v>
      </c>
      <c r="G8" s="103" t="s">
        <v>914</v>
      </c>
      <c r="H8" s="103">
        <v>4</v>
      </c>
      <c r="I8" s="103" t="s">
        <v>994</v>
      </c>
      <c r="J8" s="103">
        <v>3</v>
      </c>
      <c r="K8" s="103" t="s">
        <v>873</v>
      </c>
      <c r="L8" s="103">
        <v>6</v>
      </c>
      <c r="M8" s="103" t="s">
        <v>977</v>
      </c>
      <c r="N8" s="103">
        <v>3</v>
      </c>
      <c r="O8" s="103" t="s">
        <v>924</v>
      </c>
      <c r="P8" s="103">
        <v>4</v>
      </c>
      <c r="Q8" s="103" t="s">
        <v>944</v>
      </c>
      <c r="R8" s="103">
        <v>3</v>
      </c>
      <c r="S8" s="103" t="s">
        <v>930</v>
      </c>
      <c r="T8" s="103">
        <v>2</v>
      </c>
      <c r="U8" s="103" t="s">
        <v>858</v>
      </c>
      <c r="V8" s="103">
        <v>2</v>
      </c>
    </row>
    <row r="9" spans="1:22" ht="15">
      <c r="A9" s="84" t="s">
        <v>850</v>
      </c>
      <c r="B9" s="103">
        <v>10</v>
      </c>
      <c r="C9" s="103" t="s">
        <v>935</v>
      </c>
      <c r="D9" s="103">
        <v>4</v>
      </c>
      <c r="E9" s="103" t="s">
        <v>1016</v>
      </c>
      <c r="F9" s="103">
        <v>2</v>
      </c>
      <c r="G9" s="103" t="s">
        <v>915</v>
      </c>
      <c r="H9" s="103">
        <v>4</v>
      </c>
      <c r="I9" s="103" t="s">
        <v>1004</v>
      </c>
      <c r="J9" s="103">
        <v>3</v>
      </c>
      <c r="K9" s="103" t="s">
        <v>874</v>
      </c>
      <c r="L9" s="103">
        <v>6</v>
      </c>
      <c r="M9" s="103" t="s">
        <v>918</v>
      </c>
      <c r="N9" s="103">
        <v>3</v>
      </c>
      <c r="O9" s="103" t="s">
        <v>925</v>
      </c>
      <c r="P9" s="103">
        <v>4</v>
      </c>
      <c r="Q9" s="103" t="s">
        <v>1017</v>
      </c>
      <c r="R9" s="103">
        <v>3</v>
      </c>
      <c r="S9" s="103" t="s">
        <v>1169</v>
      </c>
      <c r="T9" s="103">
        <v>2</v>
      </c>
      <c r="U9" s="103" t="s">
        <v>854</v>
      </c>
      <c r="V9" s="103">
        <v>2</v>
      </c>
    </row>
    <row r="10" spans="1:22" ht="15">
      <c r="A10" s="84" t="s">
        <v>851</v>
      </c>
      <c r="B10" s="103">
        <v>10</v>
      </c>
      <c r="C10" s="103" t="s">
        <v>932</v>
      </c>
      <c r="D10" s="103">
        <v>4</v>
      </c>
      <c r="E10" s="103" t="s">
        <v>1203</v>
      </c>
      <c r="F10" s="103">
        <v>2</v>
      </c>
      <c r="G10" s="103" t="s">
        <v>916</v>
      </c>
      <c r="H10" s="103">
        <v>4</v>
      </c>
      <c r="I10" s="103" t="s">
        <v>899</v>
      </c>
      <c r="J10" s="103">
        <v>3</v>
      </c>
      <c r="K10" s="103" t="s">
        <v>848</v>
      </c>
      <c r="L10" s="103">
        <v>6</v>
      </c>
      <c r="M10" s="103" t="s">
        <v>978</v>
      </c>
      <c r="N10" s="103">
        <v>3</v>
      </c>
      <c r="O10" s="103" t="s">
        <v>926</v>
      </c>
      <c r="P10" s="103">
        <v>4</v>
      </c>
      <c r="Q10" s="103" t="s">
        <v>1186</v>
      </c>
      <c r="R10" s="103">
        <v>2</v>
      </c>
      <c r="S10" s="103" t="s">
        <v>1170</v>
      </c>
      <c r="T10" s="103">
        <v>2</v>
      </c>
      <c r="U10" s="103"/>
      <c r="V10" s="103"/>
    </row>
    <row r="11" spans="1:22" ht="15">
      <c r="A11" s="84" t="s">
        <v>852</v>
      </c>
      <c r="B11" s="103">
        <v>10</v>
      </c>
      <c r="C11" s="103" t="s">
        <v>933</v>
      </c>
      <c r="D11" s="103">
        <v>4</v>
      </c>
      <c r="E11" s="103" t="s">
        <v>1204</v>
      </c>
      <c r="F11" s="103">
        <v>2</v>
      </c>
      <c r="G11" s="103" t="s">
        <v>917</v>
      </c>
      <c r="H11" s="103">
        <v>4</v>
      </c>
      <c r="I11" s="103" t="s">
        <v>1001</v>
      </c>
      <c r="J11" s="103">
        <v>3</v>
      </c>
      <c r="K11" s="103" t="s">
        <v>875</v>
      </c>
      <c r="L11" s="103">
        <v>6</v>
      </c>
      <c r="M11" s="103" t="s">
        <v>979</v>
      </c>
      <c r="N11" s="103">
        <v>3</v>
      </c>
      <c r="O11" s="103" t="s">
        <v>927</v>
      </c>
      <c r="P11" s="103">
        <v>4</v>
      </c>
      <c r="Q11" s="103" t="s">
        <v>884</v>
      </c>
      <c r="R11" s="103">
        <v>2</v>
      </c>
      <c r="S11" s="103" t="s">
        <v>1171</v>
      </c>
      <c r="T11" s="103">
        <v>2</v>
      </c>
      <c r="U11" s="103"/>
      <c r="V11" s="103"/>
    </row>
    <row r="14" spans="1:22" ht="15" customHeight="1">
      <c r="A14" s="13" t="s">
        <v>1307</v>
      </c>
      <c r="B14" s="13" t="s">
        <v>1276</v>
      </c>
      <c r="C14" s="13" t="s">
        <v>1318</v>
      </c>
      <c r="D14" s="13" t="s">
        <v>1279</v>
      </c>
      <c r="E14" s="13" t="s">
        <v>1327</v>
      </c>
      <c r="F14" s="13" t="s">
        <v>1281</v>
      </c>
      <c r="G14" s="13" t="s">
        <v>1337</v>
      </c>
      <c r="H14" s="13" t="s">
        <v>1283</v>
      </c>
      <c r="I14" s="13" t="s">
        <v>1348</v>
      </c>
      <c r="J14" s="13" t="s">
        <v>1285</v>
      </c>
      <c r="K14" s="13" t="s">
        <v>1357</v>
      </c>
      <c r="L14" s="13" t="s">
        <v>1287</v>
      </c>
      <c r="M14" s="13" t="s">
        <v>1362</v>
      </c>
      <c r="N14" s="13" t="s">
        <v>1289</v>
      </c>
      <c r="O14" s="13" t="s">
        <v>1373</v>
      </c>
      <c r="P14" s="13" t="s">
        <v>1291</v>
      </c>
      <c r="Q14" s="13" t="s">
        <v>1384</v>
      </c>
      <c r="R14" s="13" t="s">
        <v>1293</v>
      </c>
      <c r="S14" s="13" t="s">
        <v>1394</v>
      </c>
      <c r="T14" s="13" t="s">
        <v>1295</v>
      </c>
      <c r="U14" s="13" t="s">
        <v>1401</v>
      </c>
      <c r="V14" s="13" t="s">
        <v>1296</v>
      </c>
    </row>
    <row r="15" spans="1:22" ht="15">
      <c r="A15" s="103" t="s">
        <v>1308</v>
      </c>
      <c r="B15" s="103">
        <v>60</v>
      </c>
      <c r="C15" s="103" t="s">
        <v>1308</v>
      </c>
      <c r="D15" s="103">
        <v>19</v>
      </c>
      <c r="E15" s="103" t="s">
        <v>1308</v>
      </c>
      <c r="F15" s="103">
        <v>5</v>
      </c>
      <c r="G15" s="103" t="s">
        <v>1338</v>
      </c>
      <c r="H15" s="103">
        <v>4</v>
      </c>
      <c r="I15" s="103" t="s">
        <v>1349</v>
      </c>
      <c r="J15" s="103">
        <v>3</v>
      </c>
      <c r="K15" s="103" t="s">
        <v>1309</v>
      </c>
      <c r="L15" s="103">
        <v>17</v>
      </c>
      <c r="M15" s="103" t="s">
        <v>1363</v>
      </c>
      <c r="N15" s="103">
        <v>4</v>
      </c>
      <c r="O15" s="103" t="s">
        <v>1374</v>
      </c>
      <c r="P15" s="103">
        <v>4</v>
      </c>
      <c r="Q15" s="103" t="s">
        <v>1308</v>
      </c>
      <c r="R15" s="103">
        <v>10</v>
      </c>
      <c r="S15" s="103" t="s">
        <v>1310</v>
      </c>
      <c r="T15" s="103">
        <v>4</v>
      </c>
      <c r="U15" s="103" t="s">
        <v>1308</v>
      </c>
      <c r="V15" s="103">
        <v>4</v>
      </c>
    </row>
    <row r="16" spans="1:22" ht="15">
      <c r="A16" s="84" t="s">
        <v>1309</v>
      </c>
      <c r="B16" s="103">
        <v>17</v>
      </c>
      <c r="C16" s="103" t="s">
        <v>1313</v>
      </c>
      <c r="D16" s="103">
        <v>4</v>
      </c>
      <c r="E16" s="103" t="s">
        <v>1328</v>
      </c>
      <c r="F16" s="103">
        <v>3</v>
      </c>
      <c r="G16" s="103" t="s">
        <v>1339</v>
      </c>
      <c r="H16" s="103">
        <v>4</v>
      </c>
      <c r="I16" s="103" t="s">
        <v>1350</v>
      </c>
      <c r="J16" s="103">
        <v>3</v>
      </c>
      <c r="K16" s="103" t="s">
        <v>1308</v>
      </c>
      <c r="L16" s="103">
        <v>11</v>
      </c>
      <c r="M16" s="103" t="s">
        <v>1364</v>
      </c>
      <c r="N16" s="103">
        <v>4</v>
      </c>
      <c r="O16" s="103" t="s">
        <v>1375</v>
      </c>
      <c r="P16" s="103">
        <v>4</v>
      </c>
      <c r="Q16" s="103" t="s">
        <v>1385</v>
      </c>
      <c r="R16" s="103">
        <v>3</v>
      </c>
      <c r="S16" s="103" t="s">
        <v>1311</v>
      </c>
      <c r="T16" s="103">
        <v>4</v>
      </c>
      <c r="U16" s="103" t="s">
        <v>1402</v>
      </c>
      <c r="V16" s="103">
        <v>3</v>
      </c>
    </row>
    <row r="17" spans="1:22" ht="15">
      <c r="A17" s="84" t="s">
        <v>1310</v>
      </c>
      <c r="B17" s="103">
        <v>8</v>
      </c>
      <c r="C17" s="103" t="s">
        <v>1319</v>
      </c>
      <c r="D17" s="103">
        <v>4</v>
      </c>
      <c r="E17" s="103" t="s">
        <v>1329</v>
      </c>
      <c r="F17" s="103">
        <v>2</v>
      </c>
      <c r="G17" s="103" t="s">
        <v>1340</v>
      </c>
      <c r="H17" s="103">
        <v>4</v>
      </c>
      <c r="I17" s="103" t="s">
        <v>1351</v>
      </c>
      <c r="J17" s="103">
        <v>3</v>
      </c>
      <c r="K17" s="103" t="s">
        <v>1314</v>
      </c>
      <c r="L17" s="103">
        <v>6</v>
      </c>
      <c r="M17" s="103" t="s">
        <v>1365</v>
      </c>
      <c r="N17" s="103">
        <v>4</v>
      </c>
      <c r="O17" s="103" t="s">
        <v>1376</v>
      </c>
      <c r="P17" s="103">
        <v>4</v>
      </c>
      <c r="Q17" s="103" t="s">
        <v>1386</v>
      </c>
      <c r="R17" s="103">
        <v>3</v>
      </c>
      <c r="S17" s="103" t="s">
        <v>1312</v>
      </c>
      <c r="T17" s="103">
        <v>4</v>
      </c>
      <c r="U17" s="103" t="s">
        <v>1403</v>
      </c>
      <c r="V17" s="103">
        <v>3</v>
      </c>
    </row>
    <row r="18" spans="1:22" ht="15">
      <c r="A18" s="84" t="s">
        <v>1311</v>
      </c>
      <c r="B18" s="103">
        <v>8</v>
      </c>
      <c r="C18" s="103" t="s">
        <v>1320</v>
      </c>
      <c r="D18" s="103">
        <v>3</v>
      </c>
      <c r="E18" s="103" t="s">
        <v>1330</v>
      </c>
      <c r="F18" s="103">
        <v>2</v>
      </c>
      <c r="G18" s="103" t="s">
        <v>1341</v>
      </c>
      <c r="H18" s="103">
        <v>4</v>
      </c>
      <c r="I18" s="103" t="s">
        <v>1352</v>
      </c>
      <c r="J18" s="103">
        <v>3</v>
      </c>
      <c r="K18" s="103" t="s">
        <v>1315</v>
      </c>
      <c r="L18" s="103">
        <v>6</v>
      </c>
      <c r="M18" s="103" t="s">
        <v>1366</v>
      </c>
      <c r="N18" s="103">
        <v>3</v>
      </c>
      <c r="O18" s="103" t="s">
        <v>1377</v>
      </c>
      <c r="P18" s="103">
        <v>4</v>
      </c>
      <c r="Q18" s="103" t="s">
        <v>1387</v>
      </c>
      <c r="R18" s="103">
        <v>3</v>
      </c>
      <c r="S18" s="103" t="s">
        <v>1308</v>
      </c>
      <c r="T18" s="103">
        <v>2</v>
      </c>
      <c r="U18" s="103" t="s">
        <v>1404</v>
      </c>
      <c r="V18" s="103">
        <v>3</v>
      </c>
    </row>
    <row r="19" spans="1:22" ht="15">
      <c r="A19" s="84" t="s">
        <v>1312</v>
      </c>
      <c r="B19" s="103">
        <v>8</v>
      </c>
      <c r="C19" s="103" t="s">
        <v>1321</v>
      </c>
      <c r="D19" s="103">
        <v>3</v>
      </c>
      <c r="E19" s="103" t="s">
        <v>1331</v>
      </c>
      <c r="F19" s="103">
        <v>2</v>
      </c>
      <c r="G19" s="103" t="s">
        <v>1342</v>
      </c>
      <c r="H19" s="103">
        <v>4</v>
      </c>
      <c r="I19" s="103" t="s">
        <v>1353</v>
      </c>
      <c r="J19" s="103">
        <v>3</v>
      </c>
      <c r="K19" s="103" t="s">
        <v>1316</v>
      </c>
      <c r="L19" s="103">
        <v>6</v>
      </c>
      <c r="M19" s="103" t="s">
        <v>1367</v>
      </c>
      <c r="N19" s="103">
        <v>3</v>
      </c>
      <c r="O19" s="103" t="s">
        <v>1378</v>
      </c>
      <c r="P19" s="103">
        <v>4</v>
      </c>
      <c r="Q19" s="103" t="s">
        <v>1388</v>
      </c>
      <c r="R19" s="103">
        <v>3</v>
      </c>
      <c r="S19" s="103" t="s">
        <v>1395</v>
      </c>
      <c r="T19" s="103">
        <v>2</v>
      </c>
      <c r="U19" s="103"/>
      <c r="V19" s="103"/>
    </row>
    <row r="20" spans="1:22" ht="15">
      <c r="A20" s="84" t="s">
        <v>1313</v>
      </c>
      <c r="B20" s="103">
        <v>7</v>
      </c>
      <c r="C20" s="103" t="s">
        <v>1322</v>
      </c>
      <c r="D20" s="103">
        <v>3</v>
      </c>
      <c r="E20" s="103" t="s">
        <v>1332</v>
      </c>
      <c r="F20" s="103">
        <v>2</v>
      </c>
      <c r="G20" s="103" t="s">
        <v>1343</v>
      </c>
      <c r="H20" s="103">
        <v>4</v>
      </c>
      <c r="I20" s="103" t="s">
        <v>1354</v>
      </c>
      <c r="J20" s="103">
        <v>3</v>
      </c>
      <c r="K20" s="103" t="s">
        <v>1317</v>
      </c>
      <c r="L20" s="103">
        <v>6</v>
      </c>
      <c r="M20" s="103" t="s">
        <v>1368</v>
      </c>
      <c r="N20" s="103">
        <v>3</v>
      </c>
      <c r="O20" s="103" t="s">
        <v>1379</v>
      </c>
      <c r="P20" s="103">
        <v>4</v>
      </c>
      <c r="Q20" s="103" t="s">
        <v>1389</v>
      </c>
      <c r="R20" s="103">
        <v>3</v>
      </c>
      <c r="S20" s="103" t="s">
        <v>1396</v>
      </c>
      <c r="T20" s="103">
        <v>2</v>
      </c>
      <c r="U20" s="103"/>
      <c r="V20" s="103"/>
    </row>
    <row r="21" spans="1:22" ht="15">
      <c r="A21" s="84" t="s">
        <v>1314</v>
      </c>
      <c r="B21" s="103">
        <v>6</v>
      </c>
      <c r="C21" s="103" t="s">
        <v>1323</v>
      </c>
      <c r="D21" s="103">
        <v>3</v>
      </c>
      <c r="E21" s="103" t="s">
        <v>1333</v>
      </c>
      <c r="F21" s="103">
        <v>2</v>
      </c>
      <c r="G21" s="103" t="s">
        <v>1344</v>
      </c>
      <c r="H21" s="103">
        <v>4</v>
      </c>
      <c r="I21" s="103" t="s">
        <v>1355</v>
      </c>
      <c r="J21" s="103">
        <v>3</v>
      </c>
      <c r="K21" s="103" t="s">
        <v>1358</v>
      </c>
      <c r="L21" s="103">
        <v>6</v>
      </c>
      <c r="M21" s="103" t="s">
        <v>1369</v>
      </c>
      <c r="N21" s="103">
        <v>3</v>
      </c>
      <c r="O21" s="103" t="s">
        <v>1380</v>
      </c>
      <c r="P21" s="103">
        <v>4</v>
      </c>
      <c r="Q21" s="103" t="s">
        <v>1390</v>
      </c>
      <c r="R21" s="103">
        <v>3</v>
      </c>
      <c r="S21" s="103" t="s">
        <v>1397</v>
      </c>
      <c r="T21" s="103">
        <v>2</v>
      </c>
      <c r="U21" s="103"/>
      <c r="V21" s="103"/>
    </row>
    <row r="22" spans="1:22" ht="15">
      <c r="A22" s="84" t="s">
        <v>1315</v>
      </c>
      <c r="B22" s="103">
        <v>6</v>
      </c>
      <c r="C22" s="103" t="s">
        <v>1324</v>
      </c>
      <c r="D22" s="103">
        <v>3</v>
      </c>
      <c r="E22" s="103" t="s">
        <v>1334</v>
      </c>
      <c r="F22" s="103">
        <v>2</v>
      </c>
      <c r="G22" s="103" t="s">
        <v>1345</v>
      </c>
      <c r="H22" s="103">
        <v>4</v>
      </c>
      <c r="I22" s="103" t="s">
        <v>1356</v>
      </c>
      <c r="J22" s="103">
        <v>3</v>
      </c>
      <c r="K22" s="103" t="s">
        <v>1359</v>
      </c>
      <c r="L22" s="103">
        <v>6</v>
      </c>
      <c r="M22" s="103" t="s">
        <v>1370</v>
      </c>
      <c r="N22" s="103">
        <v>3</v>
      </c>
      <c r="O22" s="103" t="s">
        <v>1381</v>
      </c>
      <c r="P22" s="103">
        <v>4</v>
      </c>
      <c r="Q22" s="103" t="s">
        <v>1391</v>
      </c>
      <c r="R22" s="103">
        <v>2</v>
      </c>
      <c r="S22" s="103" t="s">
        <v>1398</v>
      </c>
      <c r="T22" s="103">
        <v>2</v>
      </c>
      <c r="U22" s="103"/>
      <c r="V22" s="103"/>
    </row>
    <row r="23" spans="1:22" ht="15">
      <c r="A23" s="84" t="s">
        <v>1316</v>
      </c>
      <c r="B23" s="103">
        <v>6</v>
      </c>
      <c r="C23" s="103" t="s">
        <v>1325</v>
      </c>
      <c r="D23" s="103">
        <v>3</v>
      </c>
      <c r="E23" s="103" t="s">
        <v>1335</v>
      </c>
      <c r="F23" s="103">
        <v>2</v>
      </c>
      <c r="G23" s="103" t="s">
        <v>1346</v>
      </c>
      <c r="H23" s="103">
        <v>3</v>
      </c>
      <c r="I23" s="103" t="s">
        <v>1724</v>
      </c>
      <c r="J23" s="103">
        <v>3</v>
      </c>
      <c r="K23" s="103" t="s">
        <v>1360</v>
      </c>
      <c r="L23" s="103">
        <v>5</v>
      </c>
      <c r="M23" s="103" t="s">
        <v>1371</v>
      </c>
      <c r="N23" s="103">
        <v>2</v>
      </c>
      <c r="O23" s="103" t="s">
        <v>1382</v>
      </c>
      <c r="P23" s="103">
        <v>4</v>
      </c>
      <c r="Q23" s="103" t="s">
        <v>1392</v>
      </c>
      <c r="R23" s="103">
        <v>2</v>
      </c>
      <c r="S23" s="103" t="s">
        <v>1399</v>
      </c>
      <c r="T23" s="103">
        <v>2</v>
      </c>
      <c r="U23" s="103"/>
      <c r="V23" s="103"/>
    </row>
    <row r="24" spans="1:22" ht="15">
      <c r="A24" s="84" t="s">
        <v>1317</v>
      </c>
      <c r="B24" s="103">
        <v>6</v>
      </c>
      <c r="C24" s="103" t="s">
        <v>1326</v>
      </c>
      <c r="D24" s="103">
        <v>3</v>
      </c>
      <c r="E24" s="103" t="s">
        <v>1336</v>
      </c>
      <c r="F24" s="103">
        <v>2</v>
      </c>
      <c r="G24" s="103" t="s">
        <v>1347</v>
      </c>
      <c r="H24" s="103">
        <v>3</v>
      </c>
      <c r="I24" s="103" t="s">
        <v>1725</v>
      </c>
      <c r="J24" s="103">
        <v>3</v>
      </c>
      <c r="K24" s="103" t="s">
        <v>1361</v>
      </c>
      <c r="L24" s="103">
        <v>5</v>
      </c>
      <c r="M24" s="103" t="s">
        <v>1372</v>
      </c>
      <c r="N24" s="103">
        <v>2</v>
      </c>
      <c r="O24" s="103" t="s">
        <v>1383</v>
      </c>
      <c r="P24" s="103">
        <v>4</v>
      </c>
      <c r="Q24" s="103" t="s">
        <v>1393</v>
      </c>
      <c r="R24" s="103">
        <v>2</v>
      </c>
      <c r="S24" s="103" t="s">
        <v>1400</v>
      </c>
      <c r="T24" s="103">
        <v>2</v>
      </c>
      <c r="U24" s="103"/>
      <c r="V24" s="103"/>
    </row>
  </sheetData>
  <printOptions/>
  <pageMargins left="0.7" right="0.7" top="0.75" bottom="0.75" header="0.3" footer="0.3"/>
  <pageSetup orientation="portrait" paperSize="9"/>
  <tableParts>
    <tablePart r:id="rId2"/>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206"/>
  <sheetViews>
    <sheetView tabSelected="1" workbookViewId="0" topLeftCell="A1">
      <pane xSplit="1" ySplit="2" topLeftCell="B3" activePane="bottomRight" state="frozen"/>
      <selection pane="topRight" activeCell="B1" sqref="B1"/>
      <selection pane="bottomLeft" activeCell="A3" sqref="A3"/>
      <selection pane="bottomRight" activeCell="A2" sqref="A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5.7109375" style="2" bestFit="1" customWidth="1"/>
    <col min="31" max="31" width="15.7109375" style="3" bestFit="1" customWidth="1"/>
    <col min="32" max="32" width="14.00390625" style="3" bestFit="1" customWidth="1"/>
    <col min="33" max="33" width="10.421875" style="3" bestFit="1" customWidth="1"/>
    <col min="34" max="34" width="6.7109375" style="3" bestFit="1" customWidth="1"/>
    <col min="35" max="35" width="13.140625" style="0" bestFit="1" customWidth="1"/>
    <col min="36" max="36" width="14.28125" style="0" bestFit="1" customWidth="1"/>
    <col min="37" max="37" width="6.57421875" style="0" bestFit="1" customWidth="1"/>
    <col min="38" max="38" width="9.28125" style="0" bestFit="1" customWidth="1"/>
    <col min="39" max="39" width="19.140625" style="0" bestFit="1" customWidth="1"/>
    <col min="40" max="40" width="23.8515625" style="0" bestFit="1" customWidth="1"/>
    <col min="41" max="41" width="19.140625" style="0" bestFit="1" customWidth="1"/>
    <col min="42" max="42" width="23.8515625" style="0" bestFit="1" customWidth="1"/>
    <col min="43" max="43" width="19.140625" style="0" bestFit="1" customWidth="1"/>
    <col min="44" max="44" width="23.8515625" style="0" bestFit="1" customWidth="1"/>
    <col min="45" max="45" width="18.140625" style="0" bestFit="1" customWidth="1"/>
    <col min="46" max="46" width="22.28125" style="0" bestFit="1" customWidth="1"/>
    <col min="47" max="47" width="17.00390625" style="0" bestFit="1" customWidth="1"/>
    <col min="48" max="48" width="20.57421875" style="0" bestFit="1" customWidth="1"/>
    <col min="49" max="49" width="22.7109375" style="0" bestFit="1" customWidth="1"/>
    <col min="50" max="51" width="22.8515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778</v>
      </c>
      <c r="AE2" s="13" t="s">
        <v>779</v>
      </c>
      <c r="AF2" s="13" t="s">
        <v>780</v>
      </c>
      <c r="AG2" s="13" t="s">
        <v>781</v>
      </c>
      <c r="AH2" s="13" t="s">
        <v>782</v>
      </c>
      <c r="AI2" s="13" t="s">
        <v>783</v>
      </c>
      <c r="AJ2" s="13" t="s">
        <v>784</v>
      </c>
      <c r="AK2" s="13" t="s">
        <v>785</v>
      </c>
      <c r="AL2" s="13" t="s">
        <v>831</v>
      </c>
      <c r="AM2" s="107" t="s">
        <v>1237</v>
      </c>
      <c r="AN2" s="107" t="s">
        <v>1238</v>
      </c>
      <c r="AO2" s="107" t="s">
        <v>1239</v>
      </c>
      <c r="AP2" s="107" t="s">
        <v>1240</v>
      </c>
      <c r="AQ2" s="107" t="s">
        <v>1241</v>
      </c>
      <c r="AR2" s="107" t="s">
        <v>1242</v>
      </c>
      <c r="AS2" s="107" t="s">
        <v>1243</v>
      </c>
      <c r="AT2" s="107" t="s">
        <v>1244</v>
      </c>
      <c r="AU2" s="107" t="s">
        <v>1246</v>
      </c>
      <c r="AV2" s="107" t="s">
        <v>1417</v>
      </c>
      <c r="AW2" s="107" t="s">
        <v>1544</v>
      </c>
      <c r="AX2" s="107" t="s">
        <v>1560</v>
      </c>
      <c r="AY2" s="107" t="s">
        <v>1678</v>
      </c>
      <c r="AZ2" s="3"/>
      <c r="BA2" s="3"/>
    </row>
    <row r="3" spans="1:53" ht="15" customHeight="1">
      <c r="A3" s="68" t="s">
        <v>518</v>
      </c>
      <c r="B3" s="69"/>
      <c r="C3" s="69"/>
      <c r="D3" s="70">
        <v>69.13648239982504</v>
      </c>
      <c r="E3" s="72"/>
      <c r="F3" s="69"/>
      <c r="G3" s="69"/>
      <c r="H3" s="73" t="s">
        <v>518</v>
      </c>
      <c r="I3" s="74"/>
      <c r="J3" s="74"/>
      <c r="K3" s="73" t="s">
        <v>518</v>
      </c>
      <c r="L3" s="77">
        <v>109.60532672839715</v>
      </c>
      <c r="M3" s="78">
        <v>748.4719848632812</v>
      </c>
      <c r="N3" s="78">
        <v>2044.9857177734375</v>
      </c>
      <c r="O3" s="79"/>
      <c r="P3" s="80"/>
      <c r="Q3" s="80"/>
      <c r="R3" s="49"/>
      <c r="S3" s="49">
        <v>1</v>
      </c>
      <c r="T3" s="49">
        <v>1</v>
      </c>
      <c r="U3" s="50">
        <v>404</v>
      </c>
      <c r="V3" s="50">
        <v>0.001098</v>
      </c>
      <c r="W3" s="50">
        <v>0.002773</v>
      </c>
      <c r="X3" s="50">
        <v>0.839112</v>
      </c>
      <c r="Y3" s="50">
        <v>0</v>
      </c>
      <c r="Z3" s="50">
        <v>0</v>
      </c>
      <c r="AA3" s="75">
        <v>3</v>
      </c>
      <c r="AB3" s="75"/>
      <c r="AC3" s="76"/>
      <c r="AD3" s="82" t="s">
        <v>786</v>
      </c>
      <c r="AE3" s="99" t="str">
        <f>HYPERLINK("http://en.wikipedia.org/wiki/User:Nep")</f>
        <v>http://en.wikipedia.org/wiki/User:Nep</v>
      </c>
      <c r="AF3" s="82" t="s">
        <v>806</v>
      </c>
      <c r="AG3" s="82"/>
      <c r="AH3" s="82"/>
      <c r="AI3" s="82">
        <v>0.2335165</v>
      </c>
      <c r="AJ3" s="82">
        <v>182</v>
      </c>
      <c r="AK3" s="82"/>
      <c r="AL3" s="82" t="str">
        <f>REPLACE(INDEX(GroupVertices[Group],MATCH(Vertices[[#This Row],[Vertex]],GroupVertices[Vertex],0)),1,1,"")</f>
        <v>2</v>
      </c>
      <c r="AM3" s="49"/>
      <c r="AN3" s="50"/>
      <c r="AO3" s="49"/>
      <c r="AP3" s="50"/>
      <c r="AQ3" s="49"/>
      <c r="AR3" s="50"/>
      <c r="AS3" s="49"/>
      <c r="AT3" s="50"/>
      <c r="AU3" s="49"/>
      <c r="AV3" s="111" t="s">
        <v>1418</v>
      </c>
      <c r="AW3" s="111" t="s">
        <v>1418</v>
      </c>
      <c r="AX3" s="111" t="s">
        <v>1418</v>
      </c>
      <c r="AY3" s="111" t="s">
        <v>1418</v>
      </c>
      <c r="AZ3" s="3"/>
      <c r="BA3" s="3"/>
    </row>
    <row r="4" spans="1:56" ht="15">
      <c r="A4" s="68" t="s">
        <v>519</v>
      </c>
      <c r="B4" s="69"/>
      <c r="C4" s="69"/>
      <c r="D4" s="70">
        <v>50</v>
      </c>
      <c r="E4" s="72"/>
      <c r="F4" s="69"/>
      <c r="G4" s="69"/>
      <c r="H4" s="73" t="s">
        <v>519</v>
      </c>
      <c r="I4" s="74"/>
      <c r="J4" s="74"/>
      <c r="K4" s="73" t="s">
        <v>519</v>
      </c>
      <c r="L4" s="77">
        <v>1</v>
      </c>
      <c r="M4" s="78">
        <v>2166.835693359375</v>
      </c>
      <c r="N4" s="78">
        <v>2247.555419921875</v>
      </c>
      <c r="O4" s="79"/>
      <c r="P4" s="80"/>
      <c r="Q4" s="80"/>
      <c r="R4" s="85"/>
      <c r="S4" s="49">
        <v>1</v>
      </c>
      <c r="T4" s="49">
        <v>0</v>
      </c>
      <c r="U4" s="50">
        <v>0</v>
      </c>
      <c r="V4" s="50">
        <v>0.000898</v>
      </c>
      <c r="W4" s="50">
        <v>0.000356</v>
      </c>
      <c r="X4" s="50">
        <v>0.506622</v>
      </c>
      <c r="Y4" s="50">
        <v>0</v>
      </c>
      <c r="Z4" s="50">
        <v>0</v>
      </c>
      <c r="AA4" s="75">
        <v>4</v>
      </c>
      <c r="AB4" s="75"/>
      <c r="AC4" s="76"/>
      <c r="AD4" s="82" t="s">
        <v>786</v>
      </c>
      <c r="AE4" s="99" t="str">
        <f>HYPERLINK("http://en.wikipedia.org/wiki/User:Mmeiser")</f>
        <v>http://en.wikipedia.org/wiki/User:Mmeiser</v>
      </c>
      <c r="AF4" s="82" t="s">
        <v>806</v>
      </c>
      <c r="AG4" s="82"/>
      <c r="AH4" s="82"/>
      <c r="AI4" s="82">
        <v>0.6276414</v>
      </c>
      <c r="AJ4" s="82">
        <v>163</v>
      </c>
      <c r="AK4" s="82"/>
      <c r="AL4" s="82" t="str">
        <f>REPLACE(INDEX(GroupVertices[Group],MATCH(Vertices[[#This Row],[Vertex]],GroupVertices[Vertex],0)),1,1,"")</f>
        <v>2</v>
      </c>
      <c r="AM4" s="49"/>
      <c r="AN4" s="50"/>
      <c r="AO4" s="49"/>
      <c r="AP4" s="50"/>
      <c r="AQ4" s="49"/>
      <c r="AR4" s="50"/>
      <c r="AS4" s="49"/>
      <c r="AT4" s="50"/>
      <c r="AU4" s="49"/>
      <c r="AV4" s="49"/>
      <c r="AW4" s="49"/>
      <c r="AX4" s="49"/>
      <c r="AY4" s="49"/>
      <c r="AZ4" s="2"/>
      <c r="BA4" s="3"/>
      <c r="BB4" s="3"/>
      <c r="BC4" s="3"/>
      <c r="BD4" s="3"/>
    </row>
    <row r="5" spans="1:56" ht="15">
      <c r="A5" s="68" t="s">
        <v>316</v>
      </c>
      <c r="B5" s="69"/>
      <c r="C5" s="69"/>
      <c r="D5" s="70">
        <v>200</v>
      </c>
      <c r="E5" s="72"/>
      <c r="F5" s="69"/>
      <c r="G5" s="69"/>
      <c r="H5" s="73" t="s">
        <v>316</v>
      </c>
      <c r="I5" s="74"/>
      <c r="J5" s="74"/>
      <c r="K5" s="73" t="s">
        <v>316</v>
      </c>
      <c r="L5" s="77">
        <v>1554.2712322690068</v>
      </c>
      <c r="M5" s="78">
        <v>1738.5146484375</v>
      </c>
      <c r="N5" s="78">
        <v>2760.9296875</v>
      </c>
      <c r="O5" s="79"/>
      <c r="P5" s="80"/>
      <c r="Q5" s="80"/>
      <c r="R5" s="85"/>
      <c r="S5" s="49">
        <v>10</v>
      </c>
      <c r="T5" s="49">
        <v>9</v>
      </c>
      <c r="U5" s="50">
        <v>5778</v>
      </c>
      <c r="V5" s="50">
        <v>0.001406</v>
      </c>
      <c r="W5" s="50">
        <v>0.021257</v>
      </c>
      <c r="X5" s="50">
        <v>4.257365</v>
      </c>
      <c r="Y5" s="50">
        <v>0.02564102564102564</v>
      </c>
      <c r="Z5" s="50">
        <v>0.3076923076923077</v>
      </c>
      <c r="AA5" s="75">
        <v>5</v>
      </c>
      <c r="AB5" s="75"/>
      <c r="AC5" s="76"/>
      <c r="AD5" s="82" t="s">
        <v>786</v>
      </c>
      <c r="AE5" s="99" t="str">
        <f>HYPERLINK("http://en.wikipedia.org/wiki/User:EdJohnston")</f>
        <v>http://en.wikipedia.org/wiki/User:EdJohnston</v>
      </c>
      <c r="AF5" s="82" t="s">
        <v>806</v>
      </c>
      <c r="AG5" s="82"/>
      <c r="AH5" s="82"/>
      <c r="AI5" s="82">
        <v>0.5960491</v>
      </c>
      <c r="AJ5" s="82">
        <v>500</v>
      </c>
      <c r="AK5" s="82"/>
      <c r="AL5" s="82" t="str">
        <f>REPLACE(INDEX(GroupVertices[Group],MATCH(Vertices[[#This Row],[Vertex]],GroupVertices[Vertex],0)),1,1,"")</f>
        <v>2</v>
      </c>
      <c r="AM5" s="49">
        <v>3</v>
      </c>
      <c r="AN5" s="50">
        <v>3.4482758620689653</v>
      </c>
      <c r="AO5" s="49">
        <v>3</v>
      </c>
      <c r="AP5" s="50">
        <v>3.4482758620689653</v>
      </c>
      <c r="AQ5" s="49">
        <v>0</v>
      </c>
      <c r="AR5" s="50">
        <v>0</v>
      </c>
      <c r="AS5" s="49">
        <v>81</v>
      </c>
      <c r="AT5" s="50">
        <v>93.10344827586206</v>
      </c>
      <c r="AU5" s="49">
        <v>87</v>
      </c>
      <c r="AV5" s="111" t="s">
        <v>1419</v>
      </c>
      <c r="AW5" s="111" t="s">
        <v>1545</v>
      </c>
      <c r="AX5" s="111" t="s">
        <v>1561</v>
      </c>
      <c r="AY5" s="111" t="s">
        <v>1561</v>
      </c>
      <c r="AZ5" s="2"/>
      <c r="BA5" s="3"/>
      <c r="BB5" s="3"/>
      <c r="BC5" s="3"/>
      <c r="BD5" s="3"/>
    </row>
    <row r="6" spans="1:56" ht="15">
      <c r="A6" s="68" t="s">
        <v>317</v>
      </c>
      <c r="B6" s="69"/>
      <c r="C6" s="69"/>
      <c r="D6" s="70">
        <v>50</v>
      </c>
      <c r="E6" s="72"/>
      <c r="F6" s="69"/>
      <c r="G6" s="69"/>
      <c r="H6" s="73" t="s">
        <v>317</v>
      </c>
      <c r="I6" s="74"/>
      <c r="J6" s="74"/>
      <c r="K6" s="73" t="s">
        <v>317</v>
      </c>
      <c r="L6" s="77">
        <v>1</v>
      </c>
      <c r="M6" s="78">
        <v>1675.771728515625</v>
      </c>
      <c r="N6" s="78">
        <v>3473.86767578125</v>
      </c>
      <c r="O6" s="79"/>
      <c r="P6" s="80"/>
      <c r="Q6" s="80"/>
      <c r="R6" s="85"/>
      <c r="S6" s="49">
        <v>1</v>
      </c>
      <c r="T6" s="49">
        <v>1</v>
      </c>
      <c r="U6" s="50">
        <v>0</v>
      </c>
      <c r="V6" s="50">
        <v>0.001096</v>
      </c>
      <c r="W6" s="50">
        <v>0.003129</v>
      </c>
      <c r="X6" s="50">
        <v>0.710405</v>
      </c>
      <c r="Y6" s="50">
        <v>1</v>
      </c>
      <c r="Z6" s="50">
        <v>0</v>
      </c>
      <c r="AA6" s="75">
        <v>6</v>
      </c>
      <c r="AB6" s="75"/>
      <c r="AC6" s="76"/>
      <c r="AD6" s="82" t="s">
        <v>786</v>
      </c>
      <c r="AE6" s="99" t="str">
        <f>HYPERLINK("http://en.wikipedia.org/wiki/User:Saramcgo")</f>
        <v>http://en.wikipedia.org/wiki/User:Saramcgo</v>
      </c>
      <c r="AF6" s="82" t="s">
        <v>806</v>
      </c>
      <c r="AG6" s="82"/>
      <c r="AH6" s="82"/>
      <c r="AI6" s="82">
        <v>0.3125</v>
      </c>
      <c r="AJ6" s="82">
        <v>8</v>
      </c>
      <c r="AK6" s="82"/>
      <c r="AL6" s="82" t="str">
        <f>REPLACE(INDEX(GroupVertices[Group],MATCH(Vertices[[#This Row],[Vertex]],GroupVertices[Vertex],0)),1,1,"")</f>
        <v>2</v>
      </c>
      <c r="AM6" s="49"/>
      <c r="AN6" s="50"/>
      <c r="AO6" s="49"/>
      <c r="AP6" s="50"/>
      <c r="AQ6" s="49"/>
      <c r="AR6" s="50"/>
      <c r="AS6" s="49"/>
      <c r="AT6" s="50"/>
      <c r="AU6" s="49"/>
      <c r="AV6" s="111" t="s">
        <v>1418</v>
      </c>
      <c r="AW6" s="111" t="s">
        <v>1418</v>
      </c>
      <c r="AX6" s="111" t="s">
        <v>1418</v>
      </c>
      <c r="AY6" s="111" t="s">
        <v>1418</v>
      </c>
      <c r="AZ6" s="2"/>
      <c r="BA6" s="3"/>
      <c r="BB6" s="3"/>
      <c r="BC6" s="3"/>
      <c r="BD6" s="3"/>
    </row>
    <row r="7" spans="1:56" ht="15">
      <c r="A7" s="68" t="s">
        <v>318</v>
      </c>
      <c r="B7" s="69"/>
      <c r="C7" s="69"/>
      <c r="D7" s="70">
        <v>50</v>
      </c>
      <c r="E7" s="72"/>
      <c r="F7" s="69"/>
      <c r="G7" s="69"/>
      <c r="H7" s="73" t="s">
        <v>318</v>
      </c>
      <c r="I7" s="74"/>
      <c r="J7" s="74"/>
      <c r="K7" s="73" t="s">
        <v>318</v>
      </c>
      <c r="L7" s="77">
        <v>1</v>
      </c>
      <c r="M7" s="78">
        <v>913.8314208984375</v>
      </c>
      <c r="N7" s="78">
        <v>1285.0328369140625</v>
      </c>
      <c r="O7" s="79"/>
      <c r="P7" s="80"/>
      <c r="Q7" s="80"/>
      <c r="R7" s="85"/>
      <c r="S7" s="49">
        <v>1</v>
      </c>
      <c r="T7" s="49">
        <v>2</v>
      </c>
      <c r="U7" s="50">
        <v>0</v>
      </c>
      <c r="V7" s="50">
        <v>0.001096</v>
      </c>
      <c r="W7" s="50">
        <v>0.003129</v>
      </c>
      <c r="X7" s="50">
        <v>0.710405</v>
      </c>
      <c r="Y7" s="50">
        <v>0.5</v>
      </c>
      <c r="Z7" s="50">
        <v>0.5</v>
      </c>
      <c r="AA7" s="75">
        <v>7</v>
      </c>
      <c r="AB7" s="75"/>
      <c r="AC7" s="76"/>
      <c r="AD7" s="82" t="s">
        <v>786</v>
      </c>
      <c r="AE7" s="99" t="str">
        <f>HYPERLINK("http://en.wikipedia.org/wiki/User:Dpm64")</f>
        <v>http://en.wikipedia.org/wiki/User:Dpm64</v>
      </c>
      <c r="AF7" s="82" t="s">
        <v>806</v>
      </c>
      <c r="AG7" s="82"/>
      <c r="AH7" s="82"/>
      <c r="AI7" s="82">
        <v>0.3174771</v>
      </c>
      <c r="AJ7" s="82">
        <v>500</v>
      </c>
      <c r="AK7" s="82"/>
      <c r="AL7" s="82" t="str">
        <f>REPLACE(INDEX(GroupVertices[Group],MATCH(Vertices[[#This Row],[Vertex]],GroupVertices[Vertex],0)),1,1,"")</f>
        <v>2</v>
      </c>
      <c r="AM7" s="49">
        <v>1</v>
      </c>
      <c r="AN7" s="50">
        <v>4.761904761904762</v>
      </c>
      <c r="AO7" s="49">
        <v>0</v>
      </c>
      <c r="AP7" s="50">
        <v>0</v>
      </c>
      <c r="AQ7" s="49">
        <v>0</v>
      </c>
      <c r="AR7" s="50">
        <v>0</v>
      </c>
      <c r="AS7" s="49">
        <v>20</v>
      </c>
      <c r="AT7" s="50">
        <v>95.23809523809524</v>
      </c>
      <c r="AU7" s="49">
        <v>21</v>
      </c>
      <c r="AV7" s="111" t="s">
        <v>1420</v>
      </c>
      <c r="AW7" s="111" t="s">
        <v>1420</v>
      </c>
      <c r="AX7" s="111" t="s">
        <v>1738</v>
      </c>
      <c r="AY7" s="111" t="s">
        <v>1738</v>
      </c>
      <c r="AZ7" s="2"/>
      <c r="BA7" s="3"/>
      <c r="BB7" s="3"/>
      <c r="BC7" s="3"/>
      <c r="BD7" s="3"/>
    </row>
    <row r="8" spans="1:56" ht="15">
      <c r="A8" s="68" t="s">
        <v>319</v>
      </c>
      <c r="B8" s="69"/>
      <c r="C8" s="69"/>
      <c r="D8" s="70">
        <v>50</v>
      </c>
      <c r="E8" s="72"/>
      <c r="F8" s="69"/>
      <c r="G8" s="69"/>
      <c r="H8" s="73" t="s">
        <v>319</v>
      </c>
      <c r="I8" s="74"/>
      <c r="J8" s="74"/>
      <c r="K8" s="73" t="s">
        <v>319</v>
      </c>
      <c r="L8" s="77">
        <v>1</v>
      </c>
      <c r="M8" s="78">
        <v>942.2894897460938</v>
      </c>
      <c r="N8" s="78">
        <v>3027.571044921875</v>
      </c>
      <c r="O8" s="79"/>
      <c r="P8" s="80"/>
      <c r="Q8" s="80"/>
      <c r="R8" s="85"/>
      <c r="S8" s="49">
        <v>1</v>
      </c>
      <c r="T8" s="49">
        <v>1</v>
      </c>
      <c r="U8" s="50">
        <v>0</v>
      </c>
      <c r="V8" s="50">
        <v>0.000899</v>
      </c>
      <c r="W8" s="50">
        <v>0.000408</v>
      </c>
      <c r="X8" s="50">
        <v>0.464755</v>
      </c>
      <c r="Y8" s="50">
        <v>0</v>
      </c>
      <c r="Z8" s="50">
        <v>1</v>
      </c>
      <c r="AA8" s="75">
        <v>8</v>
      </c>
      <c r="AB8" s="75"/>
      <c r="AC8" s="76"/>
      <c r="AD8" s="82" t="s">
        <v>786</v>
      </c>
      <c r="AE8" s="99" t="str">
        <f>HYPERLINK("http://en.wikipedia.org/wiki/User:HagermanBot")</f>
        <v>http://en.wikipedia.org/wiki/User:HagermanBot</v>
      </c>
      <c r="AF8" s="82" t="s">
        <v>806</v>
      </c>
      <c r="AG8" s="82"/>
      <c r="AH8" s="82"/>
      <c r="AI8" s="82">
        <v>0.1293921</v>
      </c>
      <c r="AJ8" s="82">
        <v>500</v>
      </c>
      <c r="AK8" s="82"/>
      <c r="AL8" s="82" t="str">
        <f>REPLACE(INDEX(GroupVertices[Group],MATCH(Vertices[[#This Row],[Vertex]],GroupVertices[Vertex],0)),1,1,"")</f>
        <v>2</v>
      </c>
      <c r="AM8" s="49">
        <v>0</v>
      </c>
      <c r="AN8" s="50">
        <v>0</v>
      </c>
      <c r="AO8" s="49">
        <v>0</v>
      </c>
      <c r="AP8" s="50">
        <v>0</v>
      </c>
      <c r="AQ8" s="49">
        <v>0</v>
      </c>
      <c r="AR8" s="50">
        <v>0</v>
      </c>
      <c r="AS8" s="49">
        <v>14</v>
      </c>
      <c r="AT8" s="50">
        <v>100</v>
      </c>
      <c r="AU8" s="49">
        <v>14</v>
      </c>
      <c r="AV8" s="111" t="s">
        <v>1421</v>
      </c>
      <c r="AW8" s="111" t="s">
        <v>1421</v>
      </c>
      <c r="AX8" s="111" t="s">
        <v>1562</v>
      </c>
      <c r="AY8" s="111" t="s">
        <v>1562</v>
      </c>
      <c r="AZ8" s="2"/>
      <c r="BA8" s="3"/>
      <c r="BB8" s="3"/>
      <c r="BC8" s="3"/>
      <c r="BD8" s="3"/>
    </row>
    <row r="9" spans="1:56" ht="15">
      <c r="A9" s="68" t="s">
        <v>320</v>
      </c>
      <c r="B9" s="69"/>
      <c r="C9" s="69"/>
      <c r="D9" s="70">
        <v>69.13648239982504</v>
      </c>
      <c r="E9" s="72"/>
      <c r="F9" s="69"/>
      <c r="G9" s="69"/>
      <c r="H9" s="73" t="s">
        <v>320</v>
      </c>
      <c r="I9" s="74"/>
      <c r="J9" s="74"/>
      <c r="K9" s="73" t="s">
        <v>320</v>
      </c>
      <c r="L9" s="77">
        <v>109.60532672839715</v>
      </c>
      <c r="M9" s="78">
        <v>2171.799560546875</v>
      </c>
      <c r="N9" s="78">
        <v>4079.331298828125</v>
      </c>
      <c r="O9" s="79"/>
      <c r="P9" s="80"/>
      <c r="Q9" s="80"/>
      <c r="R9" s="85"/>
      <c r="S9" s="49">
        <v>2</v>
      </c>
      <c r="T9" s="49">
        <v>2</v>
      </c>
      <c r="U9" s="50">
        <v>404</v>
      </c>
      <c r="V9" s="50">
        <v>0.001099</v>
      </c>
      <c r="W9" s="50">
        <v>0.003182</v>
      </c>
      <c r="X9" s="50">
        <v>1.1109</v>
      </c>
      <c r="Y9" s="50">
        <v>0.16666666666666666</v>
      </c>
      <c r="Z9" s="50">
        <v>0.3333333333333333</v>
      </c>
      <c r="AA9" s="75">
        <v>9</v>
      </c>
      <c r="AB9" s="75"/>
      <c r="AC9" s="76"/>
      <c r="AD9" s="82" t="s">
        <v>786</v>
      </c>
      <c r="AE9" s="99" t="str">
        <f>HYPERLINK("http://en.wikipedia.org/wiki/User:222.155.173.208")</f>
        <v>http://en.wikipedia.org/wiki/User:222.155.173.208</v>
      </c>
      <c r="AF9" s="82" t="s">
        <v>806</v>
      </c>
      <c r="AG9" s="82"/>
      <c r="AH9" s="82"/>
      <c r="AI9" s="82">
        <v>0.2417582</v>
      </c>
      <c r="AJ9" s="82">
        <v>13</v>
      </c>
      <c r="AK9" s="82"/>
      <c r="AL9" s="82" t="str">
        <f>REPLACE(INDEX(GroupVertices[Group],MATCH(Vertices[[#This Row],[Vertex]],GroupVertices[Vertex],0)),1,1,"")</f>
        <v>2</v>
      </c>
      <c r="AM9" s="49">
        <v>0</v>
      </c>
      <c r="AN9" s="50">
        <v>0</v>
      </c>
      <c r="AO9" s="49">
        <v>0</v>
      </c>
      <c r="AP9" s="50">
        <v>0</v>
      </c>
      <c r="AQ9" s="49">
        <v>0</v>
      </c>
      <c r="AR9" s="50">
        <v>0</v>
      </c>
      <c r="AS9" s="49">
        <v>4</v>
      </c>
      <c r="AT9" s="50">
        <v>100</v>
      </c>
      <c r="AU9" s="49">
        <v>4</v>
      </c>
      <c r="AV9" s="111" t="s">
        <v>1422</v>
      </c>
      <c r="AW9" s="111" t="s">
        <v>1422</v>
      </c>
      <c r="AX9" s="111" t="s">
        <v>1328</v>
      </c>
      <c r="AY9" s="111" t="s">
        <v>1328</v>
      </c>
      <c r="AZ9" s="2"/>
      <c r="BA9" s="3"/>
      <c r="BB9" s="3"/>
      <c r="BC9" s="3"/>
      <c r="BD9" s="3"/>
    </row>
    <row r="10" spans="1:56" ht="15">
      <c r="A10" s="68" t="s">
        <v>321</v>
      </c>
      <c r="B10" s="69"/>
      <c r="C10" s="69"/>
      <c r="D10" s="70">
        <v>50</v>
      </c>
      <c r="E10" s="72"/>
      <c r="F10" s="69"/>
      <c r="G10" s="69"/>
      <c r="H10" s="73" t="s">
        <v>321</v>
      </c>
      <c r="I10" s="74"/>
      <c r="J10" s="74"/>
      <c r="K10" s="73" t="s">
        <v>321</v>
      </c>
      <c r="L10" s="77">
        <v>1</v>
      </c>
      <c r="M10" s="78">
        <v>2568.744873046875</v>
      </c>
      <c r="N10" s="78">
        <v>1487.4112548828125</v>
      </c>
      <c r="O10" s="79"/>
      <c r="P10" s="80"/>
      <c r="Q10" s="80"/>
      <c r="R10" s="85"/>
      <c r="S10" s="49">
        <v>1</v>
      </c>
      <c r="T10" s="49">
        <v>1</v>
      </c>
      <c r="U10" s="50">
        <v>0</v>
      </c>
      <c r="V10" s="50">
        <v>0.001098</v>
      </c>
      <c r="W10" s="50">
        <v>0.003136</v>
      </c>
      <c r="X10" s="50">
        <v>0.723238</v>
      </c>
      <c r="Y10" s="50">
        <v>0.5</v>
      </c>
      <c r="Z10" s="50">
        <v>0</v>
      </c>
      <c r="AA10" s="75">
        <v>10</v>
      </c>
      <c r="AB10" s="75"/>
      <c r="AC10" s="76"/>
      <c r="AD10" s="82" t="s">
        <v>786</v>
      </c>
      <c r="AE10" s="99" t="str">
        <f>HYPERLINK("http://en.wikipedia.org/wiki/User:Spur")</f>
        <v>http://en.wikipedia.org/wiki/User:Spur</v>
      </c>
      <c r="AF10" s="82" t="s">
        <v>806</v>
      </c>
      <c r="AG10" s="82"/>
      <c r="AH10" s="82"/>
      <c r="AI10" s="82">
        <v>0.230626</v>
      </c>
      <c r="AJ10" s="82">
        <v>61</v>
      </c>
      <c r="AK10" s="82"/>
      <c r="AL10" s="82" t="str">
        <f>REPLACE(INDEX(GroupVertices[Group],MATCH(Vertices[[#This Row],[Vertex]],GroupVertices[Vertex],0)),1,1,"")</f>
        <v>2</v>
      </c>
      <c r="AM10" s="49">
        <v>0</v>
      </c>
      <c r="AN10" s="50">
        <v>0</v>
      </c>
      <c r="AO10" s="49">
        <v>0</v>
      </c>
      <c r="AP10" s="50">
        <v>0</v>
      </c>
      <c r="AQ10" s="49">
        <v>0</v>
      </c>
      <c r="AR10" s="50">
        <v>0</v>
      </c>
      <c r="AS10" s="49">
        <v>3</v>
      </c>
      <c r="AT10" s="50">
        <v>100</v>
      </c>
      <c r="AU10" s="49">
        <v>3</v>
      </c>
      <c r="AV10" s="111" t="s">
        <v>1423</v>
      </c>
      <c r="AW10" s="111" t="s">
        <v>1423</v>
      </c>
      <c r="AX10" s="111" t="s">
        <v>1563</v>
      </c>
      <c r="AY10" s="111" t="s">
        <v>1563</v>
      </c>
      <c r="AZ10" s="2"/>
      <c r="BA10" s="3"/>
      <c r="BB10" s="3"/>
      <c r="BC10" s="3"/>
      <c r="BD10" s="3"/>
    </row>
    <row r="11" spans="1:56" ht="15">
      <c r="A11" s="68" t="s">
        <v>322</v>
      </c>
      <c r="B11" s="69"/>
      <c r="C11" s="69"/>
      <c r="D11" s="70">
        <v>59.52087366921988</v>
      </c>
      <c r="E11" s="72"/>
      <c r="F11" s="69"/>
      <c r="G11" s="69"/>
      <c r="H11" s="73" t="s">
        <v>322</v>
      </c>
      <c r="I11" s="74"/>
      <c r="J11" s="74"/>
      <c r="K11" s="73" t="s">
        <v>322</v>
      </c>
      <c r="L11" s="77">
        <v>55.03383829803917</v>
      </c>
      <c r="M11" s="78">
        <v>1508.1993408203125</v>
      </c>
      <c r="N11" s="78">
        <v>4450.423828125</v>
      </c>
      <c r="O11" s="79"/>
      <c r="P11" s="80"/>
      <c r="Q11" s="80"/>
      <c r="R11" s="85"/>
      <c r="S11" s="49">
        <v>2</v>
      </c>
      <c r="T11" s="49">
        <v>2</v>
      </c>
      <c r="U11" s="50">
        <v>201</v>
      </c>
      <c r="V11" s="50">
        <v>0.001098</v>
      </c>
      <c r="W11" s="50">
        <v>0.003252</v>
      </c>
      <c r="X11" s="50">
        <v>0.992432</v>
      </c>
      <c r="Y11" s="50">
        <v>0</v>
      </c>
      <c r="Z11" s="50">
        <v>0</v>
      </c>
      <c r="AA11" s="75">
        <v>11</v>
      </c>
      <c r="AB11" s="75"/>
      <c r="AC11" s="76"/>
      <c r="AD11" s="82" t="s">
        <v>786</v>
      </c>
      <c r="AE11" s="99" t="str">
        <f>HYPERLINK("http://en.wikipedia.org/wiki/User:Jdlasica")</f>
        <v>http://en.wikipedia.org/wiki/User:Jdlasica</v>
      </c>
      <c r="AF11" s="82" t="s">
        <v>806</v>
      </c>
      <c r="AG11" s="82"/>
      <c r="AH11" s="82"/>
      <c r="AI11" s="82">
        <v>0</v>
      </c>
      <c r="AJ11" s="82">
        <v>4</v>
      </c>
      <c r="AK11" s="82"/>
      <c r="AL11" s="82" t="str">
        <f>REPLACE(INDEX(GroupVertices[Group],MATCH(Vertices[[#This Row],[Vertex]],GroupVertices[Vertex],0)),1,1,"")</f>
        <v>2</v>
      </c>
      <c r="AM11" s="49">
        <v>0</v>
      </c>
      <c r="AN11" s="50">
        <v>0</v>
      </c>
      <c r="AO11" s="49">
        <v>0</v>
      </c>
      <c r="AP11" s="50">
        <v>0</v>
      </c>
      <c r="AQ11" s="49">
        <v>0</v>
      </c>
      <c r="AR11" s="50">
        <v>0</v>
      </c>
      <c r="AS11" s="49">
        <v>8</v>
      </c>
      <c r="AT11" s="50">
        <v>100</v>
      </c>
      <c r="AU11" s="49">
        <v>8</v>
      </c>
      <c r="AV11" s="111" t="s">
        <v>1424</v>
      </c>
      <c r="AW11" s="111" t="s">
        <v>1424</v>
      </c>
      <c r="AX11" s="111" t="s">
        <v>1564</v>
      </c>
      <c r="AY11" s="111" t="s">
        <v>1564</v>
      </c>
      <c r="AZ11" s="2"/>
      <c r="BA11" s="3"/>
      <c r="BB11" s="3"/>
      <c r="BC11" s="3"/>
      <c r="BD11" s="3"/>
    </row>
    <row r="12" spans="1:56" ht="15">
      <c r="A12" s="68" t="s">
        <v>323</v>
      </c>
      <c r="B12" s="69"/>
      <c r="C12" s="69"/>
      <c r="D12" s="70">
        <v>50.04736753069264</v>
      </c>
      <c r="E12" s="72"/>
      <c r="F12" s="69"/>
      <c r="G12" s="69"/>
      <c r="H12" s="73" t="s">
        <v>323</v>
      </c>
      <c r="I12" s="74"/>
      <c r="J12" s="74"/>
      <c r="K12" s="73" t="s">
        <v>323</v>
      </c>
      <c r="L12" s="77">
        <v>1.268825066159399</v>
      </c>
      <c r="M12" s="78">
        <v>1664.931396484375</v>
      </c>
      <c r="N12" s="78">
        <v>854.144775390625</v>
      </c>
      <c r="O12" s="79"/>
      <c r="P12" s="80"/>
      <c r="Q12" s="80"/>
      <c r="R12" s="85"/>
      <c r="S12" s="49">
        <v>1</v>
      </c>
      <c r="T12" s="49">
        <v>1</v>
      </c>
      <c r="U12" s="50">
        <v>1</v>
      </c>
      <c r="V12" s="50">
        <v>0.0009</v>
      </c>
      <c r="W12" s="50">
        <v>0.000834</v>
      </c>
      <c r="X12" s="50">
        <v>0.712378</v>
      </c>
      <c r="Y12" s="50">
        <v>0</v>
      </c>
      <c r="Z12" s="50">
        <v>0</v>
      </c>
      <c r="AA12" s="75">
        <v>12</v>
      </c>
      <c r="AB12" s="75"/>
      <c r="AC12" s="76"/>
      <c r="AD12" s="82" t="s">
        <v>786</v>
      </c>
      <c r="AE12" s="82" t="s">
        <v>787</v>
      </c>
      <c r="AF12" s="82" t="s">
        <v>806</v>
      </c>
      <c r="AG12" s="82"/>
      <c r="AH12" s="82"/>
      <c r="AI12" s="82">
        <v>0.4744796</v>
      </c>
      <c r="AJ12" s="82">
        <v>500</v>
      </c>
      <c r="AK12" s="82"/>
      <c r="AL12" s="82" t="str">
        <f>REPLACE(INDEX(GroupVertices[Group],MATCH(Vertices[[#This Row],[Vertex]],GroupVertices[Vertex],0)),1,1,"")</f>
        <v>2</v>
      </c>
      <c r="AM12" s="49">
        <v>0</v>
      </c>
      <c r="AN12" s="50">
        <v>0</v>
      </c>
      <c r="AO12" s="49">
        <v>0</v>
      </c>
      <c r="AP12" s="50">
        <v>0</v>
      </c>
      <c r="AQ12" s="49">
        <v>0</v>
      </c>
      <c r="AR12" s="50">
        <v>0</v>
      </c>
      <c r="AS12" s="49">
        <v>2</v>
      </c>
      <c r="AT12" s="50">
        <v>100</v>
      </c>
      <c r="AU12" s="49">
        <v>2</v>
      </c>
      <c r="AV12" s="111" t="s">
        <v>1425</v>
      </c>
      <c r="AW12" s="111" t="s">
        <v>1425</v>
      </c>
      <c r="AX12" s="111" t="s">
        <v>1418</v>
      </c>
      <c r="AY12" s="111" t="s">
        <v>1418</v>
      </c>
      <c r="AZ12" s="2"/>
      <c r="BA12" s="3"/>
      <c r="BB12" s="3"/>
      <c r="BC12" s="3"/>
      <c r="BD12" s="3"/>
    </row>
    <row r="13" spans="1:56" ht="15">
      <c r="A13" s="68" t="s">
        <v>324</v>
      </c>
      <c r="B13" s="69"/>
      <c r="C13" s="69"/>
      <c r="D13" s="70">
        <v>59.52087366921988</v>
      </c>
      <c r="E13" s="72"/>
      <c r="F13" s="69"/>
      <c r="G13" s="69"/>
      <c r="H13" s="73" t="s">
        <v>324</v>
      </c>
      <c r="I13" s="74"/>
      <c r="J13" s="74"/>
      <c r="K13" s="73" t="s">
        <v>324</v>
      </c>
      <c r="L13" s="77">
        <v>55.03383829803917</v>
      </c>
      <c r="M13" s="78">
        <v>2118.510498046875</v>
      </c>
      <c r="N13" s="78">
        <v>564.2127075195312</v>
      </c>
      <c r="O13" s="79"/>
      <c r="P13" s="80"/>
      <c r="Q13" s="80"/>
      <c r="R13" s="85"/>
      <c r="S13" s="49">
        <v>2</v>
      </c>
      <c r="T13" s="49">
        <v>2</v>
      </c>
      <c r="U13" s="50">
        <v>201</v>
      </c>
      <c r="V13" s="50">
        <v>0.001098</v>
      </c>
      <c r="W13" s="50">
        <v>0.003252</v>
      </c>
      <c r="X13" s="50">
        <v>0.992432</v>
      </c>
      <c r="Y13" s="50">
        <v>0</v>
      </c>
      <c r="Z13" s="50">
        <v>0</v>
      </c>
      <c r="AA13" s="75">
        <v>13</v>
      </c>
      <c r="AB13" s="75"/>
      <c r="AC13" s="76"/>
      <c r="AD13" s="82" t="s">
        <v>786</v>
      </c>
      <c r="AE13" s="99" t="str">
        <f>HYPERLINK("http://en.wikipedia.org/wiki/User:Wakeyjamie")</f>
        <v>http://en.wikipedia.org/wiki/User:Wakeyjamie</v>
      </c>
      <c r="AF13" s="82" t="s">
        <v>806</v>
      </c>
      <c r="AG13" s="82"/>
      <c r="AH13" s="82"/>
      <c r="AI13" s="82">
        <v>0.5030153</v>
      </c>
      <c r="AJ13" s="82">
        <v>305</v>
      </c>
      <c r="AK13" s="82"/>
      <c r="AL13" s="82" t="str">
        <f>REPLACE(INDEX(GroupVertices[Group],MATCH(Vertices[[#This Row],[Vertex]],GroupVertices[Vertex],0)),1,1,"")</f>
        <v>2</v>
      </c>
      <c r="AM13" s="49">
        <v>0</v>
      </c>
      <c r="AN13" s="50">
        <v>0</v>
      </c>
      <c r="AO13" s="49">
        <v>0</v>
      </c>
      <c r="AP13" s="50">
        <v>0</v>
      </c>
      <c r="AQ13" s="49">
        <v>0</v>
      </c>
      <c r="AR13" s="50">
        <v>0</v>
      </c>
      <c r="AS13" s="49">
        <v>1</v>
      </c>
      <c r="AT13" s="50">
        <v>100</v>
      </c>
      <c r="AU13" s="49">
        <v>1</v>
      </c>
      <c r="AV13" s="111" t="s">
        <v>1018</v>
      </c>
      <c r="AW13" s="111" t="s">
        <v>1018</v>
      </c>
      <c r="AX13" s="111" t="s">
        <v>1418</v>
      </c>
      <c r="AY13" s="111" t="s">
        <v>1418</v>
      </c>
      <c r="AZ13" s="2"/>
      <c r="BA13" s="3"/>
      <c r="BB13" s="3"/>
      <c r="BC13" s="3"/>
      <c r="BD13" s="3"/>
    </row>
    <row r="14" spans="1:56" ht="15">
      <c r="A14" s="68" t="s">
        <v>325</v>
      </c>
      <c r="B14" s="69"/>
      <c r="C14" s="69"/>
      <c r="D14" s="70">
        <v>50</v>
      </c>
      <c r="E14" s="72"/>
      <c r="F14" s="69"/>
      <c r="G14" s="69"/>
      <c r="H14" s="73" t="s">
        <v>325</v>
      </c>
      <c r="I14" s="74"/>
      <c r="J14" s="74"/>
      <c r="K14" s="73" t="s">
        <v>325</v>
      </c>
      <c r="L14" s="77">
        <v>1</v>
      </c>
      <c r="M14" s="78">
        <v>2288.94384765625</v>
      </c>
      <c r="N14" s="78">
        <v>2895.83154296875</v>
      </c>
      <c r="O14" s="79"/>
      <c r="P14" s="80"/>
      <c r="Q14" s="80"/>
      <c r="R14" s="85"/>
      <c r="S14" s="49">
        <v>1</v>
      </c>
      <c r="T14" s="49">
        <v>1</v>
      </c>
      <c r="U14" s="50">
        <v>0</v>
      </c>
      <c r="V14" s="50">
        <v>0.001095</v>
      </c>
      <c r="W14" s="50">
        <v>0.002727</v>
      </c>
      <c r="X14" s="50">
        <v>0.408483</v>
      </c>
      <c r="Y14" s="50">
        <v>0</v>
      </c>
      <c r="Z14" s="50">
        <v>1</v>
      </c>
      <c r="AA14" s="75">
        <v>14</v>
      </c>
      <c r="AB14" s="75"/>
      <c r="AC14" s="76"/>
      <c r="AD14" s="82" t="s">
        <v>786</v>
      </c>
      <c r="AE14" s="99" t="str">
        <f>HYPERLINK("http://en.wikipedia.org/wiki/User:Finin")</f>
        <v>http://en.wikipedia.org/wiki/User:Finin</v>
      </c>
      <c r="AF14" s="82" t="s">
        <v>806</v>
      </c>
      <c r="AG14" s="82"/>
      <c r="AH14" s="82"/>
      <c r="AI14" s="82">
        <v>0.4055189</v>
      </c>
      <c r="AJ14" s="82">
        <v>173</v>
      </c>
      <c r="AK14" s="82"/>
      <c r="AL14" s="82" t="str">
        <f>REPLACE(INDEX(GroupVertices[Group],MATCH(Vertices[[#This Row],[Vertex]],GroupVertices[Vertex],0)),1,1,"")</f>
        <v>2</v>
      </c>
      <c r="AM14" s="49">
        <v>0</v>
      </c>
      <c r="AN14" s="50">
        <v>0</v>
      </c>
      <c r="AO14" s="49">
        <v>0</v>
      </c>
      <c r="AP14" s="50">
        <v>0</v>
      </c>
      <c r="AQ14" s="49">
        <v>0</v>
      </c>
      <c r="AR14" s="50">
        <v>0</v>
      </c>
      <c r="AS14" s="49">
        <v>2</v>
      </c>
      <c r="AT14" s="50">
        <v>100</v>
      </c>
      <c r="AU14" s="49">
        <v>2</v>
      </c>
      <c r="AV14" s="111" t="s">
        <v>859</v>
      </c>
      <c r="AW14" s="111" t="s">
        <v>859</v>
      </c>
      <c r="AX14" s="111" t="s">
        <v>1418</v>
      </c>
      <c r="AY14" s="111" t="s">
        <v>1418</v>
      </c>
      <c r="AZ14" s="2"/>
      <c r="BA14" s="3"/>
      <c r="BB14" s="3"/>
      <c r="BC14" s="3"/>
      <c r="BD14" s="3"/>
    </row>
    <row r="15" spans="1:56" ht="15">
      <c r="A15" s="68" t="s">
        <v>326</v>
      </c>
      <c r="B15" s="69"/>
      <c r="C15" s="69"/>
      <c r="D15" s="70">
        <v>50</v>
      </c>
      <c r="E15" s="72"/>
      <c r="F15" s="69"/>
      <c r="G15" s="69"/>
      <c r="H15" s="73" t="s">
        <v>326</v>
      </c>
      <c r="I15" s="74"/>
      <c r="J15" s="74"/>
      <c r="K15" s="73" t="s">
        <v>326</v>
      </c>
      <c r="L15" s="77">
        <v>1</v>
      </c>
      <c r="M15" s="78">
        <v>1991.753662109375</v>
      </c>
      <c r="N15" s="78">
        <v>3966.50830078125</v>
      </c>
      <c r="O15" s="79"/>
      <c r="P15" s="80"/>
      <c r="Q15" s="80"/>
      <c r="R15" s="85"/>
      <c r="S15" s="49">
        <v>1</v>
      </c>
      <c r="T15" s="49">
        <v>1</v>
      </c>
      <c r="U15" s="50">
        <v>0</v>
      </c>
      <c r="V15" s="50">
        <v>0.001095</v>
      </c>
      <c r="W15" s="50">
        <v>0.002727</v>
      </c>
      <c r="X15" s="50">
        <v>0.408483</v>
      </c>
      <c r="Y15" s="50">
        <v>0</v>
      </c>
      <c r="Z15" s="50">
        <v>1</v>
      </c>
      <c r="AA15" s="75">
        <v>15</v>
      </c>
      <c r="AB15" s="75"/>
      <c r="AC15" s="76"/>
      <c r="AD15" s="82" t="s">
        <v>786</v>
      </c>
      <c r="AE15" s="99" t="str">
        <f>HYPERLINK("http://en.wikipedia.org/wiki/User:MichaelGray")</f>
        <v>http://en.wikipedia.org/wiki/User:MichaelGray</v>
      </c>
      <c r="AF15" s="82" t="s">
        <v>806</v>
      </c>
      <c r="AG15" s="82"/>
      <c r="AH15" s="82"/>
      <c r="AI15" s="82">
        <v>0.3235294</v>
      </c>
      <c r="AJ15" s="82">
        <v>28</v>
      </c>
      <c r="AK15" s="82"/>
      <c r="AL15" s="82" t="str">
        <f>REPLACE(INDEX(GroupVertices[Group],MATCH(Vertices[[#This Row],[Vertex]],GroupVertices[Vertex],0)),1,1,"")</f>
        <v>2</v>
      </c>
      <c r="AM15" s="49"/>
      <c r="AN15" s="50"/>
      <c r="AO15" s="49"/>
      <c r="AP15" s="50"/>
      <c r="AQ15" s="49"/>
      <c r="AR15" s="50"/>
      <c r="AS15" s="49"/>
      <c r="AT15" s="50"/>
      <c r="AU15" s="49"/>
      <c r="AV15" s="111" t="s">
        <v>1418</v>
      </c>
      <c r="AW15" s="111" t="s">
        <v>1418</v>
      </c>
      <c r="AX15" s="111" t="s">
        <v>1418</v>
      </c>
      <c r="AY15" s="111" t="s">
        <v>1418</v>
      </c>
      <c r="AZ15" s="2"/>
      <c r="BA15" s="3"/>
      <c r="BB15" s="3"/>
      <c r="BC15" s="3"/>
      <c r="BD15" s="3"/>
    </row>
    <row r="16" spans="1:56" ht="15">
      <c r="A16" s="68" t="s">
        <v>327</v>
      </c>
      <c r="B16" s="69"/>
      <c r="C16" s="69"/>
      <c r="D16" s="70">
        <v>50</v>
      </c>
      <c r="E16" s="72"/>
      <c r="F16" s="69"/>
      <c r="G16" s="69"/>
      <c r="H16" s="73" t="s">
        <v>327</v>
      </c>
      <c r="I16" s="74"/>
      <c r="J16" s="74"/>
      <c r="K16" s="73" t="s">
        <v>327</v>
      </c>
      <c r="L16" s="77">
        <v>1</v>
      </c>
      <c r="M16" s="78">
        <v>401.2693786621094</v>
      </c>
      <c r="N16" s="78">
        <v>3182.030029296875</v>
      </c>
      <c r="O16" s="79"/>
      <c r="P16" s="80"/>
      <c r="Q16" s="80"/>
      <c r="R16" s="85"/>
      <c r="S16" s="49">
        <v>1</v>
      </c>
      <c r="T16" s="49">
        <v>1</v>
      </c>
      <c r="U16" s="50">
        <v>0</v>
      </c>
      <c r="V16" s="50">
        <v>0.001372</v>
      </c>
      <c r="W16" s="50">
        <v>0.014439</v>
      </c>
      <c r="X16" s="50">
        <v>0.64952</v>
      </c>
      <c r="Y16" s="50">
        <v>0.5</v>
      </c>
      <c r="Z16" s="50">
        <v>0</v>
      </c>
      <c r="AA16" s="75">
        <v>16</v>
      </c>
      <c r="AB16" s="75"/>
      <c r="AC16" s="76"/>
      <c r="AD16" s="82" t="s">
        <v>786</v>
      </c>
      <c r="AE16" s="99" t="str">
        <f>HYPERLINK("http://en.wikipedia.org/wiki/User:71.232.227.153")</f>
        <v>http://en.wikipedia.org/wiki/User:71.232.227.153</v>
      </c>
      <c r="AF16" s="82" t="s">
        <v>806</v>
      </c>
      <c r="AG16" s="82"/>
      <c r="AH16" s="82"/>
      <c r="AI16" s="82">
        <v>0</v>
      </c>
      <c r="AJ16" s="82">
        <v>2</v>
      </c>
      <c r="AK16" s="82"/>
      <c r="AL16" s="82" t="str">
        <f>REPLACE(INDEX(GroupVertices[Group],MATCH(Vertices[[#This Row],[Vertex]],GroupVertices[Vertex],0)),1,1,"")</f>
        <v>2</v>
      </c>
      <c r="AM16" s="49">
        <v>0</v>
      </c>
      <c r="AN16" s="50">
        <v>0</v>
      </c>
      <c r="AO16" s="49">
        <v>0</v>
      </c>
      <c r="AP16" s="50">
        <v>0</v>
      </c>
      <c r="AQ16" s="49">
        <v>0</v>
      </c>
      <c r="AR16" s="50">
        <v>0</v>
      </c>
      <c r="AS16" s="49">
        <v>9</v>
      </c>
      <c r="AT16" s="50">
        <v>100</v>
      </c>
      <c r="AU16" s="49">
        <v>9</v>
      </c>
      <c r="AV16" s="111" t="s">
        <v>1426</v>
      </c>
      <c r="AW16" s="111" t="s">
        <v>1426</v>
      </c>
      <c r="AX16" s="111" t="s">
        <v>1565</v>
      </c>
      <c r="AY16" s="111" t="s">
        <v>1565</v>
      </c>
      <c r="AZ16" s="2"/>
      <c r="BA16" s="3"/>
      <c r="BB16" s="3"/>
      <c r="BC16" s="3"/>
      <c r="BD16" s="3"/>
    </row>
    <row r="17" spans="1:56" ht="15">
      <c r="A17" s="68" t="s">
        <v>328</v>
      </c>
      <c r="B17" s="69"/>
      <c r="C17" s="69"/>
      <c r="D17" s="70">
        <v>200</v>
      </c>
      <c r="E17" s="72"/>
      <c r="F17" s="69"/>
      <c r="G17" s="69"/>
      <c r="H17" s="73" t="s">
        <v>328</v>
      </c>
      <c r="I17" s="74"/>
      <c r="J17" s="74"/>
      <c r="K17" s="73" t="s">
        <v>328</v>
      </c>
      <c r="L17" s="77">
        <v>9999</v>
      </c>
      <c r="M17" s="78">
        <v>1354.4249267578125</v>
      </c>
      <c r="N17" s="78">
        <v>7458.94921875</v>
      </c>
      <c r="O17" s="79"/>
      <c r="P17" s="80"/>
      <c r="Q17" s="80"/>
      <c r="R17" s="85"/>
      <c r="S17" s="49">
        <v>31</v>
      </c>
      <c r="T17" s="49">
        <v>30</v>
      </c>
      <c r="U17" s="50">
        <v>37191.472294</v>
      </c>
      <c r="V17" s="50">
        <v>0.001838</v>
      </c>
      <c r="W17" s="50">
        <v>0.091279</v>
      </c>
      <c r="X17" s="50">
        <v>14.462266</v>
      </c>
      <c r="Y17" s="50">
        <v>0.005490196078431373</v>
      </c>
      <c r="Z17" s="50">
        <v>0.19607843137254902</v>
      </c>
      <c r="AA17" s="75">
        <v>17</v>
      </c>
      <c r="AB17" s="75"/>
      <c r="AC17" s="76"/>
      <c r="AD17" s="82" t="s">
        <v>786</v>
      </c>
      <c r="AE17" s="99" t="str">
        <f>HYPERLINK("http://en.wikipedia.org/wiki/User:SineBot")</f>
        <v>http://en.wikipedia.org/wiki/User:SineBot</v>
      </c>
      <c r="AF17" s="82" t="s">
        <v>806</v>
      </c>
      <c r="AG17" s="82"/>
      <c r="AH17" s="82"/>
      <c r="AI17" s="82">
        <v>0.1952324</v>
      </c>
      <c r="AJ17" s="82">
        <v>500</v>
      </c>
      <c r="AK17" s="82"/>
      <c r="AL17" s="82" t="str">
        <f>REPLACE(INDEX(GroupVertices[Group],MATCH(Vertices[[#This Row],[Vertex]],GroupVertices[Vertex],0)),1,1,"")</f>
        <v>1</v>
      </c>
      <c r="AM17" s="49">
        <v>4</v>
      </c>
      <c r="AN17" s="50">
        <v>0.8849557522123894</v>
      </c>
      <c r="AO17" s="49">
        <v>5</v>
      </c>
      <c r="AP17" s="50">
        <v>1.1061946902654867</v>
      </c>
      <c r="AQ17" s="49">
        <v>0</v>
      </c>
      <c r="AR17" s="50">
        <v>0</v>
      </c>
      <c r="AS17" s="49">
        <v>443</v>
      </c>
      <c r="AT17" s="50">
        <v>98.00884955752213</v>
      </c>
      <c r="AU17" s="49">
        <v>452</v>
      </c>
      <c r="AV17" s="111" t="s">
        <v>1427</v>
      </c>
      <c r="AW17" s="111" t="s">
        <v>1546</v>
      </c>
      <c r="AX17" s="111" t="s">
        <v>1566</v>
      </c>
      <c r="AY17" s="111" t="s">
        <v>1679</v>
      </c>
      <c r="AZ17" s="2"/>
      <c r="BA17" s="3"/>
      <c r="BB17" s="3"/>
      <c r="BC17" s="3"/>
      <c r="BD17" s="3"/>
    </row>
    <row r="18" spans="1:56" ht="15">
      <c r="A18" s="68" t="s">
        <v>329</v>
      </c>
      <c r="B18" s="69"/>
      <c r="C18" s="69"/>
      <c r="D18" s="70">
        <v>74.74164018266448</v>
      </c>
      <c r="E18" s="72"/>
      <c r="F18" s="69"/>
      <c r="G18" s="69"/>
      <c r="H18" s="73" t="s">
        <v>329</v>
      </c>
      <c r="I18" s="74"/>
      <c r="J18" s="74"/>
      <c r="K18" s="73" t="s">
        <v>329</v>
      </c>
      <c r="L18" s="77">
        <v>141.4162928009843</v>
      </c>
      <c r="M18" s="78">
        <v>1425.1763916015625</v>
      </c>
      <c r="N18" s="78">
        <v>3415.15869140625</v>
      </c>
      <c r="O18" s="79"/>
      <c r="P18" s="80"/>
      <c r="Q18" s="80"/>
      <c r="R18" s="85"/>
      <c r="S18" s="49">
        <v>4</v>
      </c>
      <c r="T18" s="49">
        <v>4</v>
      </c>
      <c r="U18" s="50">
        <v>522.333333</v>
      </c>
      <c r="V18" s="50">
        <v>0.001117</v>
      </c>
      <c r="W18" s="50">
        <v>0.006777</v>
      </c>
      <c r="X18" s="50">
        <v>1.703948</v>
      </c>
      <c r="Y18" s="50">
        <v>0.05</v>
      </c>
      <c r="Z18" s="50">
        <v>0.2</v>
      </c>
      <c r="AA18" s="75">
        <v>18</v>
      </c>
      <c r="AB18" s="75"/>
      <c r="AC18" s="76"/>
      <c r="AD18" s="82" t="s">
        <v>786</v>
      </c>
      <c r="AE18" s="99" t="str">
        <f>HYPERLINK("http://en.wikipedia.org/wiki/User:Dpeck0404")</f>
        <v>http://en.wikipedia.org/wiki/User:Dpeck0404</v>
      </c>
      <c r="AF18" s="82" t="s">
        <v>806</v>
      </c>
      <c r="AG18" s="82"/>
      <c r="AH18" s="82"/>
      <c r="AI18" s="82">
        <v>0.4342105</v>
      </c>
      <c r="AJ18" s="82">
        <v>19</v>
      </c>
      <c r="AK18" s="82"/>
      <c r="AL18" s="82" t="str">
        <f>REPLACE(INDEX(GroupVertices[Group],MATCH(Vertices[[#This Row],[Vertex]],GroupVertices[Vertex],0)),1,1,"")</f>
        <v>2</v>
      </c>
      <c r="AM18" s="49">
        <v>0</v>
      </c>
      <c r="AN18" s="50">
        <v>0</v>
      </c>
      <c r="AO18" s="49">
        <v>0</v>
      </c>
      <c r="AP18" s="50">
        <v>0</v>
      </c>
      <c r="AQ18" s="49">
        <v>0</v>
      </c>
      <c r="AR18" s="50">
        <v>0</v>
      </c>
      <c r="AS18" s="49">
        <v>19</v>
      </c>
      <c r="AT18" s="50">
        <v>100</v>
      </c>
      <c r="AU18" s="49">
        <v>19</v>
      </c>
      <c r="AV18" s="111" t="s">
        <v>1428</v>
      </c>
      <c r="AW18" s="111" t="s">
        <v>1547</v>
      </c>
      <c r="AX18" s="111" t="s">
        <v>1567</v>
      </c>
      <c r="AY18" s="111" t="s">
        <v>1680</v>
      </c>
      <c r="AZ18" s="2"/>
      <c r="BA18" s="3"/>
      <c r="BB18" s="3"/>
      <c r="BC18" s="3"/>
      <c r="BD18" s="3"/>
    </row>
    <row r="19" spans="1:56" ht="15">
      <c r="A19" s="68" t="s">
        <v>330</v>
      </c>
      <c r="B19" s="69"/>
      <c r="C19" s="69"/>
      <c r="D19" s="70">
        <v>70.1943572361714</v>
      </c>
      <c r="E19" s="72"/>
      <c r="F19" s="69"/>
      <c r="G19" s="69"/>
      <c r="H19" s="73" t="s">
        <v>330</v>
      </c>
      <c r="I19" s="74"/>
      <c r="J19" s="74"/>
      <c r="K19" s="73" t="s">
        <v>330</v>
      </c>
      <c r="L19" s="77">
        <v>115.60908644968202</v>
      </c>
      <c r="M19" s="78">
        <v>1893.40869140625</v>
      </c>
      <c r="N19" s="78">
        <v>1684.0526123046875</v>
      </c>
      <c r="O19" s="79"/>
      <c r="P19" s="80"/>
      <c r="Q19" s="80"/>
      <c r="R19" s="85"/>
      <c r="S19" s="49">
        <v>3</v>
      </c>
      <c r="T19" s="49">
        <v>3</v>
      </c>
      <c r="U19" s="50">
        <v>426.333333</v>
      </c>
      <c r="V19" s="50">
        <v>0.00111</v>
      </c>
      <c r="W19" s="50">
        <v>0.004617</v>
      </c>
      <c r="X19" s="50">
        <v>1.476538</v>
      </c>
      <c r="Y19" s="50">
        <v>0.16666666666666666</v>
      </c>
      <c r="Z19" s="50">
        <v>0</v>
      </c>
      <c r="AA19" s="75">
        <v>19</v>
      </c>
      <c r="AB19" s="75"/>
      <c r="AC19" s="76"/>
      <c r="AD19" s="82" t="s">
        <v>786</v>
      </c>
      <c r="AE19" s="99" t="str">
        <f>HYPERLINK("http://en.wikipedia.org/wiki/User:Evansdave")</f>
        <v>http://en.wikipedia.org/wiki/User:Evansdave</v>
      </c>
      <c r="AF19" s="82" t="s">
        <v>806</v>
      </c>
      <c r="AG19" s="82"/>
      <c r="AH19" s="82"/>
      <c r="AI19" s="82">
        <v>0.25</v>
      </c>
      <c r="AJ19" s="82">
        <v>12</v>
      </c>
      <c r="AK19" s="82"/>
      <c r="AL19" s="82" t="str">
        <f>REPLACE(INDEX(GroupVertices[Group],MATCH(Vertices[[#This Row],[Vertex]],GroupVertices[Vertex],0)),1,1,"")</f>
        <v>2</v>
      </c>
      <c r="AM19" s="49">
        <v>0</v>
      </c>
      <c r="AN19" s="50">
        <v>0</v>
      </c>
      <c r="AO19" s="49">
        <v>0</v>
      </c>
      <c r="AP19" s="50">
        <v>0</v>
      </c>
      <c r="AQ19" s="49">
        <v>0</v>
      </c>
      <c r="AR19" s="50">
        <v>0</v>
      </c>
      <c r="AS19" s="49">
        <v>20</v>
      </c>
      <c r="AT19" s="50">
        <v>100</v>
      </c>
      <c r="AU19" s="49">
        <v>20</v>
      </c>
      <c r="AV19" s="111" t="s">
        <v>1727</v>
      </c>
      <c r="AW19" s="111" t="s">
        <v>1727</v>
      </c>
      <c r="AX19" s="111" t="s">
        <v>1739</v>
      </c>
      <c r="AY19" s="111" t="s">
        <v>1739</v>
      </c>
      <c r="AZ19" s="2"/>
      <c r="BA19" s="3"/>
      <c r="BB19" s="3"/>
      <c r="BC19" s="3"/>
      <c r="BD19" s="3"/>
    </row>
    <row r="20" spans="1:56" ht="15">
      <c r="A20" s="68" t="s">
        <v>331</v>
      </c>
      <c r="B20" s="69"/>
      <c r="C20" s="69"/>
      <c r="D20" s="70">
        <v>50.284205184155816</v>
      </c>
      <c r="E20" s="72"/>
      <c r="F20" s="69"/>
      <c r="G20" s="69"/>
      <c r="H20" s="73" t="s">
        <v>331</v>
      </c>
      <c r="I20" s="74"/>
      <c r="J20" s="74"/>
      <c r="K20" s="73" t="s">
        <v>331</v>
      </c>
      <c r="L20" s="77">
        <v>2.612950396956393</v>
      </c>
      <c r="M20" s="78">
        <v>2045.11181640625</v>
      </c>
      <c r="N20" s="78">
        <v>1112.7386474609375</v>
      </c>
      <c r="O20" s="79"/>
      <c r="P20" s="80"/>
      <c r="Q20" s="80"/>
      <c r="R20" s="85"/>
      <c r="S20" s="49">
        <v>1</v>
      </c>
      <c r="T20" s="49">
        <v>1</v>
      </c>
      <c r="U20" s="50">
        <v>6</v>
      </c>
      <c r="V20" s="50">
        <v>0.000913</v>
      </c>
      <c r="W20" s="50">
        <v>0.000961</v>
      </c>
      <c r="X20" s="50">
        <v>0.685671</v>
      </c>
      <c r="Y20" s="50">
        <v>0</v>
      </c>
      <c r="Z20" s="50">
        <v>0</v>
      </c>
      <c r="AA20" s="75">
        <v>20</v>
      </c>
      <c r="AB20" s="75"/>
      <c r="AC20" s="76"/>
      <c r="AD20" s="82" t="s">
        <v>786</v>
      </c>
      <c r="AE20" s="99" t="str">
        <f>HYPERLINK("http://en.wikipedia.org/wiki/User:24.91.192.6")</f>
        <v>http://en.wikipedia.org/wiki/User:24.91.192.6</v>
      </c>
      <c r="AF20" s="82" t="s">
        <v>806</v>
      </c>
      <c r="AG20" s="82"/>
      <c r="AH20" s="82"/>
      <c r="AI20" s="82">
        <v>0</v>
      </c>
      <c r="AJ20" s="82">
        <v>2</v>
      </c>
      <c r="AK20" s="82"/>
      <c r="AL20" s="82" t="str">
        <f>REPLACE(INDEX(GroupVertices[Group],MATCH(Vertices[[#This Row],[Vertex]],GroupVertices[Vertex],0)),1,1,"")</f>
        <v>2</v>
      </c>
      <c r="AM20" s="49">
        <v>1</v>
      </c>
      <c r="AN20" s="50">
        <v>14.285714285714286</v>
      </c>
      <c r="AO20" s="49">
        <v>0</v>
      </c>
      <c r="AP20" s="50">
        <v>0</v>
      </c>
      <c r="AQ20" s="49">
        <v>0</v>
      </c>
      <c r="AR20" s="50">
        <v>0</v>
      </c>
      <c r="AS20" s="49">
        <v>6</v>
      </c>
      <c r="AT20" s="50">
        <v>85.71428571428571</v>
      </c>
      <c r="AU20" s="49">
        <v>7</v>
      </c>
      <c r="AV20" s="111" t="s">
        <v>1429</v>
      </c>
      <c r="AW20" s="111" t="s">
        <v>1429</v>
      </c>
      <c r="AX20" s="111" t="s">
        <v>1568</v>
      </c>
      <c r="AY20" s="111" t="s">
        <v>1568</v>
      </c>
      <c r="AZ20" s="2"/>
      <c r="BA20" s="3"/>
      <c r="BB20" s="3"/>
      <c r="BC20" s="3"/>
      <c r="BD20" s="3"/>
    </row>
    <row r="21" spans="1:56" ht="15">
      <c r="A21" s="68" t="s">
        <v>332</v>
      </c>
      <c r="B21" s="69"/>
      <c r="C21" s="69"/>
      <c r="D21" s="70">
        <v>50.078945900276906</v>
      </c>
      <c r="E21" s="72"/>
      <c r="F21" s="69"/>
      <c r="G21" s="69"/>
      <c r="H21" s="73" t="s">
        <v>332</v>
      </c>
      <c r="I21" s="74"/>
      <c r="J21" s="74"/>
      <c r="K21" s="73" t="s">
        <v>332</v>
      </c>
      <c r="L21" s="77">
        <v>1.448041866540687</v>
      </c>
      <c r="M21" s="78">
        <v>416.0946044921875</v>
      </c>
      <c r="N21" s="78">
        <v>2069.452880859375</v>
      </c>
      <c r="O21" s="79"/>
      <c r="P21" s="80"/>
      <c r="Q21" s="80"/>
      <c r="R21" s="85"/>
      <c r="S21" s="49">
        <v>1</v>
      </c>
      <c r="T21" s="49">
        <v>1</v>
      </c>
      <c r="U21" s="50">
        <v>1.666667</v>
      </c>
      <c r="V21" s="50">
        <v>0.000908</v>
      </c>
      <c r="W21" s="50">
        <v>0.000716</v>
      </c>
      <c r="X21" s="50">
        <v>0.692421</v>
      </c>
      <c r="Y21" s="50">
        <v>0</v>
      </c>
      <c r="Z21" s="50">
        <v>0</v>
      </c>
      <c r="AA21" s="75">
        <v>21</v>
      </c>
      <c r="AB21" s="75"/>
      <c r="AC21" s="76"/>
      <c r="AD21" s="82" t="s">
        <v>786</v>
      </c>
      <c r="AE21" s="82" t="s">
        <v>788</v>
      </c>
      <c r="AF21" s="82" t="s">
        <v>806</v>
      </c>
      <c r="AG21" s="82"/>
      <c r="AH21" s="82"/>
      <c r="AI21" s="82">
        <v>0.5994855</v>
      </c>
      <c r="AJ21" s="82">
        <v>106</v>
      </c>
      <c r="AK21" s="82"/>
      <c r="AL21" s="82" t="str">
        <f>REPLACE(INDEX(GroupVertices[Group],MATCH(Vertices[[#This Row],[Vertex]],GroupVertices[Vertex],0)),1,1,"")</f>
        <v>2</v>
      </c>
      <c r="AM21" s="49"/>
      <c r="AN21" s="50"/>
      <c r="AO21" s="49"/>
      <c r="AP21" s="50"/>
      <c r="AQ21" s="49"/>
      <c r="AR21" s="50"/>
      <c r="AS21" s="49"/>
      <c r="AT21" s="50"/>
      <c r="AU21" s="49"/>
      <c r="AV21" s="111" t="s">
        <v>1418</v>
      </c>
      <c r="AW21" s="111" t="s">
        <v>1418</v>
      </c>
      <c r="AX21" s="111" t="s">
        <v>1418</v>
      </c>
      <c r="AY21" s="111" t="s">
        <v>1418</v>
      </c>
      <c r="AZ21" s="2"/>
      <c r="BA21" s="3"/>
      <c r="BB21" s="3"/>
      <c r="BC21" s="3"/>
      <c r="BD21" s="3"/>
    </row>
    <row r="22" spans="1:56" ht="15">
      <c r="A22" s="68" t="s">
        <v>333</v>
      </c>
      <c r="B22" s="69"/>
      <c r="C22" s="69"/>
      <c r="D22" s="70">
        <v>50.39472940664946</v>
      </c>
      <c r="E22" s="72"/>
      <c r="F22" s="69"/>
      <c r="G22" s="69"/>
      <c r="H22" s="73" t="s">
        <v>333</v>
      </c>
      <c r="I22" s="74"/>
      <c r="J22" s="74"/>
      <c r="K22" s="73" t="s">
        <v>333</v>
      </c>
      <c r="L22" s="77">
        <v>3.240208795053302</v>
      </c>
      <c r="M22" s="78">
        <v>921.56494140625</v>
      </c>
      <c r="N22" s="78">
        <v>173.3957061767578</v>
      </c>
      <c r="O22" s="79"/>
      <c r="P22" s="80"/>
      <c r="Q22" s="80"/>
      <c r="R22" s="85"/>
      <c r="S22" s="49">
        <v>1</v>
      </c>
      <c r="T22" s="49">
        <v>1</v>
      </c>
      <c r="U22" s="50">
        <v>8.333333</v>
      </c>
      <c r="V22" s="50">
        <v>0.001094</v>
      </c>
      <c r="W22" s="50">
        <v>0.002621</v>
      </c>
      <c r="X22" s="50">
        <v>0.662052</v>
      </c>
      <c r="Y22" s="50">
        <v>0</v>
      </c>
      <c r="Z22" s="50">
        <v>0</v>
      </c>
      <c r="AA22" s="75">
        <v>22</v>
      </c>
      <c r="AB22" s="75"/>
      <c r="AC22" s="76"/>
      <c r="AD22" s="82" t="s">
        <v>786</v>
      </c>
      <c r="AE22" s="99" t="str">
        <f>HYPERLINK("http://en.wikipedia.org/wiki/User:Chrishambly")</f>
        <v>http://en.wikipedia.org/wiki/User:Chrishambly</v>
      </c>
      <c r="AF22" s="82" t="s">
        <v>806</v>
      </c>
      <c r="AG22" s="82"/>
      <c r="AH22" s="82"/>
      <c r="AI22" s="82">
        <v>0.15</v>
      </c>
      <c r="AJ22" s="82">
        <v>5</v>
      </c>
      <c r="AK22" s="82"/>
      <c r="AL22" s="82" t="str">
        <f>REPLACE(INDEX(GroupVertices[Group],MATCH(Vertices[[#This Row],[Vertex]],GroupVertices[Vertex],0)),1,1,"")</f>
        <v>2</v>
      </c>
      <c r="AM22" s="49">
        <v>1</v>
      </c>
      <c r="AN22" s="50">
        <v>7.6923076923076925</v>
      </c>
      <c r="AO22" s="49">
        <v>0</v>
      </c>
      <c r="AP22" s="50">
        <v>0</v>
      </c>
      <c r="AQ22" s="49">
        <v>0</v>
      </c>
      <c r="AR22" s="50">
        <v>0</v>
      </c>
      <c r="AS22" s="49">
        <v>12</v>
      </c>
      <c r="AT22" s="50">
        <v>92.3076923076923</v>
      </c>
      <c r="AU22" s="49">
        <v>13</v>
      </c>
      <c r="AV22" s="111" t="s">
        <v>1430</v>
      </c>
      <c r="AW22" s="111" t="s">
        <v>1430</v>
      </c>
      <c r="AX22" s="111" t="s">
        <v>1569</v>
      </c>
      <c r="AY22" s="111" t="s">
        <v>1569</v>
      </c>
      <c r="AZ22" s="2"/>
      <c r="BA22" s="3"/>
      <c r="BB22" s="3"/>
      <c r="BC22" s="3"/>
      <c r="BD22" s="3"/>
    </row>
    <row r="23" spans="1:56" ht="15">
      <c r="A23" s="68" t="s">
        <v>334</v>
      </c>
      <c r="B23" s="69"/>
      <c r="C23" s="69"/>
      <c r="D23" s="70">
        <v>159.56109849206763</v>
      </c>
      <c r="E23" s="72"/>
      <c r="F23" s="69"/>
      <c r="G23" s="69"/>
      <c r="H23" s="73" t="s">
        <v>334</v>
      </c>
      <c r="I23" s="74"/>
      <c r="J23" s="74"/>
      <c r="K23" s="73" t="s">
        <v>334</v>
      </c>
      <c r="L23" s="77">
        <v>622.7923780266896</v>
      </c>
      <c r="M23" s="78">
        <v>971.5975952148438</v>
      </c>
      <c r="N23" s="78">
        <v>1708.629150390625</v>
      </c>
      <c r="O23" s="79"/>
      <c r="P23" s="80"/>
      <c r="Q23" s="80"/>
      <c r="R23" s="85"/>
      <c r="S23" s="49">
        <v>5</v>
      </c>
      <c r="T23" s="49">
        <v>5</v>
      </c>
      <c r="U23" s="50">
        <v>2313</v>
      </c>
      <c r="V23" s="50">
        <v>0.001372</v>
      </c>
      <c r="W23" s="50">
        <v>0.015809</v>
      </c>
      <c r="X23" s="50">
        <v>2.14975</v>
      </c>
      <c r="Y23" s="50">
        <v>0.03333333333333333</v>
      </c>
      <c r="Z23" s="50">
        <v>0.3333333333333333</v>
      </c>
      <c r="AA23" s="75">
        <v>23</v>
      </c>
      <c r="AB23" s="75"/>
      <c r="AC23" s="76"/>
      <c r="AD23" s="82" t="s">
        <v>786</v>
      </c>
      <c r="AE23" s="99" t="str">
        <f>HYPERLINK("http://en.wikipedia.org/wiki/User:Mystalic")</f>
        <v>http://en.wikipedia.org/wiki/User:Mystalic</v>
      </c>
      <c r="AF23" s="82" t="s">
        <v>806</v>
      </c>
      <c r="AG23" s="82"/>
      <c r="AH23" s="82"/>
      <c r="AI23" s="82">
        <v>0.2927705</v>
      </c>
      <c r="AJ23" s="82">
        <v>241</v>
      </c>
      <c r="AK23" s="82"/>
      <c r="AL23" s="82" t="str">
        <f>REPLACE(INDEX(GroupVertices[Group],MATCH(Vertices[[#This Row],[Vertex]],GroupVertices[Vertex],0)),1,1,"")</f>
        <v>2</v>
      </c>
      <c r="AM23" s="49"/>
      <c r="AN23" s="50"/>
      <c r="AO23" s="49"/>
      <c r="AP23" s="50"/>
      <c r="AQ23" s="49"/>
      <c r="AR23" s="50"/>
      <c r="AS23" s="49"/>
      <c r="AT23" s="50"/>
      <c r="AU23" s="49"/>
      <c r="AV23" s="111" t="s">
        <v>1418</v>
      </c>
      <c r="AW23" s="111" t="s">
        <v>1418</v>
      </c>
      <c r="AX23" s="111" t="s">
        <v>1418</v>
      </c>
      <c r="AY23" s="111" t="s">
        <v>1418</v>
      </c>
      <c r="AZ23" s="2"/>
      <c r="BA23" s="3"/>
      <c r="BB23" s="3"/>
      <c r="BC23" s="3"/>
      <c r="BD23" s="3"/>
    </row>
    <row r="24" spans="1:56" ht="15">
      <c r="A24" s="68" t="s">
        <v>335</v>
      </c>
      <c r="B24" s="69"/>
      <c r="C24" s="69"/>
      <c r="D24" s="70">
        <v>50</v>
      </c>
      <c r="E24" s="72"/>
      <c r="F24" s="69"/>
      <c r="G24" s="69"/>
      <c r="H24" s="73" t="s">
        <v>335</v>
      </c>
      <c r="I24" s="74"/>
      <c r="J24" s="74"/>
      <c r="K24" s="73" t="s">
        <v>335</v>
      </c>
      <c r="L24" s="77">
        <v>1</v>
      </c>
      <c r="M24" s="78">
        <v>127.3757095336914</v>
      </c>
      <c r="N24" s="78">
        <v>3112.34326171875</v>
      </c>
      <c r="O24" s="79"/>
      <c r="P24" s="80"/>
      <c r="Q24" s="80"/>
      <c r="R24" s="85"/>
      <c r="S24" s="49">
        <v>1</v>
      </c>
      <c r="T24" s="49">
        <v>1</v>
      </c>
      <c r="U24" s="50">
        <v>0</v>
      </c>
      <c r="V24" s="50">
        <v>0.001076</v>
      </c>
      <c r="W24" s="50">
        <v>0.002332</v>
      </c>
      <c r="X24" s="50">
        <v>0.727413</v>
      </c>
      <c r="Y24" s="50">
        <v>0.5</v>
      </c>
      <c r="Z24" s="50">
        <v>0</v>
      </c>
      <c r="AA24" s="75">
        <v>24</v>
      </c>
      <c r="AB24" s="75"/>
      <c r="AC24" s="76"/>
      <c r="AD24" s="82" t="s">
        <v>786</v>
      </c>
      <c r="AE24" s="99" t="str">
        <f>HYPERLINK("http://en.wikipedia.org/wiki/User:Gary")</f>
        <v>http://en.wikipedia.org/wiki/User:Gary</v>
      </c>
      <c r="AF24" s="82" t="s">
        <v>806</v>
      </c>
      <c r="AG24" s="82"/>
      <c r="AH24" s="82"/>
      <c r="AI24" s="82">
        <v>0.625662</v>
      </c>
      <c r="AJ24" s="82">
        <v>500</v>
      </c>
      <c r="AK24" s="82"/>
      <c r="AL24" s="82" t="str">
        <f>REPLACE(INDEX(GroupVertices[Group],MATCH(Vertices[[#This Row],[Vertex]],GroupVertices[Vertex],0)),1,1,"")</f>
        <v>2</v>
      </c>
      <c r="AM24" s="49">
        <v>0</v>
      </c>
      <c r="AN24" s="50">
        <v>0</v>
      </c>
      <c r="AO24" s="49">
        <v>0</v>
      </c>
      <c r="AP24" s="50">
        <v>0</v>
      </c>
      <c r="AQ24" s="49">
        <v>0</v>
      </c>
      <c r="AR24" s="50">
        <v>0</v>
      </c>
      <c r="AS24" s="49">
        <v>2</v>
      </c>
      <c r="AT24" s="50">
        <v>100</v>
      </c>
      <c r="AU24" s="49">
        <v>2</v>
      </c>
      <c r="AV24" s="111" t="s">
        <v>1431</v>
      </c>
      <c r="AW24" s="111" t="s">
        <v>1431</v>
      </c>
      <c r="AX24" s="111" t="s">
        <v>1418</v>
      </c>
      <c r="AY24" s="111" t="s">
        <v>1418</v>
      </c>
      <c r="AZ24" s="2"/>
      <c r="BA24" s="3"/>
      <c r="BB24" s="3"/>
      <c r="BC24" s="3"/>
      <c r="BD24" s="3"/>
    </row>
    <row r="25" spans="1:56" ht="15">
      <c r="A25" s="68" t="s">
        <v>336</v>
      </c>
      <c r="B25" s="69"/>
      <c r="C25" s="69"/>
      <c r="D25" s="70">
        <v>69.13648239982504</v>
      </c>
      <c r="E25" s="72"/>
      <c r="F25" s="69"/>
      <c r="G25" s="69"/>
      <c r="H25" s="73" t="s">
        <v>336</v>
      </c>
      <c r="I25" s="74"/>
      <c r="J25" s="74"/>
      <c r="K25" s="73" t="s">
        <v>336</v>
      </c>
      <c r="L25" s="77">
        <v>109.60532672839715</v>
      </c>
      <c r="M25" s="78">
        <v>1011.7986450195312</v>
      </c>
      <c r="N25" s="78">
        <v>453.9220886230469</v>
      </c>
      <c r="O25" s="79"/>
      <c r="P25" s="80"/>
      <c r="Q25" s="80"/>
      <c r="R25" s="85"/>
      <c r="S25" s="49">
        <v>2</v>
      </c>
      <c r="T25" s="49">
        <v>2</v>
      </c>
      <c r="U25" s="50">
        <v>404</v>
      </c>
      <c r="V25" s="50">
        <v>0.001078</v>
      </c>
      <c r="W25" s="50">
        <v>0.002366</v>
      </c>
      <c r="X25" s="50">
        <v>1.116607</v>
      </c>
      <c r="Y25" s="50">
        <v>0.16666666666666666</v>
      </c>
      <c r="Z25" s="50">
        <v>0.3333333333333333</v>
      </c>
      <c r="AA25" s="75">
        <v>25</v>
      </c>
      <c r="AB25" s="75"/>
      <c r="AC25" s="76"/>
      <c r="AD25" s="82" t="s">
        <v>786</v>
      </c>
      <c r="AE25" s="99" t="str">
        <f>HYPERLINK("http://en.wikipedia.org/wiki/User:76.174.197.152")</f>
        <v>http://en.wikipedia.org/wiki/User:76.174.197.152</v>
      </c>
      <c r="AF25" s="82" t="s">
        <v>806</v>
      </c>
      <c r="AG25" s="82"/>
      <c r="AH25" s="82"/>
      <c r="AI25" s="82">
        <v>0.1666666</v>
      </c>
      <c r="AJ25" s="82">
        <v>3</v>
      </c>
      <c r="AK25" s="82"/>
      <c r="AL25" s="82" t="str">
        <f>REPLACE(INDEX(GroupVertices[Group],MATCH(Vertices[[#This Row],[Vertex]],GroupVertices[Vertex],0)),1,1,"")</f>
        <v>2</v>
      </c>
      <c r="AM25" s="49">
        <v>0</v>
      </c>
      <c r="AN25" s="50">
        <v>0</v>
      </c>
      <c r="AO25" s="49">
        <v>0</v>
      </c>
      <c r="AP25" s="50">
        <v>0</v>
      </c>
      <c r="AQ25" s="49">
        <v>0</v>
      </c>
      <c r="AR25" s="50">
        <v>0</v>
      </c>
      <c r="AS25" s="49">
        <v>18</v>
      </c>
      <c r="AT25" s="50">
        <v>100</v>
      </c>
      <c r="AU25" s="49">
        <v>18</v>
      </c>
      <c r="AV25" s="111" t="s">
        <v>1432</v>
      </c>
      <c r="AW25" s="111" t="s">
        <v>1432</v>
      </c>
      <c r="AX25" s="111" t="s">
        <v>1570</v>
      </c>
      <c r="AY25" s="111" t="s">
        <v>1570</v>
      </c>
      <c r="AZ25" s="2"/>
      <c r="BA25" s="3"/>
      <c r="BB25" s="3"/>
      <c r="BC25" s="3"/>
      <c r="BD25" s="3"/>
    </row>
    <row r="26" spans="1:56" ht="15">
      <c r="A26" s="68" t="s">
        <v>337</v>
      </c>
      <c r="B26" s="69"/>
      <c r="C26" s="69"/>
      <c r="D26" s="70">
        <v>50</v>
      </c>
      <c r="E26" s="72"/>
      <c r="F26" s="69"/>
      <c r="G26" s="69"/>
      <c r="H26" s="73" t="s">
        <v>337</v>
      </c>
      <c r="I26" s="74"/>
      <c r="J26" s="74"/>
      <c r="K26" s="73" t="s">
        <v>337</v>
      </c>
      <c r="L26" s="77">
        <v>1</v>
      </c>
      <c r="M26" s="78">
        <v>243.31216430664062</v>
      </c>
      <c r="N26" s="78">
        <v>1570.8658447265625</v>
      </c>
      <c r="O26" s="79"/>
      <c r="P26" s="80"/>
      <c r="Q26" s="80"/>
      <c r="R26" s="85"/>
      <c r="S26" s="49">
        <v>1</v>
      </c>
      <c r="T26" s="49">
        <v>1</v>
      </c>
      <c r="U26" s="50">
        <v>0</v>
      </c>
      <c r="V26" s="50">
        <v>0.000885</v>
      </c>
      <c r="W26" s="50">
        <v>0.000304</v>
      </c>
      <c r="X26" s="50">
        <v>0.466372</v>
      </c>
      <c r="Y26" s="50">
        <v>0</v>
      </c>
      <c r="Z26" s="50">
        <v>1</v>
      </c>
      <c r="AA26" s="75">
        <v>26</v>
      </c>
      <c r="AB26" s="75"/>
      <c r="AC26" s="76"/>
      <c r="AD26" s="82" t="s">
        <v>786</v>
      </c>
      <c r="AE26" s="99" t="str">
        <f>HYPERLINK("http://en.wikipedia.org/wiki/User:Spimeco")</f>
        <v>http://en.wikipedia.org/wiki/User:Spimeco</v>
      </c>
      <c r="AF26" s="82" t="s">
        <v>806</v>
      </c>
      <c r="AG26" s="82"/>
      <c r="AH26" s="82"/>
      <c r="AI26" s="82">
        <v>0.6825396</v>
      </c>
      <c r="AJ26" s="82">
        <v>42</v>
      </c>
      <c r="AK26" s="82"/>
      <c r="AL26" s="82" t="str">
        <f>REPLACE(INDEX(GroupVertices[Group],MATCH(Vertices[[#This Row],[Vertex]],GroupVertices[Vertex],0)),1,1,"")</f>
        <v>2</v>
      </c>
      <c r="AM26" s="49">
        <v>0</v>
      </c>
      <c r="AN26" s="50">
        <v>0</v>
      </c>
      <c r="AO26" s="49">
        <v>0</v>
      </c>
      <c r="AP26" s="50">
        <v>0</v>
      </c>
      <c r="AQ26" s="49">
        <v>0</v>
      </c>
      <c r="AR26" s="50">
        <v>0</v>
      </c>
      <c r="AS26" s="49">
        <v>14</v>
      </c>
      <c r="AT26" s="50">
        <v>100</v>
      </c>
      <c r="AU26" s="49">
        <v>14</v>
      </c>
      <c r="AV26" s="111" t="s">
        <v>1433</v>
      </c>
      <c r="AW26" s="111" t="s">
        <v>1433</v>
      </c>
      <c r="AX26" s="111" t="s">
        <v>1570</v>
      </c>
      <c r="AY26" s="111" t="s">
        <v>1570</v>
      </c>
      <c r="AZ26" s="2"/>
      <c r="BA26" s="3"/>
      <c r="BB26" s="3"/>
      <c r="BC26" s="3"/>
      <c r="BD26" s="3"/>
    </row>
    <row r="27" spans="1:56" ht="15">
      <c r="A27" s="68" t="s">
        <v>338</v>
      </c>
      <c r="B27" s="69"/>
      <c r="C27" s="69"/>
      <c r="D27" s="70">
        <v>50</v>
      </c>
      <c r="E27" s="72"/>
      <c r="F27" s="69"/>
      <c r="G27" s="69"/>
      <c r="H27" s="73" t="s">
        <v>338</v>
      </c>
      <c r="I27" s="74"/>
      <c r="J27" s="74"/>
      <c r="K27" s="73" t="s">
        <v>338</v>
      </c>
      <c r="L27" s="77">
        <v>1</v>
      </c>
      <c r="M27" s="78">
        <v>1094.637451171875</v>
      </c>
      <c r="N27" s="78">
        <v>3213.49169921875</v>
      </c>
      <c r="O27" s="79"/>
      <c r="P27" s="80"/>
      <c r="Q27" s="80"/>
      <c r="R27" s="85"/>
      <c r="S27" s="49">
        <v>1</v>
      </c>
      <c r="T27" s="49">
        <v>1</v>
      </c>
      <c r="U27" s="50">
        <v>0</v>
      </c>
      <c r="V27" s="50">
        <v>0.001074</v>
      </c>
      <c r="W27" s="50">
        <v>0.002028</v>
      </c>
      <c r="X27" s="50">
        <v>0.411041</v>
      </c>
      <c r="Y27" s="50">
        <v>0</v>
      </c>
      <c r="Z27" s="50">
        <v>1</v>
      </c>
      <c r="AA27" s="75">
        <v>27</v>
      </c>
      <c r="AB27" s="75"/>
      <c r="AC27" s="76"/>
      <c r="AD27" s="82" t="s">
        <v>786</v>
      </c>
      <c r="AE27" s="99" t="str">
        <f>HYPERLINK("http://en.wikipedia.org/wiki/User:Unstructured")</f>
        <v>http://en.wikipedia.org/wiki/User:Unstructured</v>
      </c>
      <c r="AF27" s="82" t="s">
        <v>806</v>
      </c>
      <c r="AG27" s="82"/>
      <c r="AH27" s="82"/>
      <c r="AI27" s="82">
        <v>0</v>
      </c>
      <c r="AJ27" s="82">
        <v>2</v>
      </c>
      <c r="AK27" s="82"/>
      <c r="AL27" s="82" t="str">
        <f>REPLACE(INDEX(GroupVertices[Group],MATCH(Vertices[[#This Row],[Vertex]],GroupVertices[Vertex],0)),1,1,"")</f>
        <v>2</v>
      </c>
      <c r="AM27" s="49">
        <v>0</v>
      </c>
      <c r="AN27" s="50">
        <v>0</v>
      </c>
      <c r="AO27" s="49">
        <v>0</v>
      </c>
      <c r="AP27" s="50">
        <v>0</v>
      </c>
      <c r="AQ27" s="49">
        <v>0</v>
      </c>
      <c r="AR27" s="50">
        <v>0</v>
      </c>
      <c r="AS27" s="49">
        <v>6</v>
      </c>
      <c r="AT27" s="50">
        <v>100</v>
      </c>
      <c r="AU27" s="49">
        <v>6</v>
      </c>
      <c r="AV27" s="111" t="s">
        <v>1434</v>
      </c>
      <c r="AW27" s="111" t="s">
        <v>1434</v>
      </c>
      <c r="AX27" s="111" t="s">
        <v>1571</v>
      </c>
      <c r="AY27" s="111" t="s">
        <v>1571</v>
      </c>
      <c r="AZ27" s="2"/>
      <c r="BA27" s="3"/>
      <c r="BB27" s="3"/>
      <c r="BC27" s="3"/>
      <c r="BD27" s="3"/>
    </row>
    <row r="28" spans="1:56" ht="15">
      <c r="A28" s="68" t="s">
        <v>339</v>
      </c>
      <c r="B28" s="69"/>
      <c r="C28" s="69"/>
      <c r="D28" s="70">
        <v>50.552621207203266</v>
      </c>
      <c r="E28" s="72"/>
      <c r="F28" s="69"/>
      <c r="G28" s="69"/>
      <c r="H28" s="73" t="s">
        <v>339</v>
      </c>
      <c r="I28" s="74"/>
      <c r="J28" s="74"/>
      <c r="K28" s="73" t="s">
        <v>339</v>
      </c>
      <c r="L28" s="77">
        <v>4.136292528134676</v>
      </c>
      <c r="M28" s="78">
        <v>9250.3564453125</v>
      </c>
      <c r="N28" s="78">
        <v>6840.18505859375</v>
      </c>
      <c r="O28" s="79"/>
      <c r="P28" s="80"/>
      <c r="Q28" s="80"/>
      <c r="R28" s="85"/>
      <c r="S28" s="49">
        <v>2</v>
      </c>
      <c r="T28" s="49">
        <v>2</v>
      </c>
      <c r="U28" s="50">
        <v>11.666667</v>
      </c>
      <c r="V28" s="50">
        <v>0.001095</v>
      </c>
      <c r="W28" s="50">
        <v>0.0034</v>
      </c>
      <c r="X28" s="50">
        <v>0.884507</v>
      </c>
      <c r="Y28" s="50">
        <v>0</v>
      </c>
      <c r="Z28" s="50">
        <v>0</v>
      </c>
      <c r="AA28" s="75">
        <v>28</v>
      </c>
      <c r="AB28" s="75"/>
      <c r="AC28" s="76"/>
      <c r="AD28" s="82" t="s">
        <v>786</v>
      </c>
      <c r="AE28" s="99" t="str">
        <f>HYPERLINK("http://en.wikipedia.org/wiki/User:JohnScottDixon")</f>
        <v>http://en.wikipedia.org/wiki/User:JohnScottDixon</v>
      </c>
      <c r="AF28" s="82" t="s">
        <v>806</v>
      </c>
      <c r="AG28" s="82"/>
      <c r="AH28" s="82"/>
      <c r="AI28" s="82">
        <v>0.4214286</v>
      </c>
      <c r="AJ28" s="82">
        <v>35</v>
      </c>
      <c r="AK28" s="82"/>
      <c r="AL28" s="82" t="str">
        <f>REPLACE(INDEX(GroupVertices[Group],MATCH(Vertices[[#This Row],[Vertex]],GroupVertices[Vertex],0)),1,1,"")</f>
        <v>8</v>
      </c>
      <c r="AM28" s="49">
        <v>0</v>
      </c>
      <c r="AN28" s="50">
        <v>0</v>
      </c>
      <c r="AO28" s="49">
        <v>0</v>
      </c>
      <c r="AP28" s="50">
        <v>0</v>
      </c>
      <c r="AQ28" s="49">
        <v>0</v>
      </c>
      <c r="AR28" s="50">
        <v>0</v>
      </c>
      <c r="AS28" s="49">
        <v>10</v>
      </c>
      <c r="AT28" s="50">
        <v>100</v>
      </c>
      <c r="AU28" s="49">
        <v>10</v>
      </c>
      <c r="AV28" s="111" t="s">
        <v>1202</v>
      </c>
      <c r="AW28" s="111" t="s">
        <v>1202</v>
      </c>
      <c r="AX28" s="111" t="s">
        <v>1418</v>
      </c>
      <c r="AY28" s="111" t="s">
        <v>1418</v>
      </c>
      <c r="AZ28" s="2"/>
      <c r="BA28" s="3"/>
      <c r="BB28" s="3"/>
      <c r="BC28" s="3"/>
      <c r="BD28" s="3"/>
    </row>
    <row r="29" spans="1:56" ht="15">
      <c r="A29" s="68" t="s">
        <v>340</v>
      </c>
      <c r="B29" s="69"/>
      <c r="C29" s="69"/>
      <c r="D29" s="70">
        <v>67.16283527184268</v>
      </c>
      <c r="E29" s="72"/>
      <c r="F29" s="69"/>
      <c r="G29" s="69"/>
      <c r="H29" s="73" t="s">
        <v>340</v>
      </c>
      <c r="I29" s="74"/>
      <c r="J29" s="74"/>
      <c r="K29" s="73" t="s">
        <v>340</v>
      </c>
      <c r="L29" s="77">
        <v>98.4042822154805</v>
      </c>
      <c r="M29" s="78">
        <v>9685.59375</v>
      </c>
      <c r="N29" s="78">
        <v>6577.51513671875</v>
      </c>
      <c r="O29" s="79"/>
      <c r="P29" s="80"/>
      <c r="Q29" s="80"/>
      <c r="R29" s="85"/>
      <c r="S29" s="49">
        <v>3</v>
      </c>
      <c r="T29" s="49">
        <v>3</v>
      </c>
      <c r="U29" s="50">
        <v>362.333333</v>
      </c>
      <c r="V29" s="50">
        <v>0.001355</v>
      </c>
      <c r="W29" s="50">
        <v>0.016323</v>
      </c>
      <c r="X29" s="50">
        <v>1.141197</v>
      </c>
      <c r="Y29" s="50">
        <v>0.16666666666666666</v>
      </c>
      <c r="Z29" s="50">
        <v>0.3333333333333333</v>
      </c>
      <c r="AA29" s="75">
        <v>29</v>
      </c>
      <c r="AB29" s="75"/>
      <c r="AC29" s="76"/>
      <c r="AD29" s="82" t="s">
        <v>786</v>
      </c>
      <c r="AE29" s="99" t="str">
        <f>HYPERLINK("http://en.wikipedia.org/wiki/User:85.147.221.156")</f>
        <v>http://en.wikipedia.org/wiki/User:85.147.221.156</v>
      </c>
      <c r="AF29" s="82" t="s">
        <v>806</v>
      </c>
      <c r="AG29" s="82"/>
      <c r="AH29" s="82"/>
      <c r="AI29" s="82">
        <v>0.2962962</v>
      </c>
      <c r="AJ29" s="82">
        <v>9</v>
      </c>
      <c r="AK29" s="82"/>
      <c r="AL29" s="82" t="str">
        <f>REPLACE(INDEX(GroupVertices[Group],MATCH(Vertices[[#This Row],[Vertex]],GroupVertices[Vertex],0)),1,1,"")</f>
        <v>8</v>
      </c>
      <c r="AM29" s="49">
        <v>0</v>
      </c>
      <c r="AN29" s="50">
        <v>0</v>
      </c>
      <c r="AO29" s="49">
        <v>0</v>
      </c>
      <c r="AP29" s="50">
        <v>0</v>
      </c>
      <c r="AQ29" s="49">
        <v>0</v>
      </c>
      <c r="AR29" s="50">
        <v>0</v>
      </c>
      <c r="AS29" s="49">
        <v>22</v>
      </c>
      <c r="AT29" s="50">
        <v>100</v>
      </c>
      <c r="AU29" s="49">
        <v>22</v>
      </c>
      <c r="AV29" s="111" t="s">
        <v>1435</v>
      </c>
      <c r="AW29" s="111" t="s">
        <v>1435</v>
      </c>
      <c r="AX29" s="111" t="s">
        <v>1572</v>
      </c>
      <c r="AY29" s="111" t="s">
        <v>1572</v>
      </c>
      <c r="AZ29" s="2"/>
      <c r="BA29" s="3"/>
      <c r="BB29" s="3"/>
      <c r="BC29" s="3"/>
      <c r="BD29" s="3"/>
    </row>
    <row r="30" spans="1:56" ht="15">
      <c r="A30" s="68" t="s">
        <v>341</v>
      </c>
      <c r="B30" s="69"/>
      <c r="C30" s="69"/>
      <c r="D30" s="70">
        <v>106.55683164700767</v>
      </c>
      <c r="E30" s="72"/>
      <c r="F30" s="69"/>
      <c r="G30" s="69"/>
      <c r="H30" s="73" t="s">
        <v>341</v>
      </c>
      <c r="I30" s="74"/>
      <c r="J30" s="74"/>
      <c r="K30" s="73" t="s">
        <v>341</v>
      </c>
      <c r="L30" s="77">
        <v>321.97712899432224</v>
      </c>
      <c r="M30" s="78">
        <v>8529.0205078125</v>
      </c>
      <c r="N30" s="78">
        <v>6256.6005859375</v>
      </c>
      <c r="O30" s="79"/>
      <c r="P30" s="80"/>
      <c r="Q30" s="80"/>
      <c r="R30" s="85"/>
      <c r="S30" s="49">
        <v>2</v>
      </c>
      <c r="T30" s="49">
        <v>2</v>
      </c>
      <c r="U30" s="50">
        <v>1194</v>
      </c>
      <c r="V30" s="50">
        <v>0.001364</v>
      </c>
      <c r="W30" s="50">
        <v>0.01622</v>
      </c>
      <c r="X30" s="50">
        <v>1.209626</v>
      </c>
      <c r="Y30" s="50">
        <v>0.25</v>
      </c>
      <c r="Z30" s="50">
        <v>0</v>
      </c>
      <c r="AA30" s="75">
        <v>30</v>
      </c>
      <c r="AB30" s="75"/>
      <c r="AC30" s="76"/>
      <c r="AD30" s="82" t="s">
        <v>786</v>
      </c>
      <c r="AE30" s="99" t="str">
        <f>HYPERLINK("http://en.wikipedia.org/wiki/User:Flowanda")</f>
        <v>http://en.wikipedia.org/wiki/User:Flowanda</v>
      </c>
      <c r="AF30" s="82" t="s">
        <v>806</v>
      </c>
      <c r="AG30" s="82"/>
      <c r="AH30" s="82"/>
      <c r="AI30" s="82">
        <v>0.3259603</v>
      </c>
      <c r="AJ30" s="82">
        <v>500</v>
      </c>
      <c r="AK30" s="82"/>
      <c r="AL30" s="82" t="str">
        <f>REPLACE(INDEX(GroupVertices[Group],MATCH(Vertices[[#This Row],[Vertex]],GroupVertices[Vertex],0)),1,1,"")</f>
        <v>8</v>
      </c>
      <c r="AM30" s="49">
        <v>0</v>
      </c>
      <c r="AN30" s="50">
        <v>0</v>
      </c>
      <c r="AO30" s="49">
        <v>0</v>
      </c>
      <c r="AP30" s="50">
        <v>0</v>
      </c>
      <c r="AQ30" s="49">
        <v>0</v>
      </c>
      <c r="AR30" s="50">
        <v>0</v>
      </c>
      <c r="AS30" s="49">
        <v>11</v>
      </c>
      <c r="AT30" s="50">
        <v>100</v>
      </c>
      <c r="AU30" s="49">
        <v>11</v>
      </c>
      <c r="AV30" s="111" t="s">
        <v>1728</v>
      </c>
      <c r="AW30" s="111" t="s">
        <v>1728</v>
      </c>
      <c r="AX30" s="111" t="s">
        <v>1740</v>
      </c>
      <c r="AY30" s="111" t="s">
        <v>1740</v>
      </c>
      <c r="AZ30" s="2"/>
      <c r="BA30" s="3"/>
      <c r="BB30" s="3"/>
      <c r="BC30" s="3"/>
      <c r="BD30" s="3"/>
    </row>
    <row r="31" spans="1:56" ht="15">
      <c r="A31" s="68" t="s">
        <v>342</v>
      </c>
      <c r="B31" s="69"/>
      <c r="C31" s="69"/>
      <c r="D31" s="70">
        <v>87.76771112313945</v>
      </c>
      <c r="E31" s="72"/>
      <c r="F31" s="69"/>
      <c r="G31" s="69"/>
      <c r="H31" s="73" t="s">
        <v>342</v>
      </c>
      <c r="I31" s="74"/>
      <c r="J31" s="74"/>
      <c r="K31" s="73" t="s">
        <v>342</v>
      </c>
      <c r="L31" s="77">
        <v>215.343185994819</v>
      </c>
      <c r="M31" s="78">
        <v>9853.2783203125</v>
      </c>
      <c r="N31" s="78">
        <v>8706.736328125</v>
      </c>
      <c r="O31" s="79"/>
      <c r="P31" s="80"/>
      <c r="Q31" s="80"/>
      <c r="R31" s="85"/>
      <c r="S31" s="49">
        <v>1</v>
      </c>
      <c r="T31" s="49">
        <v>1</v>
      </c>
      <c r="U31" s="50">
        <v>797.333333</v>
      </c>
      <c r="V31" s="50">
        <v>0.001078</v>
      </c>
      <c r="W31" s="50">
        <v>0.002117</v>
      </c>
      <c r="X31" s="50">
        <v>0.758458</v>
      </c>
      <c r="Y31" s="50">
        <v>0</v>
      </c>
      <c r="Z31" s="50">
        <v>0</v>
      </c>
      <c r="AA31" s="75">
        <v>31</v>
      </c>
      <c r="AB31" s="75"/>
      <c r="AC31" s="76"/>
      <c r="AD31" s="82" t="s">
        <v>786</v>
      </c>
      <c r="AE31" s="99" t="str">
        <f>HYPERLINK("http://en.wikipedia.org/wiki/User:69.126.178.19")</f>
        <v>http://en.wikipedia.org/wiki/User:69.126.178.19</v>
      </c>
      <c r="AF31" s="82" t="s">
        <v>806</v>
      </c>
      <c r="AG31" s="82"/>
      <c r="AH31" s="82"/>
      <c r="AI31" s="82">
        <v>0.1666666</v>
      </c>
      <c r="AJ31" s="82">
        <v>3</v>
      </c>
      <c r="AK31" s="82"/>
      <c r="AL31" s="82" t="str">
        <f>REPLACE(INDEX(GroupVertices[Group],MATCH(Vertices[[#This Row],[Vertex]],GroupVertices[Vertex],0)),1,1,"")</f>
        <v>8</v>
      </c>
      <c r="AM31" s="49">
        <v>0</v>
      </c>
      <c r="AN31" s="50">
        <v>0</v>
      </c>
      <c r="AO31" s="49">
        <v>0</v>
      </c>
      <c r="AP31" s="50">
        <v>0</v>
      </c>
      <c r="AQ31" s="49">
        <v>0</v>
      </c>
      <c r="AR31" s="50">
        <v>0</v>
      </c>
      <c r="AS31" s="49">
        <v>11</v>
      </c>
      <c r="AT31" s="50">
        <v>100</v>
      </c>
      <c r="AU31" s="49">
        <v>11</v>
      </c>
      <c r="AV31" s="111" t="s">
        <v>1435</v>
      </c>
      <c r="AW31" s="111" t="s">
        <v>1435</v>
      </c>
      <c r="AX31" s="111" t="s">
        <v>1572</v>
      </c>
      <c r="AY31" s="111" t="s">
        <v>1572</v>
      </c>
      <c r="AZ31" s="2"/>
      <c r="BA31" s="3"/>
      <c r="BB31" s="3"/>
      <c r="BC31" s="3"/>
      <c r="BD31" s="3"/>
    </row>
    <row r="32" spans="1:56" ht="15">
      <c r="A32" s="68" t="s">
        <v>343</v>
      </c>
      <c r="B32" s="69"/>
      <c r="C32" s="69"/>
      <c r="D32" s="70">
        <v>69.29437415301132</v>
      </c>
      <c r="E32" s="72"/>
      <c r="F32" s="69"/>
      <c r="G32" s="69"/>
      <c r="H32" s="73" t="s">
        <v>343</v>
      </c>
      <c r="I32" s="74"/>
      <c r="J32" s="74"/>
      <c r="K32" s="73" t="s">
        <v>343</v>
      </c>
      <c r="L32" s="77">
        <v>110.50141019265345</v>
      </c>
      <c r="M32" s="78">
        <v>9360.244140625</v>
      </c>
      <c r="N32" s="78">
        <v>9730.791015625</v>
      </c>
      <c r="O32" s="79"/>
      <c r="P32" s="80"/>
      <c r="Q32" s="80"/>
      <c r="R32" s="85"/>
      <c r="S32" s="49">
        <v>1</v>
      </c>
      <c r="T32" s="49">
        <v>1</v>
      </c>
      <c r="U32" s="50">
        <v>407.333333</v>
      </c>
      <c r="V32" s="50">
        <v>0.00089</v>
      </c>
      <c r="W32" s="50">
        <v>0.000277</v>
      </c>
      <c r="X32" s="50">
        <v>0.826853</v>
      </c>
      <c r="Y32" s="50">
        <v>0</v>
      </c>
      <c r="Z32" s="50">
        <v>0</v>
      </c>
      <c r="AA32" s="75">
        <v>32</v>
      </c>
      <c r="AB32" s="75"/>
      <c r="AC32" s="76"/>
      <c r="AD32" s="82" t="s">
        <v>786</v>
      </c>
      <c r="AE32" s="99" t="str">
        <f>HYPERLINK("http://en.wikipedia.org/wiki/User:Ms2ger")</f>
        <v>http://en.wikipedia.org/wiki/User:Ms2ger</v>
      </c>
      <c r="AF32" s="82" t="s">
        <v>806</v>
      </c>
      <c r="AG32" s="82"/>
      <c r="AH32" s="82"/>
      <c r="AI32" s="82">
        <v>0.2984824</v>
      </c>
      <c r="AJ32" s="82">
        <v>500</v>
      </c>
      <c r="AK32" s="82"/>
      <c r="AL32" s="82" t="str">
        <f>REPLACE(INDEX(GroupVertices[Group],MATCH(Vertices[[#This Row],[Vertex]],GroupVertices[Vertex],0)),1,1,"")</f>
        <v>8</v>
      </c>
      <c r="AM32" s="49">
        <v>0</v>
      </c>
      <c r="AN32" s="50">
        <v>0</v>
      </c>
      <c r="AO32" s="49">
        <v>1</v>
      </c>
      <c r="AP32" s="50">
        <v>33.333333333333336</v>
      </c>
      <c r="AQ32" s="49">
        <v>0</v>
      </c>
      <c r="AR32" s="50">
        <v>0</v>
      </c>
      <c r="AS32" s="49">
        <v>2</v>
      </c>
      <c r="AT32" s="50">
        <v>66.66666666666667</v>
      </c>
      <c r="AU32" s="49">
        <v>3</v>
      </c>
      <c r="AV32" s="111" t="s">
        <v>1729</v>
      </c>
      <c r="AW32" s="111" t="s">
        <v>1729</v>
      </c>
      <c r="AX32" s="111" t="s">
        <v>1741</v>
      </c>
      <c r="AY32" s="111" t="s">
        <v>1741</v>
      </c>
      <c r="AZ32" s="2"/>
      <c r="BA32" s="3"/>
      <c r="BB32" s="3"/>
      <c r="BC32" s="3"/>
      <c r="BD32" s="3"/>
    </row>
    <row r="33" spans="1:56" ht="15">
      <c r="A33" s="68" t="s">
        <v>344</v>
      </c>
      <c r="B33" s="69"/>
      <c r="C33" s="69"/>
      <c r="D33" s="70">
        <v>50.82103718288318</v>
      </c>
      <c r="E33" s="72"/>
      <c r="F33" s="69"/>
      <c r="G33" s="69"/>
      <c r="H33" s="73" t="s">
        <v>344</v>
      </c>
      <c r="I33" s="74"/>
      <c r="J33" s="74"/>
      <c r="K33" s="73" t="s">
        <v>344</v>
      </c>
      <c r="L33" s="77">
        <v>5.659634390487891</v>
      </c>
      <c r="M33" s="78">
        <v>8437.3544921875</v>
      </c>
      <c r="N33" s="78">
        <v>9144.345703125</v>
      </c>
      <c r="O33" s="79"/>
      <c r="P33" s="80"/>
      <c r="Q33" s="80"/>
      <c r="R33" s="85"/>
      <c r="S33" s="49">
        <v>1</v>
      </c>
      <c r="T33" s="49">
        <v>1</v>
      </c>
      <c r="U33" s="50">
        <v>17.333333</v>
      </c>
      <c r="V33" s="50">
        <v>0.000759</v>
      </c>
      <c r="W33" s="50">
        <v>4.1E-05</v>
      </c>
      <c r="X33" s="50">
        <v>0.834139</v>
      </c>
      <c r="Y33" s="50">
        <v>0</v>
      </c>
      <c r="Z33" s="50">
        <v>0</v>
      </c>
      <c r="AA33" s="75">
        <v>33</v>
      </c>
      <c r="AB33" s="75"/>
      <c r="AC33" s="76"/>
      <c r="AD33" s="82" t="s">
        <v>786</v>
      </c>
      <c r="AE33" s="99" t="str">
        <f>HYPERLINK("http://en.wikipedia.org/wiki/User:Tecoates")</f>
        <v>http://en.wikipedia.org/wiki/User:Tecoates</v>
      </c>
      <c r="AF33" s="82" t="s">
        <v>806</v>
      </c>
      <c r="AG33" s="82"/>
      <c r="AH33" s="82"/>
      <c r="AI33" s="82">
        <v>0.5399135</v>
      </c>
      <c r="AJ33" s="82">
        <v>266</v>
      </c>
      <c r="AK33" s="82"/>
      <c r="AL33" s="82" t="str">
        <f>REPLACE(INDEX(GroupVertices[Group],MATCH(Vertices[[#This Row],[Vertex]],GroupVertices[Vertex],0)),1,1,"")</f>
        <v>8</v>
      </c>
      <c r="AM33" s="49">
        <v>0</v>
      </c>
      <c r="AN33" s="50">
        <v>0</v>
      </c>
      <c r="AO33" s="49">
        <v>0</v>
      </c>
      <c r="AP33" s="50">
        <v>0</v>
      </c>
      <c r="AQ33" s="49">
        <v>0</v>
      </c>
      <c r="AR33" s="50">
        <v>0</v>
      </c>
      <c r="AS33" s="49">
        <v>9</v>
      </c>
      <c r="AT33" s="50">
        <v>100</v>
      </c>
      <c r="AU33" s="49">
        <v>9</v>
      </c>
      <c r="AV33" s="111" t="s">
        <v>1436</v>
      </c>
      <c r="AW33" s="111" t="s">
        <v>1436</v>
      </c>
      <c r="AX33" s="111" t="s">
        <v>1573</v>
      </c>
      <c r="AY33" s="111" t="s">
        <v>1573</v>
      </c>
      <c r="AZ33" s="2"/>
      <c r="BA33" s="3"/>
      <c r="BB33" s="3"/>
      <c r="BC33" s="3"/>
      <c r="BD33" s="3"/>
    </row>
    <row r="34" spans="1:56" ht="15">
      <c r="A34" s="68" t="s">
        <v>345</v>
      </c>
      <c r="B34" s="69"/>
      <c r="C34" s="69"/>
      <c r="D34" s="70">
        <v>50.56841036831163</v>
      </c>
      <c r="E34" s="72"/>
      <c r="F34" s="69"/>
      <c r="G34" s="69"/>
      <c r="H34" s="73" t="s">
        <v>345</v>
      </c>
      <c r="I34" s="74"/>
      <c r="J34" s="74"/>
      <c r="K34" s="73" t="s">
        <v>345</v>
      </c>
      <c r="L34" s="77">
        <v>4.225900793912786</v>
      </c>
      <c r="M34" s="78">
        <v>9871.619140625</v>
      </c>
      <c r="N34" s="78">
        <v>9646.587890625</v>
      </c>
      <c r="O34" s="79"/>
      <c r="P34" s="80"/>
      <c r="Q34" s="80"/>
      <c r="R34" s="85"/>
      <c r="S34" s="49">
        <v>2</v>
      </c>
      <c r="T34" s="49">
        <v>2</v>
      </c>
      <c r="U34" s="50">
        <v>12</v>
      </c>
      <c r="V34" s="50">
        <v>0.000755</v>
      </c>
      <c r="W34" s="50">
        <v>4.1E-05</v>
      </c>
      <c r="X34" s="50">
        <v>1.174329</v>
      </c>
      <c r="Y34" s="50">
        <v>0</v>
      </c>
      <c r="Z34" s="50">
        <v>0</v>
      </c>
      <c r="AA34" s="75">
        <v>34</v>
      </c>
      <c r="AB34" s="75"/>
      <c r="AC34" s="76"/>
      <c r="AD34" s="82" t="s">
        <v>786</v>
      </c>
      <c r="AE34" s="99" t="str">
        <f>HYPERLINK("http://en.wikipedia.org/wiki/User:Nabeth")</f>
        <v>http://en.wikipedia.org/wiki/User:Nabeth</v>
      </c>
      <c r="AF34" s="82" t="s">
        <v>806</v>
      </c>
      <c r="AG34" s="82"/>
      <c r="AH34" s="82"/>
      <c r="AI34" s="82">
        <v>0.5160754</v>
      </c>
      <c r="AJ34" s="82">
        <v>500</v>
      </c>
      <c r="AK34" s="82"/>
      <c r="AL34" s="82" t="str">
        <f>REPLACE(INDEX(GroupVertices[Group],MATCH(Vertices[[#This Row],[Vertex]],GroupVertices[Vertex],0)),1,1,"")</f>
        <v>8</v>
      </c>
      <c r="AM34" s="49">
        <v>0</v>
      </c>
      <c r="AN34" s="50">
        <v>0</v>
      </c>
      <c r="AO34" s="49">
        <v>0</v>
      </c>
      <c r="AP34" s="50">
        <v>0</v>
      </c>
      <c r="AQ34" s="49">
        <v>0</v>
      </c>
      <c r="AR34" s="50">
        <v>0</v>
      </c>
      <c r="AS34" s="49">
        <v>10</v>
      </c>
      <c r="AT34" s="50">
        <v>100</v>
      </c>
      <c r="AU34" s="49">
        <v>10</v>
      </c>
      <c r="AV34" s="111" t="s">
        <v>1730</v>
      </c>
      <c r="AW34" s="111" t="s">
        <v>1730</v>
      </c>
      <c r="AX34" s="111" t="s">
        <v>1742</v>
      </c>
      <c r="AY34" s="111" t="s">
        <v>1742</v>
      </c>
      <c r="AZ34" s="2"/>
      <c r="BA34" s="3"/>
      <c r="BB34" s="3"/>
      <c r="BC34" s="3"/>
      <c r="BD34" s="3"/>
    </row>
    <row r="35" spans="1:56" ht="15">
      <c r="A35" s="68" t="s">
        <v>346</v>
      </c>
      <c r="B35" s="69"/>
      <c r="C35" s="69"/>
      <c r="D35" s="70">
        <v>68.78912052386822</v>
      </c>
      <c r="E35" s="72"/>
      <c r="F35" s="69"/>
      <c r="G35" s="69"/>
      <c r="H35" s="73" t="s">
        <v>346</v>
      </c>
      <c r="I35" s="74"/>
      <c r="J35" s="74"/>
      <c r="K35" s="73" t="s">
        <v>346</v>
      </c>
      <c r="L35" s="77">
        <v>107.63394299950325</v>
      </c>
      <c r="M35" s="78">
        <v>9751.09375</v>
      </c>
      <c r="N35" s="78">
        <v>7465.75732421875</v>
      </c>
      <c r="O35" s="79"/>
      <c r="P35" s="80"/>
      <c r="Q35" s="80"/>
      <c r="R35" s="85"/>
      <c r="S35" s="49">
        <v>1</v>
      </c>
      <c r="T35" s="49">
        <v>1</v>
      </c>
      <c r="U35" s="50">
        <v>396.666667</v>
      </c>
      <c r="V35" s="50">
        <v>0.000886</v>
      </c>
      <c r="W35" s="50">
        <v>0.000235</v>
      </c>
      <c r="X35" s="50">
        <v>0.793162</v>
      </c>
      <c r="Y35" s="50">
        <v>0</v>
      </c>
      <c r="Z35" s="50">
        <v>0</v>
      </c>
      <c r="AA35" s="75">
        <v>35</v>
      </c>
      <c r="AB35" s="75"/>
      <c r="AC35" s="76"/>
      <c r="AD35" s="82" t="s">
        <v>786</v>
      </c>
      <c r="AE35" s="82" t="s">
        <v>789</v>
      </c>
      <c r="AF35" s="82" t="s">
        <v>806</v>
      </c>
      <c r="AG35" s="82"/>
      <c r="AH35" s="82"/>
      <c r="AI35" s="82">
        <v>0.3915989</v>
      </c>
      <c r="AJ35" s="82">
        <v>41</v>
      </c>
      <c r="AK35" s="82"/>
      <c r="AL35" s="82" t="e">
        <f>REPLACE(INDEX(GroupVertices[Group],MATCH(Vertices[[#This Row],[Vertex]],GroupVertices[Vertex],0)),1,1,"")</f>
        <v>#N/A</v>
      </c>
      <c r="AM35" s="49">
        <v>0</v>
      </c>
      <c r="AN35" s="50">
        <v>0</v>
      </c>
      <c r="AO35" s="49">
        <v>1</v>
      </c>
      <c r="AP35" s="50">
        <v>12.5</v>
      </c>
      <c r="AQ35" s="49">
        <v>0</v>
      </c>
      <c r="AR35" s="50">
        <v>0</v>
      </c>
      <c r="AS35" s="49">
        <v>7</v>
      </c>
      <c r="AT35" s="50">
        <v>87.5</v>
      </c>
      <c r="AU35" s="49">
        <v>8</v>
      </c>
      <c r="AV35" s="111" t="s">
        <v>1437</v>
      </c>
      <c r="AW35" s="111" t="s">
        <v>1437</v>
      </c>
      <c r="AX35" s="111" t="s">
        <v>1574</v>
      </c>
      <c r="AY35" s="111" t="s">
        <v>1574</v>
      </c>
      <c r="AZ35" s="2"/>
      <c r="BA35" s="3"/>
      <c r="BB35" s="3"/>
      <c r="BC35" s="3"/>
      <c r="BD35" s="3"/>
    </row>
    <row r="36" spans="1:56" ht="15">
      <c r="A36" s="68" t="s">
        <v>347</v>
      </c>
      <c r="B36" s="69"/>
      <c r="C36" s="69"/>
      <c r="D36" s="70">
        <v>87.26245749399635</v>
      </c>
      <c r="E36" s="72"/>
      <c r="F36" s="69"/>
      <c r="G36" s="69"/>
      <c r="H36" s="73" t="s">
        <v>347</v>
      </c>
      <c r="I36" s="74"/>
      <c r="J36" s="74"/>
      <c r="K36" s="73" t="s">
        <v>347</v>
      </c>
      <c r="L36" s="77">
        <v>212.47571880166882</v>
      </c>
      <c r="M36" s="78">
        <v>8300.5419921875</v>
      </c>
      <c r="N36" s="78">
        <v>8164.1826171875</v>
      </c>
      <c r="O36" s="79"/>
      <c r="P36" s="80"/>
      <c r="Q36" s="80"/>
      <c r="R36" s="85"/>
      <c r="S36" s="49">
        <v>2</v>
      </c>
      <c r="T36" s="49">
        <v>2</v>
      </c>
      <c r="U36" s="50">
        <v>786.666667</v>
      </c>
      <c r="V36" s="50">
        <v>0.001071</v>
      </c>
      <c r="W36" s="50">
        <v>0.001792</v>
      </c>
      <c r="X36" s="50">
        <v>1.095655</v>
      </c>
      <c r="Y36" s="50">
        <v>0</v>
      </c>
      <c r="Z36" s="50">
        <v>0</v>
      </c>
      <c r="AA36" s="75">
        <v>36</v>
      </c>
      <c r="AB36" s="75"/>
      <c r="AC36" s="76"/>
      <c r="AD36" s="82" t="s">
        <v>786</v>
      </c>
      <c r="AE36" s="99" t="str">
        <f>HYPERLINK("http://en.wikipedia.org/wiki/User:Garyedgar")</f>
        <v>http://en.wikipedia.org/wiki/User:Garyedgar</v>
      </c>
      <c r="AF36" s="82" t="s">
        <v>806</v>
      </c>
      <c r="AG36" s="82"/>
      <c r="AH36" s="82"/>
      <c r="AI36" s="82">
        <v>0.2857143</v>
      </c>
      <c r="AJ36" s="82">
        <v>14</v>
      </c>
      <c r="AK36" s="82"/>
      <c r="AL36" s="82" t="str">
        <f>REPLACE(INDEX(GroupVertices[Group],MATCH(Vertices[[#This Row],[Vertex]],GroupVertices[Vertex],0)),1,1,"")</f>
        <v>8</v>
      </c>
      <c r="AM36" s="49">
        <v>0</v>
      </c>
      <c r="AN36" s="50">
        <v>0</v>
      </c>
      <c r="AO36" s="49">
        <v>0</v>
      </c>
      <c r="AP36" s="50">
        <v>0</v>
      </c>
      <c r="AQ36" s="49">
        <v>0</v>
      </c>
      <c r="AR36" s="50">
        <v>0</v>
      </c>
      <c r="AS36" s="49">
        <v>10</v>
      </c>
      <c r="AT36" s="50">
        <v>100</v>
      </c>
      <c r="AU36" s="49">
        <v>10</v>
      </c>
      <c r="AV36" s="111" t="s">
        <v>1438</v>
      </c>
      <c r="AW36" s="111" t="s">
        <v>1438</v>
      </c>
      <c r="AX36" s="111" t="s">
        <v>1575</v>
      </c>
      <c r="AY36" s="111" t="s">
        <v>1575</v>
      </c>
      <c r="AZ36" s="2"/>
      <c r="BA36" s="3"/>
      <c r="BB36" s="3"/>
      <c r="BC36" s="3"/>
      <c r="BD36" s="3"/>
    </row>
    <row r="37" spans="1:56" ht="15">
      <c r="A37" s="68" t="s">
        <v>348</v>
      </c>
      <c r="B37" s="69"/>
      <c r="C37" s="69"/>
      <c r="D37" s="70">
        <v>105.73579446412448</v>
      </c>
      <c r="E37" s="72"/>
      <c r="F37" s="69"/>
      <c r="G37" s="69"/>
      <c r="H37" s="73" t="s">
        <v>348</v>
      </c>
      <c r="I37" s="74"/>
      <c r="J37" s="74"/>
      <c r="K37" s="73" t="s">
        <v>348</v>
      </c>
      <c r="L37" s="77">
        <v>317.31749460383435</v>
      </c>
      <c r="M37" s="78">
        <v>9699.1064453125</v>
      </c>
      <c r="N37" s="78">
        <v>8067.47265625</v>
      </c>
      <c r="O37" s="79"/>
      <c r="P37" s="80"/>
      <c r="Q37" s="80"/>
      <c r="R37" s="85"/>
      <c r="S37" s="49">
        <v>1</v>
      </c>
      <c r="T37" s="49">
        <v>1</v>
      </c>
      <c r="U37" s="50">
        <v>1176.666667</v>
      </c>
      <c r="V37" s="50">
        <v>0.001353</v>
      </c>
      <c r="W37" s="50">
        <v>0.011942</v>
      </c>
      <c r="X37" s="50">
        <v>0.701473</v>
      </c>
      <c r="Y37" s="50">
        <v>0</v>
      </c>
      <c r="Z37" s="50">
        <v>0</v>
      </c>
      <c r="AA37" s="75">
        <v>37</v>
      </c>
      <c r="AB37" s="75"/>
      <c r="AC37" s="76"/>
      <c r="AD37" s="82" t="s">
        <v>786</v>
      </c>
      <c r="AE37" s="99" t="str">
        <f>HYPERLINK("http://en.wikipedia.org/wiki/User:Sabrina111")</f>
        <v>http://en.wikipedia.org/wiki/User:Sabrina111</v>
      </c>
      <c r="AF37" s="82" t="s">
        <v>806</v>
      </c>
      <c r="AG37" s="82"/>
      <c r="AH37" s="82"/>
      <c r="AI37" s="82">
        <v>0.5357143</v>
      </c>
      <c r="AJ37" s="82">
        <v>14</v>
      </c>
      <c r="AK37" s="82"/>
      <c r="AL37" s="82" t="str">
        <f>REPLACE(INDEX(GroupVertices[Group],MATCH(Vertices[[#This Row],[Vertex]],GroupVertices[Vertex],0)),1,1,"")</f>
        <v>8</v>
      </c>
      <c r="AM37" s="49">
        <v>0</v>
      </c>
      <c r="AN37" s="50">
        <v>0</v>
      </c>
      <c r="AO37" s="49">
        <v>0</v>
      </c>
      <c r="AP37" s="50">
        <v>0</v>
      </c>
      <c r="AQ37" s="49">
        <v>0</v>
      </c>
      <c r="AR37" s="50">
        <v>0</v>
      </c>
      <c r="AS37" s="49">
        <v>4</v>
      </c>
      <c r="AT37" s="50">
        <v>100</v>
      </c>
      <c r="AU37" s="49">
        <v>4</v>
      </c>
      <c r="AV37" s="111" t="s">
        <v>847</v>
      </c>
      <c r="AW37" s="111" t="s">
        <v>847</v>
      </c>
      <c r="AX37" s="111" t="s">
        <v>1418</v>
      </c>
      <c r="AY37" s="111" t="s">
        <v>1418</v>
      </c>
      <c r="AZ37" s="2"/>
      <c r="BA37" s="3"/>
      <c r="BB37" s="3"/>
      <c r="BC37" s="3"/>
      <c r="BD37" s="3"/>
    </row>
    <row r="38" spans="1:56" ht="15">
      <c r="A38" s="68" t="s">
        <v>349</v>
      </c>
      <c r="B38" s="69"/>
      <c r="C38" s="69"/>
      <c r="D38" s="70">
        <v>87.59876696191407</v>
      </c>
      <c r="E38" s="72"/>
      <c r="F38" s="69"/>
      <c r="G38" s="69"/>
      <c r="H38" s="73" t="s">
        <v>349</v>
      </c>
      <c r="I38" s="74"/>
      <c r="J38" s="74"/>
      <c r="K38" s="73" t="s">
        <v>349</v>
      </c>
      <c r="L38" s="77">
        <v>214.38437677140053</v>
      </c>
      <c r="M38" s="78">
        <v>8847.5908203125</v>
      </c>
      <c r="N38" s="78">
        <v>6275.8115234375</v>
      </c>
      <c r="O38" s="79"/>
      <c r="P38" s="80"/>
      <c r="Q38" s="80"/>
      <c r="R38" s="85"/>
      <c r="S38" s="49">
        <v>3</v>
      </c>
      <c r="T38" s="49">
        <v>3</v>
      </c>
      <c r="U38" s="50">
        <v>793.766667</v>
      </c>
      <c r="V38" s="50">
        <v>0.001359</v>
      </c>
      <c r="W38" s="50">
        <v>0.016697</v>
      </c>
      <c r="X38" s="50">
        <v>1.492584</v>
      </c>
      <c r="Y38" s="50">
        <v>0.08333333333333333</v>
      </c>
      <c r="Z38" s="50">
        <v>0</v>
      </c>
      <c r="AA38" s="75">
        <v>38</v>
      </c>
      <c r="AB38" s="75"/>
      <c r="AC38" s="76"/>
      <c r="AD38" s="82" t="s">
        <v>786</v>
      </c>
      <c r="AE38" s="99" t="str">
        <f>HYPERLINK("http://en.wikipedia.org/wiki/User:Jonmrich")</f>
        <v>http://en.wikipedia.org/wiki/User:Jonmrich</v>
      </c>
      <c r="AF38" s="82" t="s">
        <v>806</v>
      </c>
      <c r="AG38" s="82"/>
      <c r="AH38" s="82"/>
      <c r="AI38" s="82">
        <v>0.2777778</v>
      </c>
      <c r="AJ38" s="82">
        <v>15</v>
      </c>
      <c r="AK38" s="82"/>
      <c r="AL38" s="82" t="str">
        <f>REPLACE(INDEX(GroupVertices[Group],MATCH(Vertices[[#This Row],[Vertex]],GroupVertices[Vertex],0)),1,1,"")</f>
        <v>8</v>
      </c>
      <c r="AM38" s="49">
        <v>0</v>
      </c>
      <c r="AN38" s="50">
        <v>0</v>
      </c>
      <c r="AO38" s="49">
        <v>0</v>
      </c>
      <c r="AP38" s="50">
        <v>0</v>
      </c>
      <c r="AQ38" s="49">
        <v>0</v>
      </c>
      <c r="AR38" s="50">
        <v>0</v>
      </c>
      <c r="AS38" s="49">
        <v>24</v>
      </c>
      <c r="AT38" s="50">
        <v>100</v>
      </c>
      <c r="AU38" s="49">
        <v>24</v>
      </c>
      <c r="AV38" s="111" t="s">
        <v>1439</v>
      </c>
      <c r="AW38" s="111" t="s">
        <v>1548</v>
      </c>
      <c r="AX38" s="111" t="s">
        <v>1576</v>
      </c>
      <c r="AY38" s="111" t="s">
        <v>1681</v>
      </c>
      <c r="AZ38" s="2"/>
      <c r="BA38" s="3"/>
      <c r="BB38" s="3"/>
      <c r="BC38" s="3"/>
      <c r="BD38" s="3"/>
    </row>
    <row r="39" spans="1:56" ht="15">
      <c r="A39" s="68" t="s">
        <v>350</v>
      </c>
      <c r="B39" s="69"/>
      <c r="C39" s="69"/>
      <c r="D39" s="70">
        <v>50.12631343096954</v>
      </c>
      <c r="E39" s="72"/>
      <c r="F39" s="69"/>
      <c r="G39" s="69"/>
      <c r="H39" s="73" t="s">
        <v>350</v>
      </c>
      <c r="I39" s="74"/>
      <c r="J39" s="74"/>
      <c r="K39" s="73" t="s">
        <v>350</v>
      </c>
      <c r="L39" s="77">
        <v>1.7168669327000856</v>
      </c>
      <c r="M39" s="78">
        <v>7960.982421875</v>
      </c>
      <c r="N39" s="78">
        <v>8952.96484375</v>
      </c>
      <c r="O39" s="79"/>
      <c r="P39" s="80"/>
      <c r="Q39" s="80"/>
      <c r="R39" s="85"/>
      <c r="S39" s="49">
        <v>1</v>
      </c>
      <c r="T39" s="49">
        <v>1</v>
      </c>
      <c r="U39" s="50">
        <v>2.666667</v>
      </c>
      <c r="V39" s="50">
        <v>0.001068</v>
      </c>
      <c r="W39" s="50">
        <v>0.003706</v>
      </c>
      <c r="X39" s="50">
        <v>0.695567</v>
      </c>
      <c r="Y39" s="50">
        <v>0</v>
      </c>
      <c r="Z39" s="50">
        <v>0</v>
      </c>
      <c r="AA39" s="75">
        <v>39</v>
      </c>
      <c r="AB39" s="75"/>
      <c r="AC39" s="76"/>
      <c r="AD39" s="82" t="s">
        <v>786</v>
      </c>
      <c r="AE39" s="99" t="str">
        <f>HYPERLINK("http://en.wikipedia.org/wiki/User:THF")</f>
        <v>http://en.wikipedia.org/wiki/User:THF</v>
      </c>
      <c r="AF39" s="82" t="s">
        <v>806</v>
      </c>
      <c r="AG39" s="82"/>
      <c r="AH39" s="82"/>
      <c r="AI39" s="82">
        <v>0.5469887</v>
      </c>
      <c r="AJ39" s="82">
        <v>500</v>
      </c>
      <c r="AK39" s="82"/>
      <c r="AL39" s="82" t="str">
        <f>REPLACE(INDEX(GroupVertices[Group],MATCH(Vertices[[#This Row],[Vertex]],GroupVertices[Vertex],0)),1,1,"")</f>
        <v>8</v>
      </c>
      <c r="AM39" s="49">
        <v>0</v>
      </c>
      <c r="AN39" s="50">
        <v>0</v>
      </c>
      <c r="AO39" s="49">
        <v>0</v>
      </c>
      <c r="AP39" s="50">
        <v>0</v>
      </c>
      <c r="AQ39" s="49">
        <v>0</v>
      </c>
      <c r="AR39" s="50">
        <v>0</v>
      </c>
      <c r="AS39" s="49">
        <v>12</v>
      </c>
      <c r="AT39" s="50">
        <v>100</v>
      </c>
      <c r="AU39" s="49">
        <v>12</v>
      </c>
      <c r="AV39" s="111" t="s">
        <v>1440</v>
      </c>
      <c r="AW39" s="111" t="s">
        <v>1440</v>
      </c>
      <c r="AX39" s="111" t="s">
        <v>1577</v>
      </c>
      <c r="AY39" s="111" t="s">
        <v>1577</v>
      </c>
      <c r="AZ39" s="2"/>
      <c r="BA39" s="3"/>
      <c r="BB39" s="3"/>
      <c r="BC39" s="3"/>
      <c r="BD39" s="3"/>
    </row>
    <row r="40" spans="1:56" ht="15">
      <c r="A40" s="68" t="s">
        <v>351</v>
      </c>
      <c r="B40" s="69"/>
      <c r="C40" s="69"/>
      <c r="D40" s="70">
        <v>59.17351179326306</v>
      </c>
      <c r="E40" s="72"/>
      <c r="F40" s="69"/>
      <c r="G40" s="69"/>
      <c r="H40" s="73" t="s">
        <v>351</v>
      </c>
      <c r="I40" s="74"/>
      <c r="J40" s="74"/>
      <c r="K40" s="73" t="s">
        <v>351</v>
      </c>
      <c r="L40" s="77">
        <v>53.06245456914527</v>
      </c>
      <c r="M40" s="78">
        <v>8009.96337890625</v>
      </c>
      <c r="N40" s="78">
        <v>7602.703125</v>
      </c>
      <c r="O40" s="79"/>
      <c r="P40" s="80"/>
      <c r="Q40" s="80"/>
      <c r="R40" s="85"/>
      <c r="S40" s="49">
        <v>1</v>
      </c>
      <c r="T40" s="49">
        <v>1</v>
      </c>
      <c r="U40" s="50">
        <v>193.666667</v>
      </c>
      <c r="V40" s="50">
        <v>0.001344</v>
      </c>
      <c r="W40" s="50">
        <v>0.012187</v>
      </c>
      <c r="X40" s="50">
        <v>0.686653</v>
      </c>
      <c r="Y40" s="50">
        <v>0</v>
      </c>
      <c r="Z40" s="50">
        <v>0</v>
      </c>
      <c r="AA40" s="75">
        <v>40</v>
      </c>
      <c r="AB40" s="75"/>
      <c r="AC40" s="76"/>
      <c r="AD40" s="82" t="s">
        <v>786</v>
      </c>
      <c r="AE40" s="99" t="str">
        <f>HYPERLINK("http://en.wikipedia.org/wiki/User:Amordi")</f>
        <v>http://en.wikipedia.org/wiki/User:Amordi</v>
      </c>
      <c r="AF40" s="82" t="s">
        <v>806</v>
      </c>
      <c r="AG40" s="82"/>
      <c r="AH40" s="82"/>
      <c r="AI40" s="82">
        <v>0</v>
      </c>
      <c r="AJ40" s="82">
        <v>2</v>
      </c>
      <c r="AK40" s="82"/>
      <c r="AL40" s="82" t="str">
        <f>REPLACE(INDEX(GroupVertices[Group],MATCH(Vertices[[#This Row],[Vertex]],GroupVertices[Vertex],0)),1,1,"")</f>
        <v>8</v>
      </c>
      <c r="AM40" s="49">
        <v>0</v>
      </c>
      <c r="AN40" s="50">
        <v>0</v>
      </c>
      <c r="AO40" s="49">
        <v>0</v>
      </c>
      <c r="AP40" s="50">
        <v>0</v>
      </c>
      <c r="AQ40" s="49">
        <v>0</v>
      </c>
      <c r="AR40" s="50">
        <v>0</v>
      </c>
      <c r="AS40" s="49">
        <v>11</v>
      </c>
      <c r="AT40" s="50">
        <v>100</v>
      </c>
      <c r="AU40" s="49">
        <v>11</v>
      </c>
      <c r="AV40" s="111" t="s">
        <v>1441</v>
      </c>
      <c r="AW40" s="111" t="s">
        <v>1441</v>
      </c>
      <c r="AX40" s="111" t="s">
        <v>1578</v>
      </c>
      <c r="AY40" s="111" t="s">
        <v>1578</v>
      </c>
      <c r="AZ40" s="2"/>
      <c r="BA40" s="3"/>
      <c r="BB40" s="3"/>
      <c r="BC40" s="3"/>
      <c r="BD40" s="3"/>
    </row>
    <row r="41" spans="1:56" ht="15">
      <c r="A41" s="68" t="s">
        <v>352</v>
      </c>
      <c r="B41" s="69"/>
      <c r="C41" s="69"/>
      <c r="D41" s="70">
        <v>59.362981916033604</v>
      </c>
      <c r="E41" s="72"/>
      <c r="F41" s="69"/>
      <c r="G41" s="69"/>
      <c r="H41" s="73" t="s">
        <v>352</v>
      </c>
      <c r="I41" s="74"/>
      <c r="J41" s="74"/>
      <c r="K41" s="73" t="s">
        <v>352</v>
      </c>
      <c r="L41" s="77">
        <v>54.137754833782864</v>
      </c>
      <c r="M41" s="78">
        <v>9019.8740234375</v>
      </c>
      <c r="N41" s="78">
        <v>8465.904296875</v>
      </c>
      <c r="O41" s="79"/>
      <c r="P41" s="80"/>
      <c r="Q41" s="80"/>
      <c r="R41" s="85"/>
      <c r="S41" s="49">
        <v>1</v>
      </c>
      <c r="T41" s="49">
        <v>1</v>
      </c>
      <c r="U41" s="50">
        <v>197.666667</v>
      </c>
      <c r="V41" s="50">
        <v>0.001071</v>
      </c>
      <c r="W41" s="50">
        <v>0.002235</v>
      </c>
      <c r="X41" s="50">
        <v>0.694462</v>
      </c>
      <c r="Y41" s="50">
        <v>0</v>
      </c>
      <c r="Z41" s="50">
        <v>0</v>
      </c>
      <c r="AA41" s="75">
        <v>41</v>
      </c>
      <c r="AB41" s="75"/>
      <c r="AC41" s="76"/>
      <c r="AD41" s="82" t="s">
        <v>786</v>
      </c>
      <c r="AE41" s="99" t="str">
        <f>HYPERLINK("http://en.wikipedia.org/wiki/User:Funandtrvl")</f>
        <v>http://en.wikipedia.org/wiki/User:Funandtrvl</v>
      </c>
      <c r="AF41" s="82" t="s">
        <v>806</v>
      </c>
      <c r="AG41" s="82"/>
      <c r="AH41" s="82"/>
      <c r="AI41" s="82">
        <v>0.2484493</v>
      </c>
      <c r="AJ41" s="82">
        <v>500</v>
      </c>
      <c r="AK41" s="82"/>
      <c r="AL41" s="82" t="str">
        <f>REPLACE(INDEX(GroupVertices[Group],MATCH(Vertices[[#This Row],[Vertex]],GroupVertices[Vertex],0)),1,1,"")</f>
        <v>8</v>
      </c>
      <c r="AM41" s="49">
        <v>0</v>
      </c>
      <c r="AN41" s="50">
        <v>0</v>
      </c>
      <c r="AO41" s="49">
        <v>0</v>
      </c>
      <c r="AP41" s="50">
        <v>0</v>
      </c>
      <c r="AQ41" s="49">
        <v>0</v>
      </c>
      <c r="AR41" s="50">
        <v>0</v>
      </c>
      <c r="AS41" s="49">
        <v>2</v>
      </c>
      <c r="AT41" s="50">
        <v>100</v>
      </c>
      <c r="AU41" s="49">
        <v>2</v>
      </c>
      <c r="AV41" s="111" t="s">
        <v>1062</v>
      </c>
      <c r="AW41" s="111" t="s">
        <v>1062</v>
      </c>
      <c r="AX41" s="111" t="s">
        <v>1418</v>
      </c>
      <c r="AY41" s="111" t="s">
        <v>1418</v>
      </c>
      <c r="AZ41" s="2"/>
      <c r="BA41" s="3"/>
      <c r="BB41" s="3"/>
      <c r="BC41" s="3"/>
      <c r="BD41" s="3"/>
    </row>
    <row r="42" spans="1:56" ht="15">
      <c r="A42" s="68" t="s">
        <v>353</v>
      </c>
      <c r="B42" s="69"/>
      <c r="C42" s="69"/>
      <c r="D42" s="70">
        <v>50.389992653580194</v>
      </c>
      <c r="E42" s="72"/>
      <c r="F42" s="69"/>
      <c r="G42" s="69"/>
      <c r="H42" s="73" t="s">
        <v>353</v>
      </c>
      <c r="I42" s="74"/>
      <c r="J42" s="74"/>
      <c r="K42" s="73" t="s">
        <v>353</v>
      </c>
      <c r="L42" s="77">
        <v>3.213326288437362</v>
      </c>
      <c r="M42" s="78">
        <v>8449.912109375</v>
      </c>
      <c r="N42" s="78">
        <v>7308.419921875</v>
      </c>
      <c r="O42" s="79"/>
      <c r="P42" s="80"/>
      <c r="Q42" s="80"/>
      <c r="R42" s="85"/>
      <c r="S42" s="49">
        <v>2</v>
      </c>
      <c r="T42" s="49">
        <v>2</v>
      </c>
      <c r="U42" s="50">
        <v>8.233333</v>
      </c>
      <c r="V42" s="50">
        <v>0.000894</v>
      </c>
      <c r="W42" s="50">
        <v>0.000723</v>
      </c>
      <c r="X42" s="50">
        <v>1.02608</v>
      </c>
      <c r="Y42" s="50">
        <v>0</v>
      </c>
      <c r="Z42" s="50">
        <v>0</v>
      </c>
      <c r="AA42" s="75">
        <v>42</v>
      </c>
      <c r="AB42" s="75"/>
      <c r="AC42" s="76"/>
      <c r="AD42" s="82" t="s">
        <v>786</v>
      </c>
      <c r="AE42" s="99" t="str">
        <f>HYPERLINK("http://en.wikipedia.org/wiki/User:Sara-rockworth")</f>
        <v>http://en.wikipedia.org/wiki/User:Sara-rockworth</v>
      </c>
      <c r="AF42" s="82" t="s">
        <v>806</v>
      </c>
      <c r="AG42" s="82"/>
      <c r="AH42" s="82"/>
      <c r="AI42" s="82">
        <v>0.4958791</v>
      </c>
      <c r="AJ42" s="82">
        <v>112</v>
      </c>
      <c r="AK42" s="82"/>
      <c r="AL42" s="82" t="str">
        <f>REPLACE(INDEX(GroupVertices[Group],MATCH(Vertices[[#This Row],[Vertex]],GroupVertices[Vertex],0)),1,1,"")</f>
        <v>8</v>
      </c>
      <c r="AM42" s="49">
        <v>0</v>
      </c>
      <c r="AN42" s="50">
        <v>0</v>
      </c>
      <c r="AO42" s="49">
        <v>1</v>
      </c>
      <c r="AP42" s="50">
        <v>3.3333333333333335</v>
      </c>
      <c r="AQ42" s="49">
        <v>0</v>
      </c>
      <c r="AR42" s="50">
        <v>0</v>
      </c>
      <c r="AS42" s="49">
        <v>29</v>
      </c>
      <c r="AT42" s="50">
        <v>96.66666666666667</v>
      </c>
      <c r="AU42" s="49">
        <v>30</v>
      </c>
      <c r="AV42" s="111" t="s">
        <v>1442</v>
      </c>
      <c r="AW42" s="111" t="s">
        <v>1442</v>
      </c>
      <c r="AX42" s="111" t="s">
        <v>1579</v>
      </c>
      <c r="AY42" s="111" t="s">
        <v>1579</v>
      </c>
      <c r="AZ42" s="2"/>
      <c r="BA42" s="3"/>
      <c r="BB42" s="3"/>
      <c r="BC42" s="3"/>
      <c r="BD42" s="3"/>
    </row>
    <row r="43" spans="1:56" ht="15">
      <c r="A43" s="68" t="s">
        <v>354</v>
      </c>
      <c r="B43" s="69"/>
      <c r="C43" s="69"/>
      <c r="D43" s="70">
        <v>59.97402306196861</v>
      </c>
      <c r="E43" s="72"/>
      <c r="F43" s="69"/>
      <c r="G43" s="69"/>
      <c r="H43" s="73" t="s">
        <v>354</v>
      </c>
      <c r="I43" s="74"/>
      <c r="J43" s="74"/>
      <c r="K43" s="73" t="s">
        <v>354</v>
      </c>
      <c r="L43" s="77">
        <v>57.6055981872391</v>
      </c>
      <c r="M43" s="78">
        <v>8539.080078125</v>
      </c>
      <c r="N43" s="78">
        <v>9825.607421875</v>
      </c>
      <c r="O43" s="79"/>
      <c r="P43" s="80"/>
      <c r="Q43" s="80"/>
      <c r="R43" s="85"/>
      <c r="S43" s="49">
        <v>1</v>
      </c>
      <c r="T43" s="49">
        <v>1</v>
      </c>
      <c r="U43" s="50">
        <v>210.566667</v>
      </c>
      <c r="V43" s="50">
        <v>0.00108</v>
      </c>
      <c r="W43" s="50">
        <v>0.002677</v>
      </c>
      <c r="X43" s="50">
        <v>0.682851</v>
      </c>
      <c r="Y43" s="50">
        <v>0</v>
      </c>
      <c r="Z43" s="50">
        <v>0</v>
      </c>
      <c r="AA43" s="75">
        <v>43</v>
      </c>
      <c r="AB43" s="75"/>
      <c r="AC43" s="76"/>
      <c r="AD43" s="82" t="s">
        <v>786</v>
      </c>
      <c r="AE43" s="99" t="str">
        <f>HYPERLINK("http://en.wikipedia.org/wiki/User:JBW")</f>
        <v>http://en.wikipedia.org/wiki/User:JBW</v>
      </c>
      <c r="AF43" s="82" t="s">
        <v>806</v>
      </c>
      <c r="AG43" s="82"/>
      <c r="AH43" s="82"/>
      <c r="AI43" s="82">
        <v>0.2118106</v>
      </c>
      <c r="AJ43" s="82">
        <v>500</v>
      </c>
      <c r="AK43" s="82"/>
      <c r="AL43" s="82" t="str">
        <f>REPLACE(INDEX(GroupVertices[Group],MATCH(Vertices[[#This Row],[Vertex]],GroupVertices[Vertex],0)),1,1,"")</f>
        <v>8</v>
      </c>
      <c r="AM43" s="49">
        <v>0</v>
      </c>
      <c r="AN43" s="50">
        <v>0</v>
      </c>
      <c r="AO43" s="49">
        <v>1</v>
      </c>
      <c r="AP43" s="50">
        <v>7.6923076923076925</v>
      </c>
      <c r="AQ43" s="49">
        <v>0</v>
      </c>
      <c r="AR43" s="50">
        <v>0</v>
      </c>
      <c r="AS43" s="49">
        <v>12</v>
      </c>
      <c r="AT43" s="50">
        <v>92.3076923076923</v>
      </c>
      <c r="AU43" s="49">
        <v>13</v>
      </c>
      <c r="AV43" s="111" t="s">
        <v>1443</v>
      </c>
      <c r="AW43" s="111" t="s">
        <v>1443</v>
      </c>
      <c r="AX43" s="111" t="s">
        <v>1580</v>
      </c>
      <c r="AY43" s="111" t="s">
        <v>1580</v>
      </c>
      <c r="AZ43" s="2"/>
      <c r="BA43" s="3"/>
      <c r="BB43" s="3"/>
      <c r="BC43" s="3"/>
      <c r="BD43" s="3"/>
    </row>
    <row r="44" spans="1:56" ht="15">
      <c r="A44" s="68" t="s">
        <v>355</v>
      </c>
      <c r="B44" s="69"/>
      <c r="C44" s="69"/>
      <c r="D44" s="70">
        <v>134.73442231833755</v>
      </c>
      <c r="E44" s="72"/>
      <c r="F44" s="69"/>
      <c r="G44" s="69"/>
      <c r="H44" s="73" t="s">
        <v>355</v>
      </c>
      <c r="I44" s="74"/>
      <c r="J44" s="74"/>
      <c r="K44" s="73" t="s">
        <v>355</v>
      </c>
      <c r="L44" s="77">
        <v>481.89348025158336</v>
      </c>
      <c r="M44" s="78">
        <v>1693.53564453125</v>
      </c>
      <c r="N44" s="78">
        <v>7567.3359375</v>
      </c>
      <c r="O44" s="79"/>
      <c r="P44" s="80"/>
      <c r="Q44" s="80"/>
      <c r="R44" s="85"/>
      <c r="S44" s="49">
        <v>5</v>
      </c>
      <c r="T44" s="49">
        <v>6</v>
      </c>
      <c r="U44" s="50">
        <v>1788.871429</v>
      </c>
      <c r="V44" s="50">
        <v>0.001374</v>
      </c>
      <c r="W44" s="50">
        <v>0.020145</v>
      </c>
      <c r="X44" s="50">
        <v>2.278856</v>
      </c>
      <c r="Y44" s="50">
        <v>0.07142857142857142</v>
      </c>
      <c r="Z44" s="50">
        <v>0.2857142857142857</v>
      </c>
      <c r="AA44" s="75">
        <v>44</v>
      </c>
      <c r="AB44" s="75"/>
      <c r="AC44" s="76"/>
      <c r="AD44" s="82" t="s">
        <v>786</v>
      </c>
      <c r="AE44" s="99" t="str">
        <f>HYPERLINK("http://en.wikipedia.org/wiki/User:A.Ward")</f>
        <v>http://en.wikipedia.org/wiki/User:A.Ward</v>
      </c>
      <c r="AF44" s="82" t="s">
        <v>806</v>
      </c>
      <c r="AG44" s="82"/>
      <c r="AH44" s="82"/>
      <c r="AI44" s="82">
        <v>0.5329372</v>
      </c>
      <c r="AJ44" s="82">
        <v>500</v>
      </c>
      <c r="AK44" s="82"/>
      <c r="AL44" s="82" t="str">
        <f>REPLACE(INDEX(GroupVertices[Group],MATCH(Vertices[[#This Row],[Vertex]],GroupVertices[Vertex],0)),1,1,"")</f>
        <v>1</v>
      </c>
      <c r="AM44" s="49">
        <v>0</v>
      </c>
      <c r="AN44" s="50">
        <v>0</v>
      </c>
      <c r="AO44" s="49">
        <v>1</v>
      </c>
      <c r="AP44" s="50">
        <v>3.0303030303030303</v>
      </c>
      <c r="AQ44" s="49">
        <v>0</v>
      </c>
      <c r="AR44" s="50">
        <v>0</v>
      </c>
      <c r="AS44" s="49">
        <v>32</v>
      </c>
      <c r="AT44" s="50">
        <v>96.96969696969697</v>
      </c>
      <c r="AU44" s="49">
        <v>33</v>
      </c>
      <c r="AV44" s="111" t="s">
        <v>1444</v>
      </c>
      <c r="AW44" s="111" t="s">
        <v>1444</v>
      </c>
      <c r="AX44" s="111" t="s">
        <v>1581</v>
      </c>
      <c r="AY44" s="111" t="s">
        <v>1581</v>
      </c>
      <c r="AZ44" s="2"/>
      <c r="BA44" s="3"/>
      <c r="BB44" s="3"/>
      <c r="BC44" s="3"/>
      <c r="BD44" s="3"/>
    </row>
    <row r="45" spans="1:56" ht="15">
      <c r="A45" s="68" t="s">
        <v>356</v>
      </c>
      <c r="B45" s="69"/>
      <c r="C45" s="69"/>
      <c r="D45" s="70">
        <v>68.64701793179032</v>
      </c>
      <c r="E45" s="72"/>
      <c r="F45" s="69"/>
      <c r="G45" s="69"/>
      <c r="H45" s="73" t="s">
        <v>356</v>
      </c>
      <c r="I45" s="74"/>
      <c r="J45" s="74"/>
      <c r="K45" s="73" t="s">
        <v>356</v>
      </c>
      <c r="L45" s="77">
        <v>106.82746780102505</v>
      </c>
      <c r="M45" s="78">
        <v>2290.983642578125</v>
      </c>
      <c r="N45" s="78">
        <v>9372.841796875</v>
      </c>
      <c r="O45" s="79"/>
      <c r="P45" s="80"/>
      <c r="Q45" s="80"/>
      <c r="R45" s="85"/>
      <c r="S45" s="49">
        <v>3</v>
      </c>
      <c r="T45" s="49">
        <v>3</v>
      </c>
      <c r="U45" s="50">
        <v>393.666667</v>
      </c>
      <c r="V45" s="50">
        <v>0.001359</v>
      </c>
      <c r="W45" s="50">
        <v>0.016781</v>
      </c>
      <c r="X45" s="50">
        <v>1.162067</v>
      </c>
      <c r="Y45" s="50">
        <v>0.16666666666666666</v>
      </c>
      <c r="Z45" s="50">
        <v>0.3333333333333333</v>
      </c>
      <c r="AA45" s="75">
        <v>45</v>
      </c>
      <c r="AB45" s="75"/>
      <c r="AC45" s="76"/>
      <c r="AD45" s="82" t="s">
        <v>786</v>
      </c>
      <c r="AE45" s="99" t="str">
        <f>HYPERLINK("http://en.wikipedia.org/wiki/User:Rdjfraser")</f>
        <v>http://en.wikipedia.org/wiki/User:Rdjfraser</v>
      </c>
      <c r="AF45" s="82" t="s">
        <v>806</v>
      </c>
      <c r="AG45" s="82"/>
      <c r="AH45" s="82"/>
      <c r="AI45" s="82">
        <v>0.3107903</v>
      </c>
      <c r="AJ45" s="82">
        <v>47</v>
      </c>
      <c r="AK45" s="82"/>
      <c r="AL45" s="82" t="str">
        <f>REPLACE(INDEX(GroupVertices[Group],MATCH(Vertices[[#This Row],[Vertex]],GroupVertices[Vertex],0)),1,1,"")</f>
        <v>1</v>
      </c>
      <c r="AM45" s="49">
        <v>0</v>
      </c>
      <c r="AN45" s="50">
        <v>0</v>
      </c>
      <c r="AO45" s="49">
        <v>2</v>
      </c>
      <c r="AP45" s="50">
        <v>12.5</v>
      </c>
      <c r="AQ45" s="49">
        <v>0</v>
      </c>
      <c r="AR45" s="50">
        <v>0</v>
      </c>
      <c r="AS45" s="49">
        <v>14</v>
      </c>
      <c r="AT45" s="50">
        <v>87.5</v>
      </c>
      <c r="AU45" s="49">
        <v>16</v>
      </c>
      <c r="AV45" s="111" t="s">
        <v>1437</v>
      </c>
      <c r="AW45" s="111" t="s">
        <v>1437</v>
      </c>
      <c r="AX45" s="111" t="s">
        <v>1574</v>
      </c>
      <c r="AY45" s="111" t="s">
        <v>1574</v>
      </c>
      <c r="AZ45" s="2"/>
      <c r="BA45" s="3"/>
      <c r="BB45" s="3"/>
      <c r="BC45" s="3"/>
      <c r="BD45" s="3"/>
    </row>
    <row r="46" spans="1:56" ht="15">
      <c r="A46" s="68" t="s">
        <v>357</v>
      </c>
      <c r="B46" s="69"/>
      <c r="C46" s="69"/>
      <c r="D46" s="70">
        <v>50.04736753069264</v>
      </c>
      <c r="E46" s="72"/>
      <c r="F46" s="69"/>
      <c r="G46" s="69"/>
      <c r="H46" s="73" t="s">
        <v>357</v>
      </c>
      <c r="I46" s="74"/>
      <c r="J46" s="74"/>
      <c r="K46" s="73" t="s">
        <v>357</v>
      </c>
      <c r="L46" s="77">
        <v>1.268825066159399</v>
      </c>
      <c r="M46" s="78">
        <v>840.2207641601562</v>
      </c>
      <c r="N46" s="78">
        <v>9202.0009765625</v>
      </c>
      <c r="O46" s="79"/>
      <c r="P46" s="80"/>
      <c r="Q46" s="80"/>
      <c r="R46" s="85"/>
      <c r="S46" s="49">
        <v>1</v>
      </c>
      <c r="T46" s="49">
        <v>1</v>
      </c>
      <c r="U46" s="50">
        <v>1</v>
      </c>
      <c r="V46" s="50">
        <v>0.001068</v>
      </c>
      <c r="W46" s="50">
        <v>0.002582</v>
      </c>
      <c r="X46" s="50">
        <v>0.66344</v>
      </c>
      <c r="Y46" s="50">
        <v>0</v>
      </c>
      <c r="Z46" s="50">
        <v>0</v>
      </c>
      <c r="AA46" s="75">
        <v>46</v>
      </c>
      <c r="AB46" s="75"/>
      <c r="AC46" s="76"/>
      <c r="AD46" s="82" t="s">
        <v>786</v>
      </c>
      <c r="AE46" s="99" t="str">
        <f>HYPERLINK("http://en.wikipedia.org/wiki/User:SmackBot")</f>
        <v>http://en.wikipedia.org/wiki/User:SmackBot</v>
      </c>
      <c r="AF46" s="82" t="s">
        <v>806</v>
      </c>
      <c r="AG46" s="82"/>
      <c r="AH46" s="82"/>
      <c r="AI46" s="82">
        <v>0.1008285</v>
      </c>
      <c r="AJ46" s="82">
        <v>500</v>
      </c>
      <c r="AK46" s="82"/>
      <c r="AL46" s="82" t="str">
        <f>REPLACE(INDEX(GroupVertices[Group],MATCH(Vertices[[#This Row],[Vertex]],GroupVertices[Vertex],0)),1,1,"")</f>
        <v>1</v>
      </c>
      <c r="AM46" s="49">
        <v>0</v>
      </c>
      <c r="AN46" s="50">
        <v>0</v>
      </c>
      <c r="AO46" s="49">
        <v>0</v>
      </c>
      <c r="AP46" s="50">
        <v>0</v>
      </c>
      <c r="AQ46" s="49">
        <v>0</v>
      </c>
      <c r="AR46" s="50">
        <v>0</v>
      </c>
      <c r="AS46" s="49">
        <v>4</v>
      </c>
      <c r="AT46" s="50">
        <v>100</v>
      </c>
      <c r="AU46" s="49">
        <v>4</v>
      </c>
      <c r="AV46" s="111" t="s">
        <v>1445</v>
      </c>
      <c r="AW46" s="111" t="s">
        <v>1445</v>
      </c>
      <c r="AX46" s="111" t="s">
        <v>1582</v>
      </c>
      <c r="AY46" s="111" t="s">
        <v>1582</v>
      </c>
      <c r="AZ46" s="2"/>
      <c r="BA46" s="3"/>
      <c r="BB46" s="3"/>
      <c r="BC46" s="3"/>
      <c r="BD46" s="3"/>
    </row>
    <row r="47" spans="1:56" ht="15">
      <c r="A47" s="68" t="s">
        <v>358</v>
      </c>
      <c r="B47" s="69"/>
      <c r="C47" s="69"/>
      <c r="D47" s="70">
        <v>50.39472940664946</v>
      </c>
      <c r="E47" s="72"/>
      <c r="F47" s="69"/>
      <c r="G47" s="69"/>
      <c r="H47" s="73" t="s">
        <v>358</v>
      </c>
      <c r="I47" s="74"/>
      <c r="J47" s="74"/>
      <c r="K47" s="73" t="s">
        <v>358</v>
      </c>
      <c r="L47" s="77">
        <v>3.240208795053302</v>
      </c>
      <c r="M47" s="78">
        <v>541.6192016601562</v>
      </c>
      <c r="N47" s="78">
        <v>6221.5302734375</v>
      </c>
      <c r="O47" s="79"/>
      <c r="P47" s="80"/>
      <c r="Q47" s="80"/>
      <c r="R47" s="85"/>
      <c r="S47" s="49">
        <v>2</v>
      </c>
      <c r="T47" s="49">
        <v>2</v>
      </c>
      <c r="U47" s="50">
        <v>8.333333</v>
      </c>
      <c r="V47" s="50">
        <v>0.001078</v>
      </c>
      <c r="W47" s="50">
        <v>0.003345</v>
      </c>
      <c r="X47" s="50">
        <v>0.94059</v>
      </c>
      <c r="Y47" s="50">
        <v>0</v>
      </c>
      <c r="Z47" s="50">
        <v>0</v>
      </c>
      <c r="AA47" s="75">
        <v>47</v>
      </c>
      <c r="AB47" s="75"/>
      <c r="AC47" s="76"/>
      <c r="AD47" s="82" t="s">
        <v>786</v>
      </c>
      <c r="AE47" s="99" t="str">
        <f>HYPERLINK("http://en.wikipedia.org/wiki/User:Psigrist")</f>
        <v>http://en.wikipedia.org/wiki/User:Psigrist</v>
      </c>
      <c r="AF47" s="82" t="s">
        <v>806</v>
      </c>
      <c r="AG47" s="82"/>
      <c r="AH47" s="82"/>
      <c r="AI47" s="82">
        <v>0.4480519</v>
      </c>
      <c r="AJ47" s="82">
        <v>28</v>
      </c>
      <c r="AK47" s="82"/>
      <c r="AL47" s="82" t="str">
        <f>REPLACE(INDEX(GroupVertices[Group],MATCH(Vertices[[#This Row],[Vertex]],GroupVertices[Vertex],0)),1,1,"")</f>
        <v>1</v>
      </c>
      <c r="AM47" s="49">
        <v>0</v>
      </c>
      <c r="AN47" s="50">
        <v>0</v>
      </c>
      <c r="AO47" s="49">
        <v>0</v>
      </c>
      <c r="AP47" s="50">
        <v>0</v>
      </c>
      <c r="AQ47" s="49">
        <v>0</v>
      </c>
      <c r="AR47" s="50">
        <v>0</v>
      </c>
      <c r="AS47" s="49">
        <v>4</v>
      </c>
      <c r="AT47" s="50">
        <v>100</v>
      </c>
      <c r="AU47" s="49">
        <v>4</v>
      </c>
      <c r="AV47" s="111" t="s">
        <v>847</v>
      </c>
      <c r="AW47" s="111" t="s">
        <v>847</v>
      </c>
      <c r="AX47" s="111" t="s">
        <v>1418</v>
      </c>
      <c r="AY47" s="111" t="s">
        <v>1418</v>
      </c>
      <c r="AZ47" s="2"/>
      <c r="BA47" s="3"/>
      <c r="BB47" s="3"/>
      <c r="BC47" s="3"/>
      <c r="BD47" s="3"/>
    </row>
    <row r="48" spans="1:56" ht="15">
      <c r="A48" s="68" t="s">
        <v>359</v>
      </c>
      <c r="B48" s="69"/>
      <c r="C48" s="69"/>
      <c r="D48" s="70">
        <v>50</v>
      </c>
      <c r="E48" s="72"/>
      <c r="F48" s="69"/>
      <c r="G48" s="69"/>
      <c r="H48" s="73" t="s">
        <v>359</v>
      </c>
      <c r="I48" s="74"/>
      <c r="J48" s="74"/>
      <c r="K48" s="73" t="s">
        <v>359</v>
      </c>
      <c r="L48" s="77">
        <v>1</v>
      </c>
      <c r="M48" s="78">
        <v>1257.8128662109375</v>
      </c>
      <c r="N48" s="78">
        <v>9339.0009765625</v>
      </c>
      <c r="O48" s="79"/>
      <c r="P48" s="80"/>
      <c r="Q48" s="80"/>
      <c r="R48" s="85"/>
      <c r="S48" s="49">
        <v>1</v>
      </c>
      <c r="T48" s="49">
        <v>1</v>
      </c>
      <c r="U48" s="50">
        <v>0</v>
      </c>
      <c r="V48" s="50">
        <v>0.001355</v>
      </c>
      <c r="W48" s="50">
        <v>0.014296</v>
      </c>
      <c r="X48" s="50">
        <v>0.633166</v>
      </c>
      <c r="Y48" s="50">
        <v>0.5</v>
      </c>
      <c r="Z48" s="50">
        <v>0</v>
      </c>
      <c r="AA48" s="75">
        <v>48</v>
      </c>
      <c r="AB48" s="75"/>
      <c r="AC48" s="76"/>
      <c r="AD48" s="82" t="s">
        <v>786</v>
      </c>
      <c r="AE48" s="99" t="str">
        <f>HYPERLINK("http://en.wikipedia.org/wiki/User:Brian.Rainbow")</f>
        <v>http://en.wikipedia.org/wiki/User:Brian.Rainbow</v>
      </c>
      <c r="AF48" s="82" t="s">
        <v>806</v>
      </c>
      <c r="AG48" s="82"/>
      <c r="AH48" s="82"/>
      <c r="AI48" s="82">
        <v>0.3116883</v>
      </c>
      <c r="AJ48" s="82">
        <v>22</v>
      </c>
      <c r="AK48" s="82"/>
      <c r="AL48" s="82" t="str">
        <f>REPLACE(INDEX(GroupVertices[Group],MATCH(Vertices[[#This Row],[Vertex]],GroupVertices[Vertex],0)),1,1,"")</f>
        <v>1</v>
      </c>
      <c r="AM48" s="49">
        <v>0</v>
      </c>
      <c r="AN48" s="50">
        <v>0</v>
      </c>
      <c r="AO48" s="49">
        <v>0</v>
      </c>
      <c r="AP48" s="50">
        <v>0</v>
      </c>
      <c r="AQ48" s="49">
        <v>0</v>
      </c>
      <c r="AR48" s="50">
        <v>0</v>
      </c>
      <c r="AS48" s="49">
        <v>7</v>
      </c>
      <c r="AT48" s="50">
        <v>100</v>
      </c>
      <c r="AU48" s="49">
        <v>7</v>
      </c>
      <c r="AV48" s="111" t="s">
        <v>1446</v>
      </c>
      <c r="AW48" s="111" t="s">
        <v>1446</v>
      </c>
      <c r="AX48" s="111" t="s">
        <v>1583</v>
      </c>
      <c r="AY48" s="111" t="s">
        <v>1583</v>
      </c>
      <c r="AZ48" s="2"/>
      <c r="BA48" s="3"/>
      <c r="BB48" s="3"/>
      <c r="BC48" s="3"/>
      <c r="BD48" s="3"/>
    </row>
    <row r="49" spans="1:56" ht="15">
      <c r="A49" s="68" t="s">
        <v>360</v>
      </c>
      <c r="B49" s="69"/>
      <c r="C49" s="69"/>
      <c r="D49" s="70">
        <v>50</v>
      </c>
      <c r="E49" s="72"/>
      <c r="F49" s="69"/>
      <c r="G49" s="69"/>
      <c r="H49" s="73" t="s">
        <v>360</v>
      </c>
      <c r="I49" s="74"/>
      <c r="J49" s="74"/>
      <c r="K49" s="73" t="s">
        <v>360</v>
      </c>
      <c r="L49" s="77">
        <v>1</v>
      </c>
      <c r="M49" s="78">
        <v>611.5009155273438</v>
      </c>
      <c r="N49" s="78">
        <v>8486.744140625</v>
      </c>
      <c r="O49" s="79"/>
      <c r="P49" s="80"/>
      <c r="Q49" s="80"/>
      <c r="R49" s="85"/>
      <c r="S49" s="49">
        <v>1</v>
      </c>
      <c r="T49" s="49">
        <v>1</v>
      </c>
      <c r="U49" s="50">
        <v>0</v>
      </c>
      <c r="V49" s="50">
        <v>0.001075</v>
      </c>
      <c r="W49" s="50">
        <v>0.002585</v>
      </c>
      <c r="X49" s="50">
        <v>0.392128</v>
      </c>
      <c r="Y49" s="50">
        <v>0</v>
      </c>
      <c r="Z49" s="50">
        <v>1</v>
      </c>
      <c r="AA49" s="75">
        <v>49</v>
      </c>
      <c r="AB49" s="75"/>
      <c r="AC49" s="76"/>
      <c r="AD49" s="82" t="s">
        <v>786</v>
      </c>
      <c r="AE49" s="82" t="s">
        <v>790</v>
      </c>
      <c r="AF49" s="82" t="s">
        <v>806</v>
      </c>
      <c r="AG49" s="82"/>
      <c r="AH49" s="82"/>
      <c r="AI49" s="82">
        <v>0.3</v>
      </c>
      <c r="AJ49" s="82">
        <v>20</v>
      </c>
      <c r="AK49" s="82"/>
      <c r="AL49" s="82" t="str">
        <f>REPLACE(INDEX(GroupVertices[Group],MATCH(Vertices[[#This Row],[Vertex]],GroupVertices[Vertex],0)),1,1,"")</f>
        <v>1</v>
      </c>
      <c r="AM49" s="49">
        <v>1</v>
      </c>
      <c r="AN49" s="50">
        <v>14.285714285714286</v>
      </c>
      <c r="AO49" s="49">
        <v>2</v>
      </c>
      <c r="AP49" s="50">
        <v>28.571428571428573</v>
      </c>
      <c r="AQ49" s="49">
        <v>0</v>
      </c>
      <c r="AR49" s="50">
        <v>0</v>
      </c>
      <c r="AS49" s="49">
        <v>4</v>
      </c>
      <c r="AT49" s="50">
        <v>57.142857142857146</v>
      </c>
      <c r="AU49" s="49">
        <v>7</v>
      </c>
      <c r="AV49" s="111" t="s">
        <v>1447</v>
      </c>
      <c r="AW49" s="111" t="s">
        <v>1447</v>
      </c>
      <c r="AX49" s="111" t="s">
        <v>1584</v>
      </c>
      <c r="AY49" s="111" t="s">
        <v>1584</v>
      </c>
      <c r="AZ49" s="2"/>
      <c r="BA49" s="3"/>
      <c r="BB49" s="3"/>
      <c r="BC49" s="3"/>
      <c r="BD49" s="3"/>
    </row>
    <row r="50" spans="1:56" ht="15">
      <c r="A50" s="68" t="s">
        <v>361</v>
      </c>
      <c r="B50" s="69"/>
      <c r="C50" s="69"/>
      <c r="D50" s="70">
        <v>74.03270617154305</v>
      </c>
      <c r="E50" s="72"/>
      <c r="F50" s="69"/>
      <c r="G50" s="69"/>
      <c r="H50" s="73" t="s">
        <v>361</v>
      </c>
      <c r="I50" s="74"/>
      <c r="J50" s="74"/>
      <c r="K50" s="73" t="s">
        <v>361</v>
      </c>
      <c r="L50" s="77">
        <v>137.3928778233487</v>
      </c>
      <c r="M50" s="78">
        <v>4910.09423828125</v>
      </c>
      <c r="N50" s="78">
        <v>7232.9521484375</v>
      </c>
      <c r="O50" s="79"/>
      <c r="P50" s="80"/>
      <c r="Q50" s="80"/>
      <c r="R50" s="85"/>
      <c r="S50" s="49">
        <v>4</v>
      </c>
      <c r="T50" s="49">
        <v>3</v>
      </c>
      <c r="U50" s="50">
        <v>507.366667</v>
      </c>
      <c r="V50" s="50">
        <v>0.001103</v>
      </c>
      <c r="W50" s="50">
        <v>0.005899</v>
      </c>
      <c r="X50" s="50">
        <v>1.409616</v>
      </c>
      <c r="Y50" s="50">
        <v>0</v>
      </c>
      <c r="Z50" s="50">
        <v>0.25</v>
      </c>
      <c r="AA50" s="75">
        <v>50</v>
      </c>
      <c r="AB50" s="75"/>
      <c r="AC50" s="76"/>
      <c r="AD50" s="82" t="s">
        <v>786</v>
      </c>
      <c r="AE50" s="99" t="str">
        <f>HYPERLINK("http://en.wikipedia.org/wiki/User:Austenten")</f>
        <v>http://en.wikipedia.org/wiki/User:Austenten</v>
      </c>
      <c r="AF50" s="82" t="s">
        <v>806</v>
      </c>
      <c r="AG50" s="82"/>
      <c r="AH50" s="82"/>
      <c r="AI50" s="82">
        <v>0.5113636</v>
      </c>
      <c r="AJ50" s="82">
        <v>48</v>
      </c>
      <c r="AK50" s="82"/>
      <c r="AL50" s="82" t="str">
        <f>REPLACE(INDEX(GroupVertices[Group],MATCH(Vertices[[#This Row],[Vertex]],GroupVertices[Vertex],0)),1,1,"")</f>
        <v>4</v>
      </c>
      <c r="AM50" s="49">
        <v>0</v>
      </c>
      <c r="AN50" s="50">
        <v>0</v>
      </c>
      <c r="AO50" s="49">
        <v>0</v>
      </c>
      <c r="AP50" s="50">
        <v>0</v>
      </c>
      <c r="AQ50" s="49">
        <v>0</v>
      </c>
      <c r="AR50" s="50">
        <v>0</v>
      </c>
      <c r="AS50" s="49">
        <v>17</v>
      </c>
      <c r="AT50" s="50">
        <v>100</v>
      </c>
      <c r="AU50" s="49">
        <v>17</v>
      </c>
      <c r="AV50" s="111" t="s">
        <v>1448</v>
      </c>
      <c r="AW50" s="111" t="s">
        <v>1549</v>
      </c>
      <c r="AX50" s="111" t="s">
        <v>1585</v>
      </c>
      <c r="AY50" s="111" t="s">
        <v>1585</v>
      </c>
      <c r="AZ50" s="2"/>
      <c r="BA50" s="3"/>
      <c r="BB50" s="3"/>
      <c r="BC50" s="3"/>
      <c r="BD50" s="3"/>
    </row>
    <row r="51" spans="1:56" ht="15">
      <c r="A51" s="68" t="s">
        <v>362</v>
      </c>
      <c r="B51" s="69"/>
      <c r="C51" s="69"/>
      <c r="D51" s="70">
        <v>50</v>
      </c>
      <c r="E51" s="72"/>
      <c r="F51" s="69"/>
      <c r="G51" s="69"/>
      <c r="H51" s="73" t="s">
        <v>362</v>
      </c>
      <c r="I51" s="74"/>
      <c r="J51" s="74"/>
      <c r="K51" s="73" t="s">
        <v>362</v>
      </c>
      <c r="L51" s="77">
        <v>1</v>
      </c>
      <c r="M51" s="78">
        <v>1038.7901611328125</v>
      </c>
      <c r="N51" s="78">
        <v>5828.56005859375</v>
      </c>
      <c r="O51" s="79"/>
      <c r="P51" s="80"/>
      <c r="Q51" s="80"/>
      <c r="R51" s="85"/>
      <c r="S51" s="49">
        <v>2</v>
      </c>
      <c r="T51" s="49">
        <v>2</v>
      </c>
      <c r="U51" s="50">
        <v>0</v>
      </c>
      <c r="V51" s="50">
        <v>0.001353</v>
      </c>
      <c r="W51" s="50">
        <v>0.015934</v>
      </c>
      <c r="X51" s="50">
        <v>0.889826</v>
      </c>
      <c r="Y51" s="50">
        <v>0.5</v>
      </c>
      <c r="Z51" s="50">
        <v>0</v>
      </c>
      <c r="AA51" s="75">
        <v>51</v>
      </c>
      <c r="AB51" s="75"/>
      <c r="AC51" s="76"/>
      <c r="AD51" s="82" t="s">
        <v>786</v>
      </c>
      <c r="AE51" s="99" t="str">
        <f>HYPERLINK("http://en.wikipedia.org/wiki/User:Elinruby")</f>
        <v>http://en.wikipedia.org/wiki/User:Elinruby</v>
      </c>
      <c r="AF51" s="82" t="s">
        <v>806</v>
      </c>
      <c r="AG51" s="82"/>
      <c r="AH51" s="82"/>
      <c r="AI51" s="82">
        <v>0.6828572</v>
      </c>
      <c r="AJ51" s="82">
        <v>500</v>
      </c>
      <c r="AK51" s="82"/>
      <c r="AL51" s="82" t="str">
        <f>REPLACE(INDEX(GroupVertices[Group],MATCH(Vertices[[#This Row],[Vertex]],GroupVertices[Vertex],0)),1,1,"")</f>
        <v>1</v>
      </c>
      <c r="AM51" s="49">
        <v>2</v>
      </c>
      <c r="AN51" s="50">
        <v>8.333333333333334</v>
      </c>
      <c r="AO51" s="49">
        <v>0</v>
      </c>
      <c r="AP51" s="50">
        <v>0</v>
      </c>
      <c r="AQ51" s="49">
        <v>0</v>
      </c>
      <c r="AR51" s="50">
        <v>0</v>
      </c>
      <c r="AS51" s="49">
        <v>22</v>
      </c>
      <c r="AT51" s="50">
        <v>91.66666666666667</v>
      </c>
      <c r="AU51" s="49">
        <v>24</v>
      </c>
      <c r="AV51" s="111" t="s">
        <v>1449</v>
      </c>
      <c r="AW51" s="111" t="s">
        <v>1449</v>
      </c>
      <c r="AX51" s="111" t="s">
        <v>1586</v>
      </c>
      <c r="AY51" s="111" t="s">
        <v>1586</v>
      </c>
      <c r="AZ51" s="2"/>
      <c r="BA51" s="3"/>
      <c r="BB51" s="3"/>
      <c r="BC51" s="3"/>
      <c r="BD51" s="3"/>
    </row>
    <row r="52" spans="1:56" ht="15">
      <c r="A52" s="68" t="s">
        <v>363</v>
      </c>
      <c r="B52" s="69"/>
      <c r="C52" s="69"/>
      <c r="D52" s="70">
        <v>123.44989755808348</v>
      </c>
      <c r="E52" s="72"/>
      <c r="F52" s="69"/>
      <c r="G52" s="69"/>
      <c r="H52" s="73" t="s">
        <v>363</v>
      </c>
      <c r="I52" s="74"/>
      <c r="J52" s="74"/>
      <c r="K52" s="73" t="s">
        <v>363</v>
      </c>
      <c r="L52" s="77">
        <v>417.85038847765924</v>
      </c>
      <c r="M52" s="78">
        <v>2145.426513671875</v>
      </c>
      <c r="N52" s="78">
        <v>7920.119140625</v>
      </c>
      <c r="O52" s="79"/>
      <c r="P52" s="80"/>
      <c r="Q52" s="80"/>
      <c r="R52" s="85"/>
      <c r="S52" s="49">
        <v>3</v>
      </c>
      <c r="T52" s="49">
        <v>3</v>
      </c>
      <c r="U52" s="50">
        <v>1550.638095</v>
      </c>
      <c r="V52" s="50">
        <v>0.001368</v>
      </c>
      <c r="W52" s="50">
        <v>0.016975</v>
      </c>
      <c r="X52" s="50">
        <v>1.451007</v>
      </c>
      <c r="Y52" s="50">
        <v>0.08333333333333333</v>
      </c>
      <c r="Z52" s="50">
        <v>0</v>
      </c>
      <c r="AA52" s="75">
        <v>52</v>
      </c>
      <c r="AB52" s="75"/>
      <c r="AC52" s="76"/>
      <c r="AD52" s="82" t="s">
        <v>786</v>
      </c>
      <c r="AE52" s="99" t="str">
        <f>HYPERLINK("http://en.wikipedia.org/wiki/User:Uberveritas")</f>
        <v>http://en.wikipedia.org/wiki/User:Uberveritas</v>
      </c>
      <c r="AF52" s="82" t="s">
        <v>806</v>
      </c>
      <c r="AG52" s="82"/>
      <c r="AH52" s="82"/>
      <c r="AI52" s="82">
        <v>0.5087386</v>
      </c>
      <c r="AJ52" s="82">
        <v>112</v>
      </c>
      <c r="AK52" s="82"/>
      <c r="AL52" s="82" t="str">
        <f>REPLACE(INDEX(GroupVertices[Group],MATCH(Vertices[[#This Row],[Vertex]],GroupVertices[Vertex],0)),1,1,"")</f>
        <v>1</v>
      </c>
      <c r="AM52" s="49"/>
      <c r="AN52" s="50"/>
      <c r="AO52" s="49"/>
      <c r="AP52" s="50"/>
      <c r="AQ52" s="49"/>
      <c r="AR52" s="50"/>
      <c r="AS52" s="49"/>
      <c r="AT52" s="50"/>
      <c r="AU52" s="49"/>
      <c r="AV52" s="111" t="s">
        <v>1418</v>
      </c>
      <c r="AW52" s="111" t="s">
        <v>1418</v>
      </c>
      <c r="AX52" s="111" t="s">
        <v>1418</v>
      </c>
      <c r="AY52" s="111" t="s">
        <v>1418</v>
      </c>
      <c r="AZ52" s="2"/>
      <c r="BA52" s="3"/>
      <c r="BB52" s="3"/>
      <c r="BC52" s="3"/>
      <c r="BD52" s="3"/>
    </row>
    <row r="53" spans="1:56" ht="15">
      <c r="A53" s="68" t="s">
        <v>364</v>
      </c>
      <c r="B53" s="69"/>
      <c r="C53" s="69"/>
      <c r="D53" s="70">
        <v>87.2940358162131</v>
      </c>
      <c r="E53" s="72"/>
      <c r="F53" s="69"/>
      <c r="G53" s="69"/>
      <c r="H53" s="73" t="s">
        <v>364</v>
      </c>
      <c r="I53" s="74"/>
      <c r="J53" s="74"/>
      <c r="K53" s="73" t="s">
        <v>364</v>
      </c>
      <c r="L53" s="77">
        <v>212.654935333225</v>
      </c>
      <c r="M53" s="78">
        <v>9371.0439453125</v>
      </c>
      <c r="N53" s="78">
        <v>5964.75732421875</v>
      </c>
      <c r="O53" s="79"/>
      <c r="P53" s="80"/>
      <c r="Q53" s="80"/>
      <c r="R53" s="85"/>
      <c r="S53" s="49">
        <v>1</v>
      </c>
      <c r="T53" s="49">
        <v>1</v>
      </c>
      <c r="U53" s="50">
        <v>787.333333</v>
      </c>
      <c r="V53" s="50">
        <v>0.00108</v>
      </c>
      <c r="W53" s="50">
        <v>0.002215</v>
      </c>
      <c r="X53" s="50">
        <v>0.75658</v>
      </c>
      <c r="Y53" s="50">
        <v>0</v>
      </c>
      <c r="Z53" s="50">
        <v>0</v>
      </c>
      <c r="AA53" s="75">
        <v>53</v>
      </c>
      <c r="AB53" s="75"/>
      <c r="AC53" s="76"/>
      <c r="AD53" s="82" t="s">
        <v>786</v>
      </c>
      <c r="AE53" s="99" t="str">
        <f>HYPERLINK("http://en.wikipedia.org/wiki/User:Notreallydavid")</f>
        <v>http://en.wikipedia.org/wiki/User:Notreallydavid</v>
      </c>
      <c r="AF53" s="82" t="s">
        <v>806</v>
      </c>
      <c r="AG53" s="82"/>
      <c r="AH53" s="82"/>
      <c r="AI53" s="82">
        <v>0.3044784</v>
      </c>
      <c r="AJ53" s="82">
        <v>500</v>
      </c>
      <c r="AK53" s="82"/>
      <c r="AL53" s="82" t="str">
        <f>REPLACE(INDEX(GroupVertices[Group],MATCH(Vertices[[#This Row],[Vertex]],GroupVertices[Vertex],0)),1,1,"")</f>
        <v>9</v>
      </c>
      <c r="AM53" s="49"/>
      <c r="AN53" s="50"/>
      <c r="AO53" s="49"/>
      <c r="AP53" s="50"/>
      <c r="AQ53" s="49"/>
      <c r="AR53" s="50"/>
      <c r="AS53" s="49"/>
      <c r="AT53" s="50"/>
      <c r="AU53" s="49"/>
      <c r="AV53" s="111" t="s">
        <v>1418</v>
      </c>
      <c r="AW53" s="111" t="s">
        <v>1418</v>
      </c>
      <c r="AX53" s="111" t="s">
        <v>1418</v>
      </c>
      <c r="AY53" s="111" t="s">
        <v>1418</v>
      </c>
      <c r="AZ53" s="2"/>
      <c r="BA53" s="3"/>
      <c r="BB53" s="3"/>
      <c r="BC53" s="3"/>
      <c r="BD53" s="3"/>
    </row>
    <row r="54" spans="1:56" ht="15">
      <c r="A54" s="68" t="s">
        <v>365</v>
      </c>
      <c r="B54" s="69"/>
      <c r="C54" s="69"/>
      <c r="D54" s="70">
        <v>69.0101689688555</v>
      </c>
      <c r="E54" s="72"/>
      <c r="F54" s="69"/>
      <c r="G54" s="69"/>
      <c r="H54" s="73" t="s">
        <v>365</v>
      </c>
      <c r="I54" s="74"/>
      <c r="J54" s="74"/>
      <c r="K54" s="73" t="s">
        <v>365</v>
      </c>
      <c r="L54" s="77">
        <v>108.88845979569706</v>
      </c>
      <c r="M54" s="78">
        <v>8546.23828125</v>
      </c>
      <c r="N54" s="78">
        <v>5554.05322265625</v>
      </c>
      <c r="O54" s="79"/>
      <c r="P54" s="80"/>
      <c r="Q54" s="80"/>
      <c r="R54" s="85"/>
      <c r="S54" s="49">
        <v>1</v>
      </c>
      <c r="T54" s="49">
        <v>1</v>
      </c>
      <c r="U54" s="50">
        <v>401.333333</v>
      </c>
      <c r="V54" s="50">
        <v>0.000894</v>
      </c>
      <c r="W54" s="50">
        <v>0.00029</v>
      </c>
      <c r="X54" s="50">
        <v>0.846845</v>
      </c>
      <c r="Y54" s="50">
        <v>0</v>
      </c>
      <c r="Z54" s="50">
        <v>0</v>
      </c>
      <c r="AA54" s="75">
        <v>54</v>
      </c>
      <c r="AB54" s="75"/>
      <c r="AC54" s="76"/>
      <c r="AD54" s="82" t="s">
        <v>786</v>
      </c>
      <c r="AE54" s="99" t="str">
        <f>HYPERLINK("http://en.wikipedia.org/wiki/User:Piotrus")</f>
        <v>http://en.wikipedia.org/wiki/User:Piotrus</v>
      </c>
      <c r="AF54" s="82" t="s">
        <v>806</v>
      </c>
      <c r="AG54" s="82"/>
      <c r="AH54" s="82"/>
      <c r="AI54" s="82">
        <v>0.3475422</v>
      </c>
      <c r="AJ54" s="82">
        <v>500</v>
      </c>
      <c r="AK54" s="82"/>
      <c r="AL54" s="82" t="str">
        <f>REPLACE(INDEX(GroupVertices[Group],MATCH(Vertices[[#This Row],[Vertex]],GroupVertices[Vertex],0)),1,1,"")</f>
        <v>9</v>
      </c>
      <c r="AM54" s="49"/>
      <c r="AN54" s="50"/>
      <c r="AO54" s="49"/>
      <c r="AP54" s="50"/>
      <c r="AQ54" s="49"/>
      <c r="AR54" s="50"/>
      <c r="AS54" s="49"/>
      <c r="AT54" s="50"/>
      <c r="AU54" s="49"/>
      <c r="AV54" s="111" t="s">
        <v>1418</v>
      </c>
      <c r="AW54" s="111" t="s">
        <v>1418</v>
      </c>
      <c r="AX54" s="111" t="s">
        <v>1418</v>
      </c>
      <c r="AY54" s="111" t="s">
        <v>1418</v>
      </c>
      <c r="AZ54" s="2"/>
      <c r="BA54" s="3"/>
      <c r="BB54" s="3"/>
      <c r="BC54" s="3"/>
      <c r="BD54" s="3"/>
    </row>
    <row r="55" spans="1:56" ht="15">
      <c r="A55" s="68" t="s">
        <v>366</v>
      </c>
      <c r="B55" s="69"/>
      <c r="C55" s="69"/>
      <c r="D55" s="70">
        <v>51.105242367039004</v>
      </c>
      <c r="E55" s="72"/>
      <c r="F55" s="69"/>
      <c r="G55" s="69"/>
      <c r="H55" s="73" t="s">
        <v>366</v>
      </c>
      <c r="I55" s="74"/>
      <c r="J55" s="74"/>
      <c r="K55" s="73" t="s">
        <v>366</v>
      </c>
      <c r="L55" s="77">
        <v>7.272584787444284</v>
      </c>
      <c r="M55" s="78">
        <v>9871.6142578125</v>
      </c>
      <c r="N55" s="78">
        <v>5763.1767578125</v>
      </c>
      <c r="O55" s="79"/>
      <c r="P55" s="80"/>
      <c r="Q55" s="80"/>
      <c r="R55" s="85"/>
      <c r="S55" s="49">
        <v>1</v>
      </c>
      <c r="T55" s="49">
        <v>1</v>
      </c>
      <c r="U55" s="50">
        <v>23.333333</v>
      </c>
      <c r="V55" s="50">
        <v>0.000765</v>
      </c>
      <c r="W55" s="50">
        <v>4.5E-05</v>
      </c>
      <c r="X55" s="50">
        <v>0.883056</v>
      </c>
      <c r="Y55" s="50">
        <v>0</v>
      </c>
      <c r="Z55" s="50">
        <v>0</v>
      </c>
      <c r="AA55" s="75">
        <v>55</v>
      </c>
      <c r="AB55" s="75"/>
      <c r="AC55" s="76"/>
      <c r="AD55" s="82" t="s">
        <v>786</v>
      </c>
      <c r="AE55" s="99" t="str">
        <f>HYPERLINK("http://en.wikipedia.org/wiki/User:Abdull")</f>
        <v>http://en.wikipedia.org/wiki/User:Abdull</v>
      </c>
      <c r="AF55" s="82" t="s">
        <v>806</v>
      </c>
      <c r="AG55" s="82"/>
      <c r="AH55" s="82"/>
      <c r="AI55" s="82">
        <v>0.4412364</v>
      </c>
      <c r="AJ55" s="82">
        <v>500</v>
      </c>
      <c r="AK55" s="82"/>
      <c r="AL55" s="82" t="str">
        <f>REPLACE(INDEX(GroupVertices[Group],MATCH(Vertices[[#This Row],[Vertex]],GroupVertices[Vertex],0)),1,1,"")</f>
        <v>9</v>
      </c>
      <c r="AM55" s="49">
        <v>0</v>
      </c>
      <c r="AN55" s="50">
        <v>0</v>
      </c>
      <c r="AO55" s="49">
        <v>1</v>
      </c>
      <c r="AP55" s="50">
        <v>33.333333333333336</v>
      </c>
      <c r="AQ55" s="49">
        <v>0</v>
      </c>
      <c r="AR55" s="50">
        <v>0</v>
      </c>
      <c r="AS55" s="49">
        <v>2</v>
      </c>
      <c r="AT55" s="50">
        <v>66.66666666666667</v>
      </c>
      <c r="AU55" s="49">
        <v>3</v>
      </c>
      <c r="AV55" s="111" t="s">
        <v>1175</v>
      </c>
      <c r="AW55" s="111" t="s">
        <v>1175</v>
      </c>
      <c r="AX55" s="111" t="s">
        <v>1418</v>
      </c>
      <c r="AY55" s="111" t="s">
        <v>1418</v>
      </c>
      <c r="AZ55" s="2"/>
      <c r="BA55" s="3"/>
      <c r="BB55" s="3"/>
      <c r="BC55" s="3"/>
      <c r="BD55" s="3"/>
    </row>
    <row r="56" spans="1:56" ht="15">
      <c r="A56" s="68" t="s">
        <v>367</v>
      </c>
      <c r="B56" s="69"/>
      <c r="C56" s="69"/>
      <c r="D56" s="70">
        <v>51.13682073662327</v>
      </c>
      <c r="E56" s="72"/>
      <c r="F56" s="69"/>
      <c r="G56" s="69"/>
      <c r="H56" s="73" t="s">
        <v>367</v>
      </c>
      <c r="I56" s="74"/>
      <c r="J56" s="74"/>
      <c r="K56" s="73" t="s">
        <v>367</v>
      </c>
      <c r="L56" s="77">
        <v>7.451801587825573</v>
      </c>
      <c r="M56" s="78">
        <v>9634.32421875</v>
      </c>
      <c r="N56" s="78">
        <v>3897.6708984375</v>
      </c>
      <c r="O56" s="79"/>
      <c r="P56" s="80"/>
      <c r="Q56" s="80"/>
      <c r="R56" s="85"/>
      <c r="S56" s="49">
        <v>1</v>
      </c>
      <c r="T56" s="49">
        <v>1</v>
      </c>
      <c r="U56" s="50">
        <v>24</v>
      </c>
      <c r="V56" s="50">
        <v>0.000764</v>
      </c>
      <c r="W56" s="50">
        <v>6E-05</v>
      </c>
      <c r="X56" s="50">
        <v>0.877994</v>
      </c>
      <c r="Y56" s="50">
        <v>0</v>
      </c>
      <c r="Z56" s="50">
        <v>0</v>
      </c>
      <c r="AA56" s="75">
        <v>56</v>
      </c>
      <c r="AB56" s="75"/>
      <c r="AC56" s="76"/>
      <c r="AD56" s="82" t="s">
        <v>786</v>
      </c>
      <c r="AE56" s="99" t="str">
        <f>HYPERLINK("http://en.wikipedia.org/wiki/User:Kencf0618")</f>
        <v>http://en.wikipedia.org/wiki/User:Kencf0618</v>
      </c>
      <c r="AF56" s="82" t="s">
        <v>806</v>
      </c>
      <c r="AG56" s="82"/>
      <c r="AH56" s="82"/>
      <c r="AI56" s="82">
        <v>0.5009142</v>
      </c>
      <c r="AJ56" s="82">
        <v>500</v>
      </c>
      <c r="AK56" s="82"/>
      <c r="AL56" s="82" t="str">
        <f>REPLACE(INDEX(GroupVertices[Group],MATCH(Vertices[[#This Row],[Vertex]],GroupVertices[Vertex],0)),1,1,"")</f>
        <v>9</v>
      </c>
      <c r="AM56" s="49">
        <v>0</v>
      </c>
      <c r="AN56" s="50">
        <v>0</v>
      </c>
      <c r="AO56" s="49">
        <v>1</v>
      </c>
      <c r="AP56" s="50">
        <v>20</v>
      </c>
      <c r="AQ56" s="49">
        <v>0</v>
      </c>
      <c r="AR56" s="50">
        <v>0</v>
      </c>
      <c r="AS56" s="49">
        <v>4</v>
      </c>
      <c r="AT56" s="50">
        <v>80</v>
      </c>
      <c r="AU56" s="49">
        <v>5</v>
      </c>
      <c r="AV56" s="111" t="s">
        <v>1450</v>
      </c>
      <c r="AW56" s="111" t="s">
        <v>1450</v>
      </c>
      <c r="AX56" s="111" t="s">
        <v>1587</v>
      </c>
      <c r="AY56" s="111" t="s">
        <v>1587</v>
      </c>
      <c r="AZ56" s="2"/>
      <c r="BA56" s="3"/>
      <c r="BB56" s="3"/>
      <c r="BC56" s="3"/>
      <c r="BD56" s="3"/>
    </row>
    <row r="57" spans="1:56" ht="15">
      <c r="A57" s="68" t="s">
        <v>368</v>
      </c>
      <c r="B57" s="69"/>
      <c r="C57" s="69"/>
      <c r="D57" s="70">
        <v>69.26279583079457</v>
      </c>
      <c r="E57" s="72"/>
      <c r="F57" s="69"/>
      <c r="G57" s="69"/>
      <c r="H57" s="73" t="s">
        <v>368</v>
      </c>
      <c r="I57" s="74"/>
      <c r="J57" s="74"/>
      <c r="K57" s="73" t="s">
        <v>368</v>
      </c>
      <c r="L57" s="77">
        <v>110.32219366109723</v>
      </c>
      <c r="M57" s="78">
        <v>8476.0859375</v>
      </c>
      <c r="N57" s="78">
        <v>3896.431640625</v>
      </c>
      <c r="O57" s="79"/>
      <c r="P57" s="80"/>
      <c r="Q57" s="80"/>
      <c r="R57" s="85"/>
      <c r="S57" s="49">
        <v>1</v>
      </c>
      <c r="T57" s="49">
        <v>1</v>
      </c>
      <c r="U57" s="50">
        <v>406.666667</v>
      </c>
      <c r="V57" s="50">
        <v>0.000895</v>
      </c>
      <c r="W57" s="50">
        <v>0.000421</v>
      </c>
      <c r="X57" s="50">
        <v>0.829871</v>
      </c>
      <c r="Y57" s="50">
        <v>0</v>
      </c>
      <c r="Z57" s="50">
        <v>0</v>
      </c>
      <c r="AA57" s="75">
        <v>57</v>
      </c>
      <c r="AB57" s="75"/>
      <c r="AC57" s="76"/>
      <c r="AD57" s="82" t="s">
        <v>786</v>
      </c>
      <c r="AE57" s="99" t="str">
        <f>HYPERLINK("http://en.wikipedia.org/wiki/User:69.79.116.140")</f>
        <v>http://en.wikipedia.org/wiki/User:69.79.116.140</v>
      </c>
      <c r="AF57" s="82" t="s">
        <v>806</v>
      </c>
      <c r="AG57" s="82"/>
      <c r="AH57" s="82"/>
      <c r="AI57" s="82">
        <v>0</v>
      </c>
      <c r="AJ57" s="82">
        <v>1</v>
      </c>
      <c r="AK57" s="82"/>
      <c r="AL57" s="82" t="str">
        <f>REPLACE(INDEX(GroupVertices[Group],MATCH(Vertices[[#This Row],[Vertex]],GroupVertices[Vertex],0)),1,1,"")</f>
        <v>9</v>
      </c>
      <c r="AM57" s="49">
        <v>0</v>
      </c>
      <c r="AN57" s="50">
        <v>0</v>
      </c>
      <c r="AO57" s="49">
        <v>0</v>
      </c>
      <c r="AP57" s="50">
        <v>0</v>
      </c>
      <c r="AQ57" s="49">
        <v>0</v>
      </c>
      <c r="AR57" s="50">
        <v>0</v>
      </c>
      <c r="AS57" s="49">
        <v>10</v>
      </c>
      <c r="AT57" s="50">
        <v>100</v>
      </c>
      <c r="AU57" s="49">
        <v>10</v>
      </c>
      <c r="AV57" s="111" t="s">
        <v>1731</v>
      </c>
      <c r="AW57" s="111" t="s">
        <v>1731</v>
      </c>
      <c r="AX57" s="111" t="s">
        <v>1743</v>
      </c>
      <c r="AY57" s="111" t="s">
        <v>1743</v>
      </c>
      <c r="AZ57" s="2"/>
      <c r="BA57" s="3"/>
      <c r="BB57" s="3"/>
      <c r="BC57" s="3"/>
      <c r="BD57" s="3"/>
    </row>
    <row r="58" spans="1:56" ht="15">
      <c r="A58" s="68" t="s">
        <v>369</v>
      </c>
      <c r="B58" s="69"/>
      <c r="C58" s="69"/>
      <c r="D58" s="70">
        <v>118.6355519736299</v>
      </c>
      <c r="E58" s="72"/>
      <c r="F58" s="69"/>
      <c r="G58" s="69"/>
      <c r="H58" s="73" t="s">
        <v>369</v>
      </c>
      <c r="I58" s="74"/>
      <c r="J58" s="74"/>
      <c r="K58" s="73" t="s">
        <v>369</v>
      </c>
      <c r="L58" s="77">
        <v>390.52752086496895</v>
      </c>
      <c r="M58" s="78">
        <v>9244.9951171875</v>
      </c>
      <c r="N58" s="78">
        <v>3816.2490234375</v>
      </c>
      <c r="O58" s="79"/>
      <c r="P58" s="80"/>
      <c r="Q58" s="80"/>
      <c r="R58" s="85"/>
      <c r="S58" s="49">
        <v>2</v>
      </c>
      <c r="T58" s="49">
        <v>2</v>
      </c>
      <c r="U58" s="50">
        <v>1449</v>
      </c>
      <c r="V58" s="50">
        <v>0.001085</v>
      </c>
      <c r="W58" s="50">
        <v>0.00322</v>
      </c>
      <c r="X58" s="50">
        <v>1.443407</v>
      </c>
      <c r="Y58" s="50">
        <v>0</v>
      </c>
      <c r="Z58" s="50">
        <v>0</v>
      </c>
      <c r="AA58" s="75">
        <v>58</v>
      </c>
      <c r="AB58" s="75"/>
      <c r="AC58" s="76"/>
      <c r="AD58" s="82" t="s">
        <v>786</v>
      </c>
      <c r="AE58" s="99" t="str">
        <f>HYPERLINK("http://en.wikipedia.org/wiki/User:CommonsNotificationBot")</f>
        <v>http://en.wikipedia.org/wiki/User:CommonsNotificationBot</v>
      </c>
      <c r="AF58" s="82" t="s">
        <v>806</v>
      </c>
      <c r="AG58" s="82"/>
      <c r="AH58" s="82"/>
      <c r="AI58" s="82">
        <v>0.1948529</v>
      </c>
      <c r="AJ58" s="82">
        <v>500</v>
      </c>
      <c r="AK58" s="82"/>
      <c r="AL58" s="82" t="str">
        <f>REPLACE(INDEX(GroupVertices[Group],MATCH(Vertices[[#This Row],[Vertex]],GroupVertices[Vertex],0)),1,1,"")</f>
        <v>9</v>
      </c>
      <c r="AM58" s="49">
        <v>0</v>
      </c>
      <c r="AN58" s="50">
        <v>0</v>
      </c>
      <c r="AO58" s="49">
        <v>0</v>
      </c>
      <c r="AP58" s="50">
        <v>0</v>
      </c>
      <c r="AQ58" s="49">
        <v>0</v>
      </c>
      <c r="AR58" s="50">
        <v>0</v>
      </c>
      <c r="AS58" s="49">
        <v>32</v>
      </c>
      <c r="AT58" s="50">
        <v>100</v>
      </c>
      <c r="AU58" s="49">
        <v>32</v>
      </c>
      <c r="AV58" s="111" t="s">
        <v>1451</v>
      </c>
      <c r="AW58" s="111" t="s">
        <v>1550</v>
      </c>
      <c r="AX58" s="111" t="s">
        <v>1588</v>
      </c>
      <c r="AY58" s="111" t="s">
        <v>1682</v>
      </c>
      <c r="AZ58" s="2"/>
      <c r="BA58" s="3"/>
      <c r="BB58" s="3"/>
      <c r="BC58" s="3"/>
      <c r="BD58" s="3"/>
    </row>
    <row r="59" spans="1:56" ht="15">
      <c r="A59" s="68" t="s">
        <v>370</v>
      </c>
      <c r="B59" s="69"/>
      <c r="C59" s="69"/>
      <c r="D59" s="70">
        <v>92.39393996990944</v>
      </c>
      <c r="E59" s="72"/>
      <c r="F59" s="69"/>
      <c r="G59" s="69"/>
      <c r="H59" s="73" t="s">
        <v>370</v>
      </c>
      <c r="I59" s="74"/>
      <c r="J59" s="74"/>
      <c r="K59" s="73" t="s">
        <v>370</v>
      </c>
      <c r="L59" s="77">
        <v>241.598434212662</v>
      </c>
      <c r="M59" s="78">
        <v>9643.203125</v>
      </c>
      <c r="N59" s="78">
        <v>4463.3388671875</v>
      </c>
      <c r="O59" s="79"/>
      <c r="P59" s="80"/>
      <c r="Q59" s="80"/>
      <c r="R59" s="85"/>
      <c r="S59" s="49">
        <v>1</v>
      </c>
      <c r="T59" s="49">
        <v>1</v>
      </c>
      <c r="U59" s="50">
        <v>895</v>
      </c>
      <c r="V59" s="50">
        <v>0.001361</v>
      </c>
      <c r="W59" s="50">
        <v>0.012125</v>
      </c>
      <c r="X59" s="50">
        <v>0.697762</v>
      </c>
      <c r="Y59" s="50">
        <v>0</v>
      </c>
      <c r="Z59" s="50">
        <v>0</v>
      </c>
      <c r="AA59" s="75">
        <v>59</v>
      </c>
      <c r="AB59" s="75"/>
      <c r="AC59" s="76"/>
      <c r="AD59" s="82" t="s">
        <v>786</v>
      </c>
      <c r="AE59" s="99" t="str">
        <f>HYPERLINK("http://en.wikipedia.org/wiki/User:119.154.70.165")</f>
        <v>http://en.wikipedia.org/wiki/User:119.154.70.165</v>
      </c>
      <c r="AF59" s="82" t="s">
        <v>806</v>
      </c>
      <c r="AG59" s="82"/>
      <c r="AH59" s="82"/>
      <c r="AI59" s="82">
        <v>0</v>
      </c>
      <c r="AJ59" s="82">
        <v>1</v>
      </c>
      <c r="AK59" s="82"/>
      <c r="AL59" s="82" t="str">
        <f>REPLACE(INDEX(GroupVertices[Group],MATCH(Vertices[[#This Row],[Vertex]],GroupVertices[Vertex],0)),1,1,"")</f>
        <v>9</v>
      </c>
      <c r="AM59" s="49">
        <v>0</v>
      </c>
      <c r="AN59" s="50">
        <v>0</v>
      </c>
      <c r="AO59" s="49">
        <v>0</v>
      </c>
      <c r="AP59" s="50">
        <v>0</v>
      </c>
      <c r="AQ59" s="49">
        <v>0</v>
      </c>
      <c r="AR59" s="50">
        <v>0</v>
      </c>
      <c r="AS59" s="49">
        <v>8</v>
      </c>
      <c r="AT59" s="50">
        <v>100</v>
      </c>
      <c r="AU59" s="49">
        <v>8</v>
      </c>
      <c r="AV59" s="111" t="s">
        <v>1452</v>
      </c>
      <c r="AW59" s="111" t="s">
        <v>1452</v>
      </c>
      <c r="AX59" s="111" t="s">
        <v>1589</v>
      </c>
      <c r="AY59" s="111" t="s">
        <v>1589</v>
      </c>
      <c r="AZ59" s="2"/>
      <c r="BA59" s="3"/>
      <c r="BB59" s="3"/>
      <c r="BC59" s="3"/>
      <c r="BD59" s="3"/>
    </row>
    <row r="60" spans="1:56" ht="15">
      <c r="A60" s="68" t="s">
        <v>371</v>
      </c>
      <c r="B60" s="69"/>
      <c r="C60" s="69"/>
      <c r="D60" s="70">
        <v>93.19918799168425</v>
      </c>
      <c r="E60" s="72"/>
      <c r="F60" s="69"/>
      <c r="G60" s="69"/>
      <c r="H60" s="73" t="s">
        <v>371</v>
      </c>
      <c r="I60" s="74"/>
      <c r="J60" s="74"/>
      <c r="K60" s="73" t="s">
        <v>371</v>
      </c>
      <c r="L60" s="77">
        <v>246.16846033737178</v>
      </c>
      <c r="M60" s="78">
        <v>8458.9560546875</v>
      </c>
      <c r="N60" s="78">
        <v>3199.67333984375</v>
      </c>
      <c r="O60" s="79"/>
      <c r="P60" s="80"/>
      <c r="Q60" s="80"/>
      <c r="R60" s="85"/>
      <c r="S60" s="49">
        <v>1</v>
      </c>
      <c r="T60" s="49">
        <v>1</v>
      </c>
      <c r="U60" s="50">
        <v>912</v>
      </c>
      <c r="V60" s="50">
        <v>0.001351</v>
      </c>
      <c r="W60" s="50">
        <v>0.011942</v>
      </c>
      <c r="X60" s="50">
        <v>0.708677</v>
      </c>
      <c r="Y60" s="50">
        <v>0</v>
      </c>
      <c r="Z60" s="50">
        <v>0</v>
      </c>
      <c r="AA60" s="75">
        <v>60</v>
      </c>
      <c r="AB60" s="75"/>
      <c r="AC60" s="76"/>
      <c r="AD60" s="82" t="s">
        <v>786</v>
      </c>
      <c r="AE60" s="99" t="str">
        <f>HYPERLINK("http://en.wikipedia.org/wiki/User:Ekowus")</f>
        <v>http://en.wikipedia.org/wiki/User:Ekowus</v>
      </c>
      <c r="AF60" s="82" t="s">
        <v>806</v>
      </c>
      <c r="AG60" s="82"/>
      <c r="AH60" s="82"/>
      <c r="AI60" s="82">
        <v>0.2333332</v>
      </c>
      <c r="AJ60" s="82">
        <v>12</v>
      </c>
      <c r="AK60" s="82"/>
      <c r="AL60" s="82" t="str">
        <f>REPLACE(INDEX(GroupVertices[Group],MATCH(Vertices[[#This Row],[Vertex]],GroupVertices[Vertex],0)),1,1,"")</f>
        <v>9</v>
      </c>
      <c r="AM60" s="49"/>
      <c r="AN60" s="50"/>
      <c r="AO60" s="49"/>
      <c r="AP60" s="50"/>
      <c r="AQ60" s="49"/>
      <c r="AR60" s="50"/>
      <c r="AS60" s="49"/>
      <c r="AT60" s="50"/>
      <c r="AU60" s="49"/>
      <c r="AV60" s="111" t="s">
        <v>1418</v>
      </c>
      <c r="AW60" s="111" t="s">
        <v>1418</v>
      </c>
      <c r="AX60" s="111" t="s">
        <v>1418</v>
      </c>
      <c r="AY60" s="111" t="s">
        <v>1418</v>
      </c>
      <c r="AZ60" s="2"/>
      <c r="BA60" s="3"/>
      <c r="BB60" s="3"/>
      <c r="BC60" s="3"/>
      <c r="BD60" s="3"/>
    </row>
    <row r="61" spans="1:56" ht="15">
      <c r="A61" s="68" t="s">
        <v>372</v>
      </c>
      <c r="B61" s="69"/>
      <c r="C61" s="69"/>
      <c r="D61" s="70">
        <v>74.66269432975511</v>
      </c>
      <c r="E61" s="72"/>
      <c r="F61" s="69"/>
      <c r="G61" s="69"/>
      <c r="H61" s="73" t="s">
        <v>372</v>
      </c>
      <c r="I61" s="74"/>
      <c r="J61" s="74"/>
      <c r="K61" s="73" t="s">
        <v>372</v>
      </c>
      <c r="L61" s="77">
        <v>140.9682512032687</v>
      </c>
      <c r="M61" s="78">
        <v>8003.43798828125</v>
      </c>
      <c r="N61" s="78">
        <v>5269.88134765625</v>
      </c>
      <c r="O61" s="79"/>
      <c r="P61" s="80"/>
      <c r="Q61" s="80"/>
      <c r="R61" s="85"/>
      <c r="S61" s="49">
        <v>2</v>
      </c>
      <c r="T61" s="49">
        <v>2</v>
      </c>
      <c r="U61" s="50">
        <v>520.666667</v>
      </c>
      <c r="V61" s="50">
        <v>0.001068</v>
      </c>
      <c r="W61" s="50">
        <v>0.001793</v>
      </c>
      <c r="X61" s="50">
        <v>1.121082</v>
      </c>
      <c r="Y61" s="50">
        <v>0</v>
      </c>
      <c r="Z61" s="50">
        <v>0</v>
      </c>
      <c r="AA61" s="75">
        <v>61</v>
      </c>
      <c r="AB61" s="75"/>
      <c r="AC61" s="76"/>
      <c r="AD61" s="82" t="s">
        <v>786</v>
      </c>
      <c r="AE61" s="82" t="s">
        <v>791</v>
      </c>
      <c r="AF61" s="82" t="s">
        <v>806</v>
      </c>
      <c r="AG61" s="82"/>
      <c r="AH61" s="82"/>
      <c r="AI61" s="82">
        <v>0.1897457</v>
      </c>
      <c r="AJ61" s="82">
        <v>500</v>
      </c>
      <c r="AK61" s="82"/>
      <c r="AL61" s="82" t="str">
        <f>REPLACE(INDEX(GroupVertices[Group],MATCH(Vertices[[#This Row],[Vertex]],GroupVertices[Vertex],0)),1,1,"")</f>
        <v>9</v>
      </c>
      <c r="AM61" s="49">
        <v>0</v>
      </c>
      <c r="AN61" s="50">
        <v>0</v>
      </c>
      <c r="AO61" s="49">
        <v>1</v>
      </c>
      <c r="AP61" s="50">
        <v>5.555555555555555</v>
      </c>
      <c r="AQ61" s="49">
        <v>0</v>
      </c>
      <c r="AR61" s="50">
        <v>0</v>
      </c>
      <c r="AS61" s="49">
        <v>17</v>
      </c>
      <c r="AT61" s="50">
        <v>94.44444444444444</v>
      </c>
      <c r="AU61" s="49">
        <v>18</v>
      </c>
      <c r="AV61" s="111" t="s">
        <v>1453</v>
      </c>
      <c r="AW61" s="111" t="s">
        <v>1453</v>
      </c>
      <c r="AX61" s="111" t="s">
        <v>1590</v>
      </c>
      <c r="AY61" s="111" t="s">
        <v>1590</v>
      </c>
      <c r="AZ61" s="2"/>
      <c r="BA61" s="3"/>
      <c r="BB61" s="3"/>
      <c r="BC61" s="3"/>
      <c r="BD61" s="3"/>
    </row>
    <row r="62" spans="1:56" ht="15">
      <c r="A62" s="68" t="s">
        <v>373</v>
      </c>
      <c r="B62" s="69"/>
      <c r="C62" s="69"/>
      <c r="D62" s="70">
        <v>56.4735625437828</v>
      </c>
      <c r="E62" s="72"/>
      <c r="F62" s="69"/>
      <c r="G62" s="69"/>
      <c r="H62" s="73" t="s">
        <v>373</v>
      </c>
      <c r="I62" s="74"/>
      <c r="J62" s="74"/>
      <c r="K62" s="73" t="s">
        <v>373</v>
      </c>
      <c r="L62" s="77">
        <v>37.73942579805953</v>
      </c>
      <c r="M62" s="78">
        <v>8052.4404296875</v>
      </c>
      <c r="N62" s="78">
        <v>4200.529296875</v>
      </c>
      <c r="O62" s="79"/>
      <c r="P62" s="80"/>
      <c r="Q62" s="80"/>
      <c r="R62" s="85"/>
      <c r="S62" s="49">
        <v>1</v>
      </c>
      <c r="T62" s="49">
        <v>1</v>
      </c>
      <c r="U62" s="50">
        <v>136.666667</v>
      </c>
      <c r="V62" s="50">
        <v>0.000887</v>
      </c>
      <c r="W62" s="50">
        <v>0.000241</v>
      </c>
      <c r="X62" s="50">
        <v>0.828834</v>
      </c>
      <c r="Y62" s="50">
        <v>0</v>
      </c>
      <c r="Z62" s="50">
        <v>0</v>
      </c>
      <c r="AA62" s="75">
        <v>62</v>
      </c>
      <c r="AB62" s="75"/>
      <c r="AC62" s="76"/>
      <c r="AD62" s="82" t="s">
        <v>786</v>
      </c>
      <c r="AE62" s="99" t="str">
        <f>HYPERLINK("http://en.wikipedia.org/wiki/User:Rachelcgen")</f>
        <v>http://en.wikipedia.org/wiki/User:Rachelcgen</v>
      </c>
      <c r="AF62" s="82" t="s">
        <v>806</v>
      </c>
      <c r="AG62" s="82"/>
      <c r="AH62" s="82"/>
      <c r="AI62" s="82">
        <v>0.5280708</v>
      </c>
      <c r="AJ62" s="82">
        <v>191</v>
      </c>
      <c r="AK62" s="82"/>
      <c r="AL62" s="82" t="str">
        <f>REPLACE(INDEX(GroupVertices[Group],MATCH(Vertices[[#This Row],[Vertex]],GroupVertices[Vertex],0)),1,1,"")</f>
        <v>9</v>
      </c>
      <c r="AM62" s="49">
        <v>0</v>
      </c>
      <c r="AN62" s="50">
        <v>0</v>
      </c>
      <c r="AO62" s="49">
        <v>0</v>
      </c>
      <c r="AP62" s="50">
        <v>0</v>
      </c>
      <c r="AQ62" s="49">
        <v>0</v>
      </c>
      <c r="AR62" s="50">
        <v>0</v>
      </c>
      <c r="AS62" s="49">
        <v>8</v>
      </c>
      <c r="AT62" s="50">
        <v>100</v>
      </c>
      <c r="AU62" s="49">
        <v>8</v>
      </c>
      <c r="AV62" s="111" t="s">
        <v>1454</v>
      </c>
      <c r="AW62" s="111" t="s">
        <v>1454</v>
      </c>
      <c r="AX62" s="111" t="s">
        <v>1591</v>
      </c>
      <c r="AY62" s="111" t="s">
        <v>1591</v>
      </c>
      <c r="AZ62" s="2"/>
      <c r="BA62" s="3"/>
      <c r="BB62" s="3"/>
      <c r="BC62" s="3"/>
      <c r="BD62" s="3"/>
    </row>
    <row r="63" spans="1:56" ht="15">
      <c r="A63" s="68" t="s">
        <v>374</v>
      </c>
      <c r="B63" s="69"/>
      <c r="C63" s="69"/>
      <c r="D63" s="70">
        <v>50.78945886066645</v>
      </c>
      <c r="E63" s="72"/>
      <c r="F63" s="69"/>
      <c r="G63" s="69"/>
      <c r="H63" s="73" t="s">
        <v>374</v>
      </c>
      <c r="I63" s="74"/>
      <c r="J63" s="74"/>
      <c r="K63" s="73" t="s">
        <v>374</v>
      </c>
      <c r="L63" s="77">
        <v>5.480417858931671</v>
      </c>
      <c r="M63" s="78">
        <v>8965.4384765625</v>
      </c>
      <c r="N63" s="78">
        <v>3164.426025390625</v>
      </c>
      <c r="O63" s="79"/>
      <c r="P63" s="80"/>
      <c r="Q63" s="80"/>
      <c r="R63" s="85"/>
      <c r="S63" s="49">
        <v>1</v>
      </c>
      <c r="T63" s="49">
        <v>1</v>
      </c>
      <c r="U63" s="50">
        <v>16.666667</v>
      </c>
      <c r="V63" s="50">
        <v>0.000761</v>
      </c>
      <c r="W63" s="50">
        <v>8.5E-05</v>
      </c>
      <c r="X63" s="50">
        <v>0.84987</v>
      </c>
      <c r="Y63" s="50">
        <v>0</v>
      </c>
      <c r="Z63" s="50">
        <v>0</v>
      </c>
      <c r="AA63" s="75">
        <v>63</v>
      </c>
      <c r="AB63" s="75"/>
      <c r="AC63" s="76"/>
      <c r="AD63" s="82" t="s">
        <v>786</v>
      </c>
      <c r="AE63" s="99" t="str">
        <f>HYPERLINK("http://en.wikipedia.org/wiki/User:Allethrin")</f>
        <v>http://en.wikipedia.org/wiki/User:Allethrin</v>
      </c>
      <c r="AF63" s="82" t="s">
        <v>806</v>
      </c>
      <c r="AG63" s="82"/>
      <c r="AH63" s="82"/>
      <c r="AI63" s="82">
        <v>0.26</v>
      </c>
      <c r="AJ63" s="82">
        <v>90</v>
      </c>
      <c r="AK63" s="82"/>
      <c r="AL63" s="82" t="str">
        <f>REPLACE(INDEX(GroupVertices[Group],MATCH(Vertices[[#This Row],[Vertex]],GroupVertices[Vertex],0)),1,1,"")</f>
        <v>9</v>
      </c>
      <c r="AM63" s="49">
        <v>0</v>
      </c>
      <c r="AN63" s="50">
        <v>0</v>
      </c>
      <c r="AO63" s="49">
        <v>0</v>
      </c>
      <c r="AP63" s="50">
        <v>0</v>
      </c>
      <c r="AQ63" s="49">
        <v>0</v>
      </c>
      <c r="AR63" s="50">
        <v>0</v>
      </c>
      <c r="AS63" s="49">
        <v>7</v>
      </c>
      <c r="AT63" s="50">
        <v>100</v>
      </c>
      <c r="AU63" s="49">
        <v>7</v>
      </c>
      <c r="AV63" s="111" t="s">
        <v>1455</v>
      </c>
      <c r="AW63" s="111" t="s">
        <v>1455</v>
      </c>
      <c r="AX63" s="111" t="s">
        <v>1592</v>
      </c>
      <c r="AY63" s="111" t="s">
        <v>1592</v>
      </c>
      <c r="AZ63" s="2"/>
      <c r="BA63" s="3"/>
      <c r="BB63" s="3"/>
      <c r="BC63" s="3"/>
      <c r="BD63" s="3"/>
    </row>
    <row r="64" spans="1:56" ht="15">
      <c r="A64" s="68" t="s">
        <v>375</v>
      </c>
      <c r="B64" s="69"/>
      <c r="C64" s="69"/>
      <c r="D64" s="70">
        <v>63.357643655323415</v>
      </c>
      <c r="E64" s="72"/>
      <c r="F64" s="69"/>
      <c r="G64" s="69"/>
      <c r="H64" s="73" t="s">
        <v>375</v>
      </c>
      <c r="I64" s="74"/>
      <c r="J64" s="74"/>
      <c r="K64" s="73" t="s">
        <v>375</v>
      </c>
      <c r="L64" s="77">
        <v>76.80866865695049</v>
      </c>
      <c r="M64" s="78">
        <v>9608.587890625</v>
      </c>
      <c r="N64" s="78">
        <v>4992.69677734375</v>
      </c>
      <c r="O64" s="79"/>
      <c r="P64" s="80"/>
      <c r="Q64" s="80"/>
      <c r="R64" s="85"/>
      <c r="S64" s="49">
        <v>1</v>
      </c>
      <c r="T64" s="49">
        <v>1</v>
      </c>
      <c r="U64" s="50">
        <v>282</v>
      </c>
      <c r="V64" s="50">
        <v>0.000894</v>
      </c>
      <c r="W64" s="50">
        <v>0.000424</v>
      </c>
      <c r="X64" s="50">
        <v>0.817918</v>
      </c>
      <c r="Y64" s="50">
        <v>0</v>
      </c>
      <c r="Z64" s="50">
        <v>0</v>
      </c>
      <c r="AA64" s="75">
        <v>64</v>
      </c>
      <c r="AB64" s="75"/>
      <c r="AC64" s="76"/>
      <c r="AD64" s="82" t="s">
        <v>786</v>
      </c>
      <c r="AE64" s="99" t="str">
        <f>HYPERLINK("http://en.wikipedia.org/wiki/User:Debresser")</f>
        <v>http://en.wikipedia.org/wiki/User:Debresser</v>
      </c>
      <c r="AF64" s="82" t="s">
        <v>806</v>
      </c>
      <c r="AG64" s="82"/>
      <c r="AH64" s="82"/>
      <c r="AI64" s="82">
        <v>0.4038326</v>
      </c>
      <c r="AJ64" s="82">
        <v>500</v>
      </c>
      <c r="AK64" s="82"/>
      <c r="AL64" s="82" t="str">
        <f>REPLACE(INDEX(GroupVertices[Group],MATCH(Vertices[[#This Row],[Vertex]],GroupVertices[Vertex],0)),1,1,"")</f>
        <v>9</v>
      </c>
      <c r="AM64" s="49">
        <v>0</v>
      </c>
      <c r="AN64" s="50">
        <v>0</v>
      </c>
      <c r="AO64" s="49">
        <v>0</v>
      </c>
      <c r="AP64" s="50">
        <v>0</v>
      </c>
      <c r="AQ64" s="49">
        <v>0</v>
      </c>
      <c r="AR64" s="50">
        <v>0</v>
      </c>
      <c r="AS64" s="49">
        <v>8</v>
      </c>
      <c r="AT64" s="50">
        <v>100</v>
      </c>
      <c r="AU64" s="49">
        <v>8</v>
      </c>
      <c r="AV64" s="111" t="s">
        <v>1456</v>
      </c>
      <c r="AW64" s="111" t="s">
        <v>1456</v>
      </c>
      <c r="AX64" s="111" t="s">
        <v>1593</v>
      </c>
      <c r="AY64" s="111" t="s">
        <v>1593</v>
      </c>
      <c r="AZ64" s="2"/>
      <c r="BA64" s="3"/>
      <c r="BB64" s="3"/>
      <c r="BC64" s="3"/>
      <c r="BD64" s="3"/>
    </row>
    <row r="65" spans="1:56" ht="15">
      <c r="A65" s="68" t="s">
        <v>376</v>
      </c>
      <c r="B65" s="69"/>
      <c r="C65" s="69"/>
      <c r="D65" s="70">
        <v>92.39393996990944</v>
      </c>
      <c r="E65" s="72"/>
      <c r="F65" s="69"/>
      <c r="G65" s="69"/>
      <c r="H65" s="73" t="s">
        <v>376</v>
      </c>
      <c r="I65" s="74"/>
      <c r="J65" s="74"/>
      <c r="K65" s="73" t="s">
        <v>376</v>
      </c>
      <c r="L65" s="77">
        <v>241.598434212662</v>
      </c>
      <c r="M65" s="78">
        <v>8660.892578125</v>
      </c>
      <c r="N65" s="78">
        <v>6083.208984375</v>
      </c>
      <c r="O65" s="79"/>
      <c r="P65" s="80"/>
      <c r="Q65" s="80"/>
      <c r="R65" s="85"/>
      <c r="S65" s="49">
        <v>1</v>
      </c>
      <c r="T65" s="49">
        <v>1</v>
      </c>
      <c r="U65" s="50">
        <v>895</v>
      </c>
      <c r="V65" s="50">
        <v>0.001361</v>
      </c>
      <c r="W65" s="50">
        <v>0.012125</v>
      </c>
      <c r="X65" s="50">
        <v>0.697762</v>
      </c>
      <c r="Y65" s="50">
        <v>0</v>
      </c>
      <c r="Z65" s="50">
        <v>0</v>
      </c>
      <c r="AA65" s="75">
        <v>65</v>
      </c>
      <c r="AB65" s="75"/>
      <c r="AC65" s="76"/>
      <c r="AD65" s="82" t="s">
        <v>786</v>
      </c>
      <c r="AE65" s="99" t="str">
        <f>HYPERLINK("http://en.wikipedia.org/wiki/User:Groupuscule")</f>
        <v>http://en.wikipedia.org/wiki/User:Groupuscule</v>
      </c>
      <c r="AF65" s="82" t="s">
        <v>806</v>
      </c>
      <c r="AG65" s="82"/>
      <c r="AH65" s="82"/>
      <c r="AI65" s="82">
        <v>0.3544571</v>
      </c>
      <c r="AJ65" s="82">
        <v>500</v>
      </c>
      <c r="AK65" s="82"/>
      <c r="AL65" s="82" t="str">
        <f>REPLACE(INDEX(GroupVertices[Group],MATCH(Vertices[[#This Row],[Vertex]],GroupVertices[Vertex],0)),1,1,"")</f>
        <v>9</v>
      </c>
      <c r="AM65" s="49">
        <v>0</v>
      </c>
      <c r="AN65" s="50">
        <v>0</v>
      </c>
      <c r="AO65" s="49">
        <v>1</v>
      </c>
      <c r="AP65" s="50">
        <v>12.5</v>
      </c>
      <c r="AQ65" s="49">
        <v>0</v>
      </c>
      <c r="AR65" s="50">
        <v>0</v>
      </c>
      <c r="AS65" s="49">
        <v>7</v>
      </c>
      <c r="AT65" s="50">
        <v>87.5</v>
      </c>
      <c r="AU65" s="49">
        <v>8</v>
      </c>
      <c r="AV65" s="111" t="s">
        <v>1457</v>
      </c>
      <c r="AW65" s="111" t="s">
        <v>1457</v>
      </c>
      <c r="AX65" s="111" t="s">
        <v>1594</v>
      </c>
      <c r="AY65" s="111" t="s">
        <v>1594</v>
      </c>
      <c r="AZ65" s="2"/>
      <c r="BA65" s="3"/>
      <c r="BB65" s="3"/>
      <c r="BC65" s="3"/>
      <c r="BD65" s="3"/>
    </row>
    <row r="66" spans="1:56" ht="15">
      <c r="A66" s="68" t="s">
        <v>377</v>
      </c>
      <c r="B66" s="69"/>
      <c r="C66" s="69"/>
      <c r="D66" s="70">
        <v>60.26239080998664</v>
      </c>
      <c r="E66" s="72"/>
      <c r="F66" s="69"/>
      <c r="G66" s="69"/>
      <c r="H66" s="73" t="s">
        <v>377</v>
      </c>
      <c r="I66" s="74"/>
      <c r="J66" s="74"/>
      <c r="K66" s="73" t="s">
        <v>377</v>
      </c>
      <c r="L66" s="77">
        <v>59.24217239335946</v>
      </c>
      <c r="M66" s="78">
        <v>510.3996887207031</v>
      </c>
      <c r="N66" s="78">
        <v>4974.2060546875</v>
      </c>
      <c r="O66" s="79"/>
      <c r="P66" s="80"/>
      <c r="Q66" s="80"/>
      <c r="R66" s="85"/>
      <c r="S66" s="49">
        <v>3</v>
      </c>
      <c r="T66" s="49">
        <v>3</v>
      </c>
      <c r="U66" s="50">
        <v>216.654545</v>
      </c>
      <c r="V66" s="50">
        <v>0.001368</v>
      </c>
      <c r="W66" s="50">
        <v>0.016994</v>
      </c>
      <c r="X66" s="50">
        <v>1.178347</v>
      </c>
      <c r="Y66" s="50">
        <v>0.16666666666666666</v>
      </c>
      <c r="Z66" s="50">
        <v>0.3333333333333333</v>
      </c>
      <c r="AA66" s="75">
        <v>66</v>
      </c>
      <c r="AB66" s="75"/>
      <c r="AC66" s="76"/>
      <c r="AD66" s="82" t="s">
        <v>786</v>
      </c>
      <c r="AE66" s="82" t="s">
        <v>792</v>
      </c>
      <c r="AF66" s="82" t="s">
        <v>806</v>
      </c>
      <c r="AG66" s="82"/>
      <c r="AH66" s="82"/>
      <c r="AI66" s="82">
        <v>0.2719659</v>
      </c>
      <c r="AJ66" s="82">
        <v>500</v>
      </c>
      <c r="AK66" s="82"/>
      <c r="AL66" s="82" t="str">
        <f>REPLACE(INDEX(GroupVertices[Group],MATCH(Vertices[[#This Row],[Vertex]],GroupVertices[Vertex],0)),1,1,"")</f>
        <v>1</v>
      </c>
      <c r="AM66" s="49">
        <v>0</v>
      </c>
      <c r="AN66" s="50">
        <v>0</v>
      </c>
      <c r="AO66" s="49">
        <v>2</v>
      </c>
      <c r="AP66" s="50">
        <v>10.526315789473685</v>
      </c>
      <c r="AQ66" s="49">
        <v>0</v>
      </c>
      <c r="AR66" s="50">
        <v>0</v>
      </c>
      <c r="AS66" s="49">
        <v>17</v>
      </c>
      <c r="AT66" s="50">
        <v>89.47368421052632</v>
      </c>
      <c r="AU66" s="49">
        <v>19</v>
      </c>
      <c r="AV66" s="111" t="s">
        <v>1458</v>
      </c>
      <c r="AW66" s="111" t="s">
        <v>1551</v>
      </c>
      <c r="AX66" s="111" t="s">
        <v>1595</v>
      </c>
      <c r="AY66" s="111" t="s">
        <v>1683</v>
      </c>
      <c r="AZ66" s="2"/>
      <c r="BA66" s="3"/>
      <c r="BB66" s="3"/>
      <c r="BC66" s="3"/>
      <c r="BD66" s="3"/>
    </row>
    <row r="67" spans="1:56" ht="15">
      <c r="A67" s="68" t="s">
        <v>378</v>
      </c>
      <c r="B67" s="69"/>
      <c r="C67" s="69"/>
      <c r="D67" s="70">
        <v>200</v>
      </c>
      <c r="E67" s="72"/>
      <c r="F67" s="69"/>
      <c r="G67" s="69"/>
      <c r="H67" s="73" t="s">
        <v>378</v>
      </c>
      <c r="I67" s="74"/>
      <c r="J67" s="74"/>
      <c r="K67" s="73" t="s">
        <v>378</v>
      </c>
      <c r="L67" s="77">
        <v>1070.0133657218535</v>
      </c>
      <c r="M67" s="78">
        <v>3943.532470703125</v>
      </c>
      <c r="N67" s="78">
        <v>7289.103515625</v>
      </c>
      <c r="O67" s="79"/>
      <c r="P67" s="80"/>
      <c r="Q67" s="80"/>
      <c r="R67" s="85"/>
      <c r="S67" s="49">
        <v>6</v>
      </c>
      <c r="T67" s="49">
        <v>6</v>
      </c>
      <c r="U67" s="50">
        <v>3976.61342</v>
      </c>
      <c r="V67" s="50">
        <v>0.001412</v>
      </c>
      <c r="W67" s="50">
        <v>0.020431</v>
      </c>
      <c r="X67" s="50">
        <v>3.145067</v>
      </c>
      <c r="Y67" s="50">
        <v>0.02727272727272727</v>
      </c>
      <c r="Z67" s="50">
        <v>0.09090909090909091</v>
      </c>
      <c r="AA67" s="75">
        <v>67</v>
      </c>
      <c r="AB67" s="75"/>
      <c r="AC67" s="76"/>
      <c r="AD67" s="82" t="s">
        <v>786</v>
      </c>
      <c r="AE67" s="99" t="str">
        <f>HYPERLINK("http://en.wikipedia.org/wiki/User:Bonadea")</f>
        <v>http://en.wikipedia.org/wiki/User:Bonadea</v>
      </c>
      <c r="AF67" s="82" t="s">
        <v>806</v>
      </c>
      <c r="AG67" s="82"/>
      <c r="AH67" s="82"/>
      <c r="AI67" s="82">
        <v>0.3461096</v>
      </c>
      <c r="AJ67" s="82">
        <v>500</v>
      </c>
      <c r="AK67" s="82"/>
      <c r="AL67" s="82" t="str">
        <f>REPLACE(INDEX(GroupVertices[Group],MATCH(Vertices[[#This Row],[Vertex]],GroupVertices[Vertex],0)),1,1,"")</f>
        <v>4</v>
      </c>
      <c r="AM67" s="49">
        <v>2</v>
      </c>
      <c r="AN67" s="50">
        <v>1.4492753623188406</v>
      </c>
      <c r="AO67" s="49">
        <v>1</v>
      </c>
      <c r="AP67" s="50">
        <v>0.7246376811594203</v>
      </c>
      <c r="AQ67" s="49">
        <v>0</v>
      </c>
      <c r="AR67" s="50">
        <v>0</v>
      </c>
      <c r="AS67" s="49">
        <v>135</v>
      </c>
      <c r="AT67" s="50">
        <v>97.82608695652173</v>
      </c>
      <c r="AU67" s="49">
        <v>138</v>
      </c>
      <c r="AV67" s="111" t="s">
        <v>1732</v>
      </c>
      <c r="AW67" s="111" t="s">
        <v>1552</v>
      </c>
      <c r="AX67" s="111" t="s">
        <v>1744</v>
      </c>
      <c r="AY67" s="111" t="s">
        <v>1684</v>
      </c>
      <c r="AZ67" s="2"/>
      <c r="BA67" s="3"/>
      <c r="BB67" s="3"/>
      <c r="BC67" s="3"/>
      <c r="BD67" s="3"/>
    </row>
    <row r="68" spans="1:56" ht="15">
      <c r="A68" s="68" t="s">
        <v>379</v>
      </c>
      <c r="B68" s="69"/>
      <c r="C68" s="69"/>
      <c r="D68" s="70">
        <v>50.04736753069264</v>
      </c>
      <c r="E68" s="72"/>
      <c r="F68" s="69"/>
      <c r="G68" s="69"/>
      <c r="H68" s="73" t="s">
        <v>379</v>
      </c>
      <c r="I68" s="74"/>
      <c r="J68" s="74"/>
      <c r="K68" s="73" t="s">
        <v>379</v>
      </c>
      <c r="L68" s="77">
        <v>1.268825066159399</v>
      </c>
      <c r="M68" s="78">
        <v>754.1453857421875</v>
      </c>
      <c r="N68" s="78">
        <v>7393.1953125</v>
      </c>
      <c r="O68" s="79"/>
      <c r="P68" s="80"/>
      <c r="Q68" s="80"/>
      <c r="R68" s="85"/>
      <c r="S68" s="49">
        <v>1</v>
      </c>
      <c r="T68" s="49">
        <v>1</v>
      </c>
      <c r="U68" s="50">
        <v>1</v>
      </c>
      <c r="V68" s="50">
        <v>0.001074</v>
      </c>
      <c r="W68" s="50">
        <v>0.003745</v>
      </c>
      <c r="X68" s="50">
        <v>0.69149</v>
      </c>
      <c r="Y68" s="50">
        <v>0</v>
      </c>
      <c r="Z68" s="50">
        <v>0</v>
      </c>
      <c r="AA68" s="75">
        <v>68</v>
      </c>
      <c r="AB68" s="75"/>
      <c r="AC68" s="76"/>
      <c r="AD68" s="82" t="s">
        <v>786</v>
      </c>
      <c r="AE68" s="82" t="s">
        <v>793</v>
      </c>
      <c r="AF68" s="82" t="s">
        <v>806</v>
      </c>
      <c r="AG68" s="82"/>
      <c r="AH68" s="82"/>
      <c r="AI68" s="82">
        <v>0.2285714</v>
      </c>
      <c r="AJ68" s="82">
        <v>7</v>
      </c>
      <c r="AK68" s="82"/>
      <c r="AL68" s="82" t="str">
        <f>REPLACE(INDEX(GroupVertices[Group],MATCH(Vertices[[#This Row],[Vertex]],GroupVertices[Vertex],0)),1,1,"")</f>
        <v>1</v>
      </c>
      <c r="AM68" s="49">
        <v>0</v>
      </c>
      <c r="AN68" s="50">
        <v>0</v>
      </c>
      <c r="AO68" s="49">
        <v>2</v>
      </c>
      <c r="AP68" s="50">
        <v>18.181818181818183</v>
      </c>
      <c r="AQ68" s="49">
        <v>0</v>
      </c>
      <c r="AR68" s="50">
        <v>0</v>
      </c>
      <c r="AS68" s="49">
        <v>9</v>
      </c>
      <c r="AT68" s="50">
        <v>81.81818181818181</v>
      </c>
      <c r="AU68" s="49">
        <v>11</v>
      </c>
      <c r="AV68" s="111" t="s">
        <v>1459</v>
      </c>
      <c r="AW68" s="111" t="s">
        <v>1459</v>
      </c>
      <c r="AX68" s="111" t="s">
        <v>1596</v>
      </c>
      <c r="AY68" s="111" t="s">
        <v>1596</v>
      </c>
      <c r="AZ68" s="2"/>
      <c r="BA68" s="3"/>
      <c r="BB68" s="3"/>
      <c r="BC68" s="3"/>
      <c r="BD68" s="3"/>
    </row>
    <row r="69" spans="1:56" ht="15">
      <c r="A69" s="68" t="s">
        <v>380</v>
      </c>
      <c r="B69" s="69"/>
      <c r="C69" s="69"/>
      <c r="D69" s="70">
        <v>58.77935652845313</v>
      </c>
      <c r="E69" s="72"/>
      <c r="F69" s="69"/>
      <c r="G69" s="69"/>
      <c r="H69" s="73" t="s">
        <v>380</v>
      </c>
      <c r="I69" s="74"/>
      <c r="J69" s="74"/>
      <c r="K69" s="73" t="s">
        <v>380</v>
      </c>
      <c r="L69" s="77">
        <v>50.82550420271888</v>
      </c>
      <c r="M69" s="78">
        <v>1838.8677978515625</v>
      </c>
      <c r="N69" s="78">
        <v>9703.6962890625</v>
      </c>
      <c r="O69" s="79"/>
      <c r="P69" s="80"/>
      <c r="Q69" s="80"/>
      <c r="R69" s="85"/>
      <c r="S69" s="49">
        <v>1</v>
      </c>
      <c r="T69" s="49">
        <v>1</v>
      </c>
      <c r="U69" s="50">
        <v>185.345455</v>
      </c>
      <c r="V69" s="50">
        <v>0.001344</v>
      </c>
      <c r="W69" s="50">
        <v>0.012192</v>
      </c>
      <c r="X69" s="50">
        <v>0.684921</v>
      </c>
      <c r="Y69" s="50">
        <v>0</v>
      </c>
      <c r="Z69" s="50">
        <v>0</v>
      </c>
      <c r="AA69" s="75">
        <v>69</v>
      </c>
      <c r="AB69" s="75"/>
      <c r="AC69" s="76"/>
      <c r="AD69" s="82" t="s">
        <v>786</v>
      </c>
      <c r="AE69" s="99" t="str">
        <f>HYPERLINK("http://en.wikipedia.org/wiki/User:Davefilms")</f>
        <v>http://en.wikipedia.org/wiki/User:Davefilms</v>
      </c>
      <c r="AF69" s="82" t="s">
        <v>806</v>
      </c>
      <c r="AG69" s="82"/>
      <c r="AH69" s="82"/>
      <c r="AI69" s="82">
        <v>0.3265307</v>
      </c>
      <c r="AJ69" s="82">
        <v>28</v>
      </c>
      <c r="AK69" s="82"/>
      <c r="AL69" s="82" t="str">
        <f>REPLACE(INDEX(GroupVertices[Group],MATCH(Vertices[[#This Row],[Vertex]],GroupVertices[Vertex],0)),1,1,"")</f>
        <v>1</v>
      </c>
      <c r="AM69" s="49">
        <v>0</v>
      </c>
      <c r="AN69" s="50">
        <v>0</v>
      </c>
      <c r="AO69" s="49">
        <v>2</v>
      </c>
      <c r="AP69" s="50">
        <v>22.22222222222222</v>
      </c>
      <c r="AQ69" s="49">
        <v>0</v>
      </c>
      <c r="AR69" s="50">
        <v>0</v>
      </c>
      <c r="AS69" s="49">
        <v>7</v>
      </c>
      <c r="AT69" s="50">
        <v>77.77777777777777</v>
      </c>
      <c r="AU69" s="49">
        <v>9</v>
      </c>
      <c r="AV69" s="111" t="s">
        <v>1459</v>
      </c>
      <c r="AW69" s="111" t="s">
        <v>1459</v>
      </c>
      <c r="AX69" s="111" t="s">
        <v>1596</v>
      </c>
      <c r="AY69" s="111" t="s">
        <v>1596</v>
      </c>
      <c r="AZ69" s="2"/>
      <c r="BA69" s="3"/>
      <c r="BB69" s="3"/>
      <c r="BC69" s="3"/>
      <c r="BD69" s="3"/>
    </row>
    <row r="70" spans="1:56" ht="15">
      <c r="A70" s="68" t="s">
        <v>381</v>
      </c>
      <c r="B70" s="69"/>
      <c r="C70" s="69"/>
      <c r="D70" s="70">
        <v>50</v>
      </c>
      <c r="E70" s="72"/>
      <c r="F70" s="69"/>
      <c r="G70" s="69"/>
      <c r="H70" s="73" t="s">
        <v>381</v>
      </c>
      <c r="I70" s="74"/>
      <c r="J70" s="74"/>
      <c r="K70" s="73" t="s">
        <v>381</v>
      </c>
      <c r="L70" s="77">
        <v>1</v>
      </c>
      <c r="M70" s="78">
        <v>2568.74462890625</v>
      </c>
      <c r="N70" s="78">
        <v>5865.89892578125</v>
      </c>
      <c r="O70" s="79"/>
      <c r="P70" s="80"/>
      <c r="Q70" s="80"/>
      <c r="R70" s="85"/>
      <c r="S70" s="49">
        <v>2</v>
      </c>
      <c r="T70" s="49">
        <v>2</v>
      </c>
      <c r="U70" s="50">
        <v>0</v>
      </c>
      <c r="V70" s="50">
        <v>0.00134</v>
      </c>
      <c r="W70" s="50">
        <v>0.013435</v>
      </c>
      <c r="X70" s="50">
        <v>0.680065</v>
      </c>
      <c r="Y70" s="50">
        <v>0</v>
      </c>
      <c r="Z70" s="50">
        <v>1</v>
      </c>
      <c r="AA70" s="75">
        <v>70</v>
      </c>
      <c r="AB70" s="75"/>
      <c r="AC70" s="76"/>
      <c r="AD70" s="82" t="s">
        <v>786</v>
      </c>
      <c r="AE70" s="99" t="str">
        <f>HYPERLINK("http://en.wikipedia.org/wiki/User:ErickS-NJITWILL")</f>
        <v>http://en.wikipedia.org/wiki/User:ErickS-NJITWILL</v>
      </c>
      <c r="AF70" s="82" t="s">
        <v>806</v>
      </c>
      <c r="AG70" s="82"/>
      <c r="AH70" s="82"/>
      <c r="AI70" s="82">
        <v>0.6092308</v>
      </c>
      <c r="AJ70" s="82">
        <v>65</v>
      </c>
      <c r="AK70" s="82"/>
      <c r="AL70" s="82" t="str">
        <f>REPLACE(INDEX(GroupVertices[Group],MATCH(Vertices[[#This Row],[Vertex]],GroupVertices[Vertex],0)),1,1,"")</f>
        <v>1</v>
      </c>
      <c r="AM70" s="49">
        <v>0</v>
      </c>
      <c r="AN70" s="50">
        <v>0</v>
      </c>
      <c r="AO70" s="49">
        <v>0</v>
      </c>
      <c r="AP70" s="50">
        <v>0</v>
      </c>
      <c r="AQ70" s="49">
        <v>0</v>
      </c>
      <c r="AR70" s="50">
        <v>0</v>
      </c>
      <c r="AS70" s="49">
        <v>11</v>
      </c>
      <c r="AT70" s="50">
        <v>100</v>
      </c>
      <c r="AU70" s="49">
        <v>11</v>
      </c>
      <c r="AV70" s="111" t="s">
        <v>1460</v>
      </c>
      <c r="AW70" s="111" t="s">
        <v>1460</v>
      </c>
      <c r="AX70" s="111" t="s">
        <v>1597</v>
      </c>
      <c r="AY70" s="111" t="s">
        <v>1597</v>
      </c>
      <c r="AZ70" s="2"/>
      <c r="BA70" s="3"/>
      <c r="BB70" s="3"/>
      <c r="BC70" s="3"/>
      <c r="BD70" s="3"/>
    </row>
    <row r="71" spans="1:56" ht="15">
      <c r="A71" s="68" t="s">
        <v>382</v>
      </c>
      <c r="B71" s="69"/>
      <c r="C71" s="69"/>
      <c r="D71" s="70">
        <v>86.23616097986672</v>
      </c>
      <c r="E71" s="72"/>
      <c r="F71" s="69"/>
      <c r="G71" s="69"/>
      <c r="H71" s="73" t="s">
        <v>382</v>
      </c>
      <c r="I71" s="74"/>
      <c r="J71" s="74"/>
      <c r="K71" s="73" t="s">
        <v>382</v>
      </c>
      <c r="L71" s="77">
        <v>206.65117561194015</v>
      </c>
      <c r="M71" s="78">
        <v>3776.44189453125</v>
      </c>
      <c r="N71" s="78">
        <v>9095.1044921875</v>
      </c>
      <c r="O71" s="79"/>
      <c r="P71" s="80"/>
      <c r="Q71" s="80"/>
      <c r="R71" s="85"/>
      <c r="S71" s="49">
        <v>1</v>
      </c>
      <c r="T71" s="49">
        <v>1</v>
      </c>
      <c r="U71" s="50">
        <v>765</v>
      </c>
      <c r="V71" s="50">
        <v>0.00135</v>
      </c>
      <c r="W71" s="50">
        <v>0.011942</v>
      </c>
      <c r="X71" s="50">
        <v>0.703768</v>
      </c>
      <c r="Y71" s="50">
        <v>0</v>
      </c>
      <c r="Z71" s="50">
        <v>0</v>
      </c>
      <c r="AA71" s="75">
        <v>71</v>
      </c>
      <c r="AB71" s="75"/>
      <c r="AC71" s="76"/>
      <c r="AD71" s="82" t="s">
        <v>786</v>
      </c>
      <c r="AE71" s="82" t="s">
        <v>794</v>
      </c>
      <c r="AF71" s="82" t="s">
        <v>806</v>
      </c>
      <c r="AG71" s="82"/>
      <c r="AH71" s="82"/>
      <c r="AI71" s="82">
        <v>0.4671053</v>
      </c>
      <c r="AJ71" s="82">
        <v>19</v>
      </c>
      <c r="AK71" s="82"/>
      <c r="AL71" s="82" t="str">
        <f>REPLACE(INDEX(GroupVertices[Group],MATCH(Vertices[[#This Row],[Vertex]],GroupVertices[Vertex],0)),1,1,"")</f>
        <v>4</v>
      </c>
      <c r="AM71" s="49"/>
      <c r="AN71" s="50"/>
      <c r="AO71" s="49"/>
      <c r="AP71" s="50"/>
      <c r="AQ71" s="49"/>
      <c r="AR71" s="50"/>
      <c r="AS71" s="49"/>
      <c r="AT71" s="50"/>
      <c r="AU71" s="49"/>
      <c r="AV71" s="111" t="s">
        <v>1418</v>
      </c>
      <c r="AW71" s="111" t="s">
        <v>1418</v>
      </c>
      <c r="AX71" s="111" t="s">
        <v>1418</v>
      </c>
      <c r="AY71" s="111" t="s">
        <v>1418</v>
      </c>
      <c r="AZ71" s="2"/>
      <c r="BA71" s="3"/>
      <c r="BB71" s="3"/>
      <c r="BC71" s="3"/>
      <c r="BD71" s="3"/>
    </row>
    <row r="72" spans="1:56" ht="15">
      <c r="A72" s="68" t="s">
        <v>383</v>
      </c>
      <c r="B72" s="69"/>
      <c r="C72" s="69"/>
      <c r="D72" s="70">
        <v>67.57335388696805</v>
      </c>
      <c r="E72" s="72"/>
      <c r="F72" s="69"/>
      <c r="G72" s="69"/>
      <c r="H72" s="73" t="s">
        <v>383</v>
      </c>
      <c r="I72" s="74"/>
      <c r="J72" s="74"/>
      <c r="K72" s="73" t="s">
        <v>383</v>
      </c>
      <c r="L72" s="77">
        <v>100.73409954513698</v>
      </c>
      <c r="M72" s="78">
        <v>5037.51708984375</v>
      </c>
      <c r="N72" s="78">
        <v>9695.0869140625</v>
      </c>
      <c r="O72" s="79"/>
      <c r="P72" s="80"/>
      <c r="Q72" s="80"/>
      <c r="R72" s="85"/>
      <c r="S72" s="49">
        <v>2</v>
      </c>
      <c r="T72" s="49">
        <v>2</v>
      </c>
      <c r="U72" s="50">
        <v>371</v>
      </c>
      <c r="V72" s="50">
        <v>0.001066</v>
      </c>
      <c r="W72" s="50">
        <v>0.001799</v>
      </c>
      <c r="X72" s="50">
        <v>1.103754</v>
      </c>
      <c r="Y72" s="50">
        <v>0</v>
      </c>
      <c r="Z72" s="50">
        <v>0</v>
      </c>
      <c r="AA72" s="75">
        <v>72</v>
      </c>
      <c r="AB72" s="75"/>
      <c r="AC72" s="76"/>
      <c r="AD72" s="82" t="s">
        <v>786</v>
      </c>
      <c r="AE72" s="99" t="str">
        <f>HYPERLINK("http://en.wikipedia.org/wiki/User:Marsha49")</f>
        <v>http://en.wikipedia.org/wiki/User:Marsha49</v>
      </c>
      <c r="AF72" s="82" t="s">
        <v>806</v>
      </c>
      <c r="AG72" s="82"/>
      <c r="AH72" s="82"/>
      <c r="AI72" s="82">
        <v>0.1666666</v>
      </c>
      <c r="AJ72" s="82">
        <v>3</v>
      </c>
      <c r="AK72" s="82"/>
      <c r="AL72" s="82" t="str">
        <f>REPLACE(INDEX(GroupVertices[Group],MATCH(Vertices[[#This Row],[Vertex]],GroupVertices[Vertex],0)),1,1,"")</f>
        <v>4</v>
      </c>
      <c r="AM72" s="49">
        <v>0</v>
      </c>
      <c r="AN72" s="50">
        <v>0</v>
      </c>
      <c r="AO72" s="49">
        <v>0</v>
      </c>
      <c r="AP72" s="50">
        <v>0</v>
      </c>
      <c r="AQ72" s="49">
        <v>0</v>
      </c>
      <c r="AR72" s="50">
        <v>0</v>
      </c>
      <c r="AS72" s="49">
        <v>3</v>
      </c>
      <c r="AT72" s="50">
        <v>100</v>
      </c>
      <c r="AU72" s="49">
        <v>3</v>
      </c>
      <c r="AV72" s="111" t="s">
        <v>1461</v>
      </c>
      <c r="AW72" s="111" t="s">
        <v>1461</v>
      </c>
      <c r="AX72" s="111" t="s">
        <v>1418</v>
      </c>
      <c r="AY72" s="111" t="s">
        <v>1418</v>
      </c>
      <c r="AZ72" s="2"/>
      <c r="BA72" s="3"/>
      <c r="BB72" s="3"/>
      <c r="BC72" s="3"/>
      <c r="BD72" s="3"/>
    </row>
    <row r="73" spans="1:56" ht="15">
      <c r="A73" s="68" t="s">
        <v>384</v>
      </c>
      <c r="B73" s="69"/>
      <c r="C73" s="69"/>
      <c r="D73" s="70">
        <v>50.284205184155816</v>
      </c>
      <c r="E73" s="72"/>
      <c r="F73" s="69"/>
      <c r="G73" s="69"/>
      <c r="H73" s="73" t="s">
        <v>384</v>
      </c>
      <c r="I73" s="74"/>
      <c r="J73" s="74"/>
      <c r="K73" s="73" t="s">
        <v>384</v>
      </c>
      <c r="L73" s="77">
        <v>2.612950396956393</v>
      </c>
      <c r="M73" s="78">
        <v>5424.08544921875</v>
      </c>
      <c r="N73" s="78">
        <v>7851.291015625</v>
      </c>
      <c r="O73" s="79"/>
      <c r="P73" s="80"/>
      <c r="Q73" s="80"/>
      <c r="R73" s="85"/>
      <c r="S73" s="49">
        <v>1</v>
      </c>
      <c r="T73" s="49">
        <v>1</v>
      </c>
      <c r="U73" s="50">
        <v>6</v>
      </c>
      <c r="V73" s="50">
        <v>0.000889</v>
      </c>
      <c r="W73" s="50">
        <v>0.000279</v>
      </c>
      <c r="X73" s="50">
        <v>0.804524</v>
      </c>
      <c r="Y73" s="50">
        <v>0</v>
      </c>
      <c r="Z73" s="50">
        <v>0</v>
      </c>
      <c r="AA73" s="75">
        <v>73</v>
      </c>
      <c r="AB73" s="75"/>
      <c r="AC73" s="76"/>
      <c r="AD73" s="82" t="s">
        <v>786</v>
      </c>
      <c r="AE73" s="99" t="str">
        <f>HYPERLINK("http://en.wikipedia.org/wiki/User:Briancarter73")</f>
        <v>http://en.wikipedia.org/wiki/User:Briancarter73</v>
      </c>
      <c r="AF73" s="82" t="s">
        <v>806</v>
      </c>
      <c r="AG73" s="82"/>
      <c r="AH73" s="82"/>
      <c r="AI73" s="82">
        <v>0</v>
      </c>
      <c r="AJ73" s="82">
        <v>2</v>
      </c>
      <c r="AK73" s="82"/>
      <c r="AL73" s="82" t="str">
        <f>REPLACE(INDEX(GroupVertices[Group],MATCH(Vertices[[#This Row],[Vertex]],GroupVertices[Vertex],0)),1,1,"")</f>
        <v>4</v>
      </c>
      <c r="AM73" s="49">
        <v>0</v>
      </c>
      <c r="AN73" s="50">
        <v>0</v>
      </c>
      <c r="AO73" s="49">
        <v>0</v>
      </c>
      <c r="AP73" s="50">
        <v>0</v>
      </c>
      <c r="AQ73" s="49">
        <v>0</v>
      </c>
      <c r="AR73" s="50">
        <v>0</v>
      </c>
      <c r="AS73" s="49">
        <v>7</v>
      </c>
      <c r="AT73" s="50">
        <v>100</v>
      </c>
      <c r="AU73" s="49">
        <v>7</v>
      </c>
      <c r="AV73" s="111" t="s">
        <v>1455</v>
      </c>
      <c r="AW73" s="111" t="s">
        <v>1455</v>
      </c>
      <c r="AX73" s="111" t="s">
        <v>1592</v>
      </c>
      <c r="AY73" s="111" t="s">
        <v>1592</v>
      </c>
      <c r="AZ73" s="2"/>
      <c r="BA73" s="3"/>
      <c r="BB73" s="3"/>
      <c r="BC73" s="3"/>
      <c r="BD73" s="3"/>
    </row>
    <row r="74" spans="1:56" ht="15">
      <c r="A74" s="68" t="s">
        <v>385</v>
      </c>
      <c r="B74" s="69"/>
      <c r="C74" s="69"/>
      <c r="D74" s="70">
        <v>51.65786357424227</v>
      </c>
      <c r="E74" s="72"/>
      <c r="F74" s="69"/>
      <c r="G74" s="69"/>
      <c r="H74" s="73" t="s">
        <v>385</v>
      </c>
      <c r="I74" s="74"/>
      <c r="J74" s="74"/>
      <c r="K74" s="73" t="s">
        <v>385</v>
      </c>
      <c r="L74" s="77">
        <v>10.40887731557896</v>
      </c>
      <c r="M74" s="78">
        <v>4460.81982421875</v>
      </c>
      <c r="N74" s="78">
        <v>9825.607421875</v>
      </c>
      <c r="O74" s="79"/>
      <c r="P74" s="80"/>
      <c r="Q74" s="80"/>
      <c r="R74" s="85"/>
      <c r="S74" s="49">
        <v>1</v>
      </c>
      <c r="T74" s="49">
        <v>1</v>
      </c>
      <c r="U74" s="50">
        <v>35</v>
      </c>
      <c r="V74" s="50">
        <v>0.000907</v>
      </c>
      <c r="W74" s="50">
        <v>0.000378</v>
      </c>
      <c r="X74" s="50">
        <v>0.804222</v>
      </c>
      <c r="Y74" s="50">
        <v>0</v>
      </c>
      <c r="Z74" s="50">
        <v>0</v>
      </c>
      <c r="AA74" s="75">
        <v>74</v>
      </c>
      <c r="AB74" s="75"/>
      <c r="AC74" s="76"/>
      <c r="AD74" s="82" t="s">
        <v>786</v>
      </c>
      <c r="AE74" s="99" t="str">
        <f>HYPERLINK("http://en.wikipedia.org/wiki/User:TwinsMetsFan")</f>
        <v>http://en.wikipedia.org/wiki/User:TwinsMetsFan</v>
      </c>
      <c r="AF74" s="82" t="s">
        <v>806</v>
      </c>
      <c r="AG74" s="82"/>
      <c r="AH74" s="82"/>
      <c r="AI74" s="82">
        <v>0.03305995</v>
      </c>
      <c r="AJ74" s="82">
        <v>500</v>
      </c>
      <c r="AK74" s="82"/>
      <c r="AL74" s="82" t="str">
        <f>REPLACE(INDEX(GroupVertices[Group],MATCH(Vertices[[#This Row],[Vertex]],GroupVertices[Vertex],0)),1,1,"")</f>
        <v>4</v>
      </c>
      <c r="AM74" s="49">
        <v>0</v>
      </c>
      <c r="AN74" s="50">
        <v>0</v>
      </c>
      <c r="AO74" s="49">
        <v>0</v>
      </c>
      <c r="AP74" s="50">
        <v>0</v>
      </c>
      <c r="AQ74" s="49">
        <v>0</v>
      </c>
      <c r="AR74" s="50">
        <v>0</v>
      </c>
      <c r="AS74" s="49">
        <v>13</v>
      </c>
      <c r="AT74" s="50">
        <v>100</v>
      </c>
      <c r="AU74" s="49">
        <v>13</v>
      </c>
      <c r="AV74" s="111" t="s">
        <v>1462</v>
      </c>
      <c r="AW74" s="111" t="s">
        <v>1462</v>
      </c>
      <c r="AX74" s="111" t="s">
        <v>1598</v>
      </c>
      <c r="AY74" s="111" t="s">
        <v>1598</v>
      </c>
      <c r="AZ74" s="2"/>
      <c r="BA74" s="3"/>
      <c r="BB74" s="3"/>
      <c r="BC74" s="3"/>
      <c r="BD74" s="3"/>
    </row>
    <row r="75" spans="1:56" ht="15">
      <c r="A75" s="68" t="s">
        <v>386</v>
      </c>
      <c r="B75" s="69"/>
      <c r="C75" s="69"/>
      <c r="D75" s="70">
        <v>70.32067066714094</v>
      </c>
      <c r="E75" s="72"/>
      <c r="F75" s="69"/>
      <c r="G75" s="69"/>
      <c r="H75" s="73" t="s">
        <v>386</v>
      </c>
      <c r="I75" s="74"/>
      <c r="J75" s="74"/>
      <c r="K75" s="73" t="s">
        <v>386</v>
      </c>
      <c r="L75" s="77">
        <v>116.32595338238211</v>
      </c>
      <c r="M75" s="78">
        <v>4374.2763671875</v>
      </c>
      <c r="N75" s="78">
        <v>6904.853515625</v>
      </c>
      <c r="O75" s="79"/>
      <c r="P75" s="80"/>
      <c r="Q75" s="80"/>
      <c r="R75" s="85"/>
      <c r="S75" s="49">
        <v>1</v>
      </c>
      <c r="T75" s="49">
        <v>1</v>
      </c>
      <c r="U75" s="50">
        <v>429</v>
      </c>
      <c r="V75" s="50">
        <v>0.001105</v>
      </c>
      <c r="W75" s="50">
        <v>0.00267</v>
      </c>
      <c r="X75" s="50">
        <v>0.734822</v>
      </c>
      <c r="Y75" s="50">
        <v>0</v>
      </c>
      <c r="Z75" s="50">
        <v>0</v>
      </c>
      <c r="AA75" s="75">
        <v>75</v>
      </c>
      <c r="AB75" s="75"/>
      <c r="AC75" s="76"/>
      <c r="AD75" s="82" t="s">
        <v>786</v>
      </c>
      <c r="AE75" s="99" t="str">
        <f>HYPERLINK("http://en.wikipedia.org/wiki/User:68.123.236.177")</f>
        <v>http://en.wikipedia.org/wiki/User:68.123.236.177</v>
      </c>
      <c r="AF75" s="82" t="s">
        <v>806</v>
      </c>
      <c r="AG75" s="82"/>
      <c r="AH75" s="82"/>
      <c r="AI75" s="82">
        <v>0</v>
      </c>
      <c r="AJ75" s="82">
        <v>1</v>
      </c>
      <c r="AK75" s="82"/>
      <c r="AL75" s="82" t="str">
        <f>REPLACE(INDEX(GroupVertices[Group],MATCH(Vertices[[#This Row],[Vertex]],GroupVertices[Vertex],0)),1,1,"")</f>
        <v>4</v>
      </c>
      <c r="AM75" s="49"/>
      <c r="AN75" s="50"/>
      <c r="AO75" s="49"/>
      <c r="AP75" s="50"/>
      <c r="AQ75" s="49"/>
      <c r="AR75" s="50"/>
      <c r="AS75" s="49"/>
      <c r="AT75" s="50"/>
      <c r="AU75" s="49"/>
      <c r="AV75" s="111" t="s">
        <v>1418</v>
      </c>
      <c r="AW75" s="111" t="s">
        <v>1418</v>
      </c>
      <c r="AX75" s="111" t="s">
        <v>1418</v>
      </c>
      <c r="AY75" s="111" t="s">
        <v>1418</v>
      </c>
      <c r="AZ75" s="2"/>
      <c r="BA75" s="3"/>
      <c r="BB75" s="3"/>
      <c r="BC75" s="3"/>
      <c r="BD75" s="3"/>
    </row>
    <row r="76" spans="1:56" ht="15">
      <c r="A76" s="68" t="s">
        <v>387</v>
      </c>
      <c r="B76" s="69"/>
      <c r="C76" s="69"/>
      <c r="D76" s="70">
        <v>54.93502000562922</v>
      </c>
      <c r="E76" s="72"/>
      <c r="F76" s="69"/>
      <c r="G76" s="69"/>
      <c r="H76" s="73" t="s">
        <v>387</v>
      </c>
      <c r="I76" s="74"/>
      <c r="J76" s="74"/>
      <c r="K76" s="73" t="s">
        <v>387</v>
      </c>
      <c r="L76" s="77">
        <v>29.00773145891421</v>
      </c>
      <c r="M76" s="78">
        <v>4956.64501953125</v>
      </c>
      <c r="N76" s="78">
        <v>6760.41845703125</v>
      </c>
      <c r="O76" s="79"/>
      <c r="P76" s="80"/>
      <c r="Q76" s="80"/>
      <c r="R76" s="85"/>
      <c r="S76" s="49">
        <v>1</v>
      </c>
      <c r="T76" s="49">
        <v>1</v>
      </c>
      <c r="U76" s="50">
        <v>104.185714</v>
      </c>
      <c r="V76" s="50">
        <v>0.001105</v>
      </c>
      <c r="W76" s="50">
        <v>0.002851</v>
      </c>
      <c r="X76" s="50">
        <v>0.645798</v>
      </c>
      <c r="Y76" s="50">
        <v>0</v>
      </c>
      <c r="Z76" s="50">
        <v>0</v>
      </c>
      <c r="AA76" s="75">
        <v>76</v>
      </c>
      <c r="AB76" s="75"/>
      <c r="AC76" s="76"/>
      <c r="AD76" s="82" t="s">
        <v>786</v>
      </c>
      <c r="AE76" s="99" t="str">
        <f>HYPERLINK("http://en.wikipedia.org/wiki/User:Jenks27")</f>
        <v>http://en.wikipedia.org/wiki/User:Jenks27</v>
      </c>
      <c r="AF76" s="82" t="s">
        <v>806</v>
      </c>
      <c r="AG76" s="82"/>
      <c r="AH76" s="82"/>
      <c r="AI76" s="82">
        <v>0.7407407</v>
      </c>
      <c r="AJ76" s="82">
        <v>108</v>
      </c>
      <c r="AK76" s="82"/>
      <c r="AL76" s="82" t="str">
        <f>REPLACE(INDEX(GroupVertices[Group],MATCH(Vertices[[#This Row],[Vertex]],GroupVertices[Vertex],0)),1,1,"")</f>
        <v>4</v>
      </c>
      <c r="AM76" s="49">
        <v>0</v>
      </c>
      <c r="AN76" s="50">
        <v>0</v>
      </c>
      <c r="AO76" s="49">
        <v>0</v>
      </c>
      <c r="AP76" s="50">
        <v>0</v>
      </c>
      <c r="AQ76" s="49">
        <v>0</v>
      </c>
      <c r="AR76" s="50">
        <v>0</v>
      </c>
      <c r="AS76" s="49">
        <v>2</v>
      </c>
      <c r="AT76" s="50">
        <v>100</v>
      </c>
      <c r="AU76" s="49">
        <v>2</v>
      </c>
      <c r="AV76" s="111" t="s">
        <v>854</v>
      </c>
      <c r="AW76" s="111" t="s">
        <v>854</v>
      </c>
      <c r="AX76" s="111" t="s">
        <v>1418</v>
      </c>
      <c r="AY76" s="111" t="s">
        <v>1418</v>
      </c>
      <c r="AZ76" s="2"/>
      <c r="BA76" s="3"/>
      <c r="BB76" s="3"/>
      <c r="BC76" s="3"/>
      <c r="BD76" s="3"/>
    </row>
    <row r="77" spans="1:56" ht="15">
      <c r="A77" s="68" t="s">
        <v>388</v>
      </c>
      <c r="B77" s="69"/>
      <c r="C77" s="69"/>
      <c r="D77" s="70">
        <v>52.93227571405534</v>
      </c>
      <c r="E77" s="72"/>
      <c r="F77" s="69"/>
      <c r="G77" s="69"/>
      <c r="H77" s="73" t="s">
        <v>388</v>
      </c>
      <c r="I77" s="74"/>
      <c r="J77" s="74"/>
      <c r="K77" s="73" t="s">
        <v>388</v>
      </c>
      <c r="L77" s="77">
        <v>17.64155174023184</v>
      </c>
      <c r="M77" s="78">
        <v>5383.16650390625</v>
      </c>
      <c r="N77" s="78">
        <v>8857.0146484375</v>
      </c>
      <c r="O77" s="79"/>
      <c r="P77" s="80"/>
      <c r="Q77" s="80"/>
      <c r="R77" s="85"/>
      <c r="S77" s="49">
        <v>3</v>
      </c>
      <c r="T77" s="49">
        <v>3</v>
      </c>
      <c r="U77" s="50">
        <v>61.904762</v>
      </c>
      <c r="V77" s="50">
        <v>0.00093</v>
      </c>
      <c r="W77" s="50">
        <v>0.001792</v>
      </c>
      <c r="X77" s="50">
        <v>1.486885</v>
      </c>
      <c r="Y77" s="50">
        <v>0</v>
      </c>
      <c r="Z77" s="50">
        <v>0</v>
      </c>
      <c r="AA77" s="75">
        <v>77</v>
      </c>
      <c r="AB77" s="75"/>
      <c r="AC77" s="76"/>
      <c r="AD77" s="82" t="s">
        <v>786</v>
      </c>
      <c r="AE77" s="99" t="str">
        <f>HYPERLINK("http://en.wikipedia.org/wiki/User:Zalunardo8")</f>
        <v>http://en.wikipedia.org/wiki/User:Zalunardo8</v>
      </c>
      <c r="AF77" s="82" t="s">
        <v>806</v>
      </c>
      <c r="AG77" s="82"/>
      <c r="AH77" s="82"/>
      <c r="AI77" s="82">
        <v>0.3543985</v>
      </c>
      <c r="AJ77" s="82">
        <v>337</v>
      </c>
      <c r="AK77" s="82"/>
      <c r="AL77" s="82" t="str">
        <f>REPLACE(INDEX(GroupVertices[Group],MATCH(Vertices[[#This Row],[Vertex]],GroupVertices[Vertex],0)),1,1,"")</f>
        <v>4</v>
      </c>
      <c r="AM77" s="49">
        <v>0</v>
      </c>
      <c r="AN77" s="50">
        <v>0</v>
      </c>
      <c r="AO77" s="49">
        <v>0</v>
      </c>
      <c r="AP77" s="50">
        <v>0</v>
      </c>
      <c r="AQ77" s="49">
        <v>0</v>
      </c>
      <c r="AR77" s="50">
        <v>0</v>
      </c>
      <c r="AS77" s="49">
        <v>2</v>
      </c>
      <c r="AT77" s="50">
        <v>100</v>
      </c>
      <c r="AU77" s="49">
        <v>2</v>
      </c>
      <c r="AV77" s="111" t="s">
        <v>854</v>
      </c>
      <c r="AW77" s="111" t="s">
        <v>854</v>
      </c>
      <c r="AX77" s="111" t="s">
        <v>1418</v>
      </c>
      <c r="AY77" s="111" t="s">
        <v>1418</v>
      </c>
      <c r="AZ77" s="2"/>
      <c r="BA77" s="3"/>
      <c r="BB77" s="3"/>
      <c r="BC77" s="3"/>
      <c r="BD77" s="3"/>
    </row>
    <row r="78" spans="1:56" ht="15">
      <c r="A78" s="68" t="s">
        <v>389</v>
      </c>
      <c r="B78" s="69"/>
      <c r="C78" s="69"/>
      <c r="D78" s="70">
        <v>50.189470122770544</v>
      </c>
      <c r="E78" s="72"/>
      <c r="F78" s="69"/>
      <c r="G78" s="69"/>
      <c r="H78" s="73" t="s">
        <v>389</v>
      </c>
      <c r="I78" s="74"/>
      <c r="J78" s="74"/>
      <c r="K78" s="73" t="s">
        <v>389</v>
      </c>
      <c r="L78" s="77">
        <v>2.0753002646375958</v>
      </c>
      <c r="M78" s="78">
        <v>5196.88232421875</v>
      </c>
      <c r="N78" s="78">
        <v>8657.734375</v>
      </c>
      <c r="O78" s="79"/>
      <c r="P78" s="80"/>
      <c r="Q78" s="80"/>
      <c r="R78" s="85"/>
      <c r="S78" s="49">
        <v>1</v>
      </c>
      <c r="T78" s="49">
        <v>1</v>
      </c>
      <c r="U78" s="50">
        <v>4</v>
      </c>
      <c r="V78" s="50">
        <v>0.000916</v>
      </c>
      <c r="W78" s="50">
        <v>0.000576</v>
      </c>
      <c r="X78" s="50">
        <v>0.695417</v>
      </c>
      <c r="Y78" s="50">
        <v>0</v>
      </c>
      <c r="Z78" s="50">
        <v>0</v>
      </c>
      <c r="AA78" s="75">
        <v>78</v>
      </c>
      <c r="AB78" s="75"/>
      <c r="AC78" s="76"/>
      <c r="AD78" s="82" t="s">
        <v>786</v>
      </c>
      <c r="AE78" s="99" t="str">
        <f>HYPERLINK("http://en.wikipedia.org/wiki/User:Geniac")</f>
        <v>http://en.wikipedia.org/wiki/User:Geniac</v>
      </c>
      <c r="AF78" s="82" t="s">
        <v>806</v>
      </c>
      <c r="AG78" s="82"/>
      <c r="AH78" s="82"/>
      <c r="AI78" s="82">
        <v>0.0482105</v>
      </c>
      <c r="AJ78" s="82">
        <v>500</v>
      </c>
      <c r="AK78" s="82"/>
      <c r="AL78" s="82" t="str">
        <f>REPLACE(INDEX(GroupVertices[Group],MATCH(Vertices[[#This Row],[Vertex]],GroupVertices[Vertex],0)),1,1,"")</f>
        <v>4</v>
      </c>
      <c r="AM78" s="49">
        <v>0</v>
      </c>
      <c r="AN78" s="50">
        <v>0</v>
      </c>
      <c r="AO78" s="49">
        <v>2</v>
      </c>
      <c r="AP78" s="50">
        <v>12.5</v>
      </c>
      <c r="AQ78" s="49">
        <v>0</v>
      </c>
      <c r="AR78" s="50">
        <v>0</v>
      </c>
      <c r="AS78" s="49">
        <v>14</v>
      </c>
      <c r="AT78" s="50">
        <v>87.5</v>
      </c>
      <c r="AU78" s="49">
        <v>16</v>
      </c>
      <c r="AV78" s="111" t="s">
        <v>1463</v>
      </c>
      <c r="AW78" s="111" t="s">
        <v>1463</v>
      </c>
      <c r="AX78" s="111" t="s">
        <v>1599</v>
      </c>
      <c r="AY78" s="111" t="s">
        <v>1599</v>
      </c>
      <c r="AZ78" s="2"/>
      <c r="BA78" s="3"/>
      <c r="BB78" s="3"/>
      <c r="BC78" s="3"/>
      <c r="BD78" s="3"/>
    </row>
    <row r="79" spans="1:56" ht="15">
      <c r="A79" s="68" t="s">
        <v>390</v>
      </c>
      <c r="B79" s="69"/>
      <c r="C79" s="69"/>
      <c r="D79" s="70">
        <v>67.57335388696805</v>
      </c>
      <c r="E79" s="72"/>
      <c r="F79" s="69"/>
      <c r="G79" s="69"/>
      <c r="H79" s="73" t="s">
        <v>390</v>
      </c>
      <c r="I79" s="74"/>
      <c r="J79" s="74"/>
      <c r="K79" s="73" t="s">
        <v>390</v>
      </c>
      <c r="L79" s="77">
        <v>100.73409954513698</v>
      </c>
      <c r="M79" s="78">
        <v>4762.3701171875</v>
      </c>
      <c r="N79" s="78">
        <v>9614.728515625</v>
      </c>
      <c r="O79" s="79"/>
      <c r="P79" s="80"/>
      <c r="Q79" s="80"/>
      <c r="R79" s="85"/>
      <c r="S79" s="49">
        <v>1</v>
      </c>
      <c r="T79" s="49">
        <v>1</v>
      </c>
      <c r="U79" s="50">
        <v>371</v>
      </c>
      <c r="V79" s="50">
        <v>0.001104</v>
      </c>
      <c r="W79" s="50">
        <v>0.002695</v>
      </c>
      <c r="X79" s="50">
        <v>0.68858</v>
      </c>
      <c r="Y79" s="50">
        <v>0</v>
      </c>
      <c r="Z79" s="50">
        <v>0</v>
      </c>
      <c r="AA79" s="75">
        <v>79</v>
      </c>
      <c r="AB79" s="75"/>
      <c r="AC79" s="76"/>
      <c r="AD79" s="82" t="s">
        <v>786</v>
      </c>
      <c r="AE79" s="99" t="str">
        <f>HYPERLINK("http://en.wikipedia.org/wiki/User:146.141.1.92")</f>
        <v>http://en.wikipedia.org/wiki/User:146.141.1.92</v>
      </c>
      <c r="AF79" s="82" t="s">
        <v>806</v>
      </c>
      <c r="AG79" s="82"/>
      <c r="AH79" s="82"/>
      <c r="AI79" s="82">
        <v>0.2576905</v>
      </c>
      <c r="AJ79" s="82">
        <v>267</v>
      </c>
      <c r="AK79" s="82"/>
      <c r="AL79" s="82" t="str">
        <f>REPLACE(INDEX(GroupVertices[Group],MATCH(Vertices[[#This Row],[Vertex]],GroupVertices[Vertex],0)),1,1,"")</f>
        <v>4</v>
      </c>
      <c r="AM79" s="49">
        <v>0</v>
      </c>
      <c r="AN79" s="50">
        <v>0</v>
      </c>
      <c r="AO79" s="49">
        <v>0</v>
      </c>
      <c r="AP79" s="50">
        <v>0</v>
      </c>
      <c r="AQ79" s="49">
        <v>0</v>
      </c>
      <c r="AR79" s="50">
        <v>0</v>
      </c>
      <c r="AS79" s="49">
        <v>5</v>
      </c>
      <c r="AT79" s="50">
        <v>100</v>
      </c>
      <c r="AU79" s="49">
        <v>5</v>
      </c>
      <c r="AV79" s="111" t="s">
        <v>1464</v>
      </c>
      <c r="AW79" s="111" t="s">
        <v>1464</v>
      </c>
      <c r="AX79" s="111" t="s">
        <v>1600</v>
      </c>
      <c r="AY79" s="111" t="s">
        <v>1600</v>
      </c>
      <c r="AZ79" s="2"/>
      <c r="BA79" s="3"/>
      <c r="BB79" s="3"/>
      <c r="BC79" s="3"/>
      <c r="BD79" s="3"/>
    </row>
    <row r="80" spans="1:56" ht="15">
      <c r="A80" s="68" t="s">
        <v>391</v>
      </c>
      <c r="B80" s="69"/>
      <c r="C80" s="69"/>
      <c r="D80" s="70">
        <v>54.93502000562922</v>
      </c>
      <c r="E80" s="72"/>
      <c r="F80" s="69"/>
      <c r="G80" s="69"/>
      <c r="H80" s="73" t="s">
        <v>391</v>
      </c>
      <c r="I80" s="74"/>
      <c r="J80" s="74"/>
      <c r="K80" s="73" t="s">
        <v>391</v>
      </c>
      <c r="L80" s="77">
        <v>29.00773145891421</v>
      </c>
      <c r="M80" s="78">
        <v>3470.43798828125</v>
      </c>
      <c r="N80" s="78">
        <v>8871.3623046875</v>
      </c>
      <c r="O80" s="79"/>
      <c r="P80" s="80"/>
      <c r="Q80" s="80"/>
      <c r="R80" s="85"/>
      <c r="S80" s="49">
        <v>1</v>
      </c>
      <c r="T80" s="49">
        <v>1</v>
      </c>
      <c r="U80" s="50">
        <v>104.185714</v>
      </c>
      <c r="V80" s="50">
        <v>0.001105</v>
      </c>
      <c r="W80" s="50">
        <v>0.002851</v>
      </c>
      <c r="X80" s="50">
        <v>0.645798</v>
      </c>
      <c r="Y80" s="50">
        <v>0</v>
      </c>
      <c r="Z80" s="50">
        <v>0</v>
      </c>
      <c r="AA80" s="75">
        <v>80</v>
      </c>
      <c r="AB80" s="75"/>
      <c r="AC80" s="76"/>
      <c r="AD80" s="82" t="s">
        <v>786</v>
      </c>
      <c r="AE80" s="99" t="str">
        <f>HYPERLINK("http://en.wikipedia.org/wiki/User:Jduden")</f>
        <v>http://en.wikipedia.org/wiki/User:Jduden</v>
      </c>
      <c r="AF80" s="82" t="s">
        <v>806</v>
      </c>
      <c r="AG80" s="82"/>
      <c r="AH80" s="82"/>
      <c r="AI80" s="82">
        <v>0.7132435</v>
      </c>
      <c r="AJ80" s="82">
        <v>99</v>
      </c>
      <c r="AK80" s="82"/>
      <c r="AL80" s="82" t="str">
        <f>REPLACE(INDEX(GroupVertices[Group],MATCH(Vertices[[#This Row],[Vertex]],GroupVertices[Vertex],0)),1,1,"")</f>
        <v>4</v>
      </c>
      <c r="AM80" s="49">
        <v>0</v>
      </c>
      <c r="AN80" s="50">
        <v>0</v>
      </c>
      <c r="AO80" s="49">
        <v>0</v>
      </c>
      <c r="AP80" s="50">
        <v>0</v>
      </c>
      <c r="AQ80" s="49">
        <v>0</v>
      </c>
      <c r="AR80" s="50">
        <v>0</v>
      </c>
      <c r="AS80" s="49">
        <v>5</v>
      </c>
      <c r="AT80" s="50">
        <v>100</v>
      </c>
      <c r="AU80" s="49">
        <v>5</v>
      </c>
      <c r="AV80" s="111" t="s">
        <v>1038</v>
      </c>
      <c r="AW80" s="111" t="s">
        <v>1038</v>
      </c>
      <c r="AX80" s="111" t="s">
        <v>1418</v>
      </c>
      <c r="AY80" s="111" t="s">
        <v>1418</v>
      </c>
      <c r="AZ80" s="2"/>
      <c r="BA80" s="3"/>
      <c r="BB80" s="3"/>
      <c r="BC80" s="3"/>
      <c r="BD80" s="3"/>
    </row>
    <row r="81" spans="1:56" ht="15">
      <c r="A81" s="68" t="s">
        <v>392</v>
      </c>
      <c r="B81" s="69"/>
      <c r="C81" s="69"/>
      <c r="D81" s="70">
        <v>50.64510067414449</v>
      </c>
      <c r="E81" s="72"/>
      <c r="F81" s="69"/>
      <c r="G81" s="69"/>
      <c r="H81" s="73" t="s">
        <v>392</v>
      </c>
      <c r="I81" s="74"/>
      <c r="J81" s="74"/>
      <c r="K81" s="73" t="s">
        <v>392</v>
      </c>
      <c r="L81" s="77">
        <v>4.661141479628029</v>
      </c>
      <c r="M81" s="78">
        <v>3212.62744140625</v>
      </c>
      <c r="N81" s="78">
        <v>7442.40673828125</v>
      </c>
      <c r="O81" s="79"/>
      <c r="P81" s="80"/>
      <c r="Q81" s="80"/>
      <c r="R81" s="85"/>
      <c r="S81" s="49">
        <v>1</v>
      </c>
      <c r="T81" s="49">
        <v>1</v>
      </c>
      <c r="U81" s="50">
        <v>13.619048</v>
      </c>
      <c r="V81" s="50">
        <v>0.000926</v>
      </c>
      <c r="W81" s="50">
        <v>0.001165</v>
      </c>
      <c r="X81" s="50">
        <v>0.655087</v>
      </c>
      <c r="Y81" s="50">
        <v>0</v>
      </c>
      <c r="Z81" s="50">
        <v>0</v>
      </c>
      <c r="AA81" s="75">
        <v>81</v>
      </c>
      <c r="AB81" s="75"/>
      <c r="AC81" s="76"/>
      <c r="AD81" s="82" t="s">
        <v>786</v>
      </c>
      <c r="AE81" s="99" t="str">
        <f>HYPERLINK("http://en.wikipedia.org/wiki/User:Trivialist")</f>
        <v>http://en.wikipedia.org/wiki/User:Trivialist</v>
      </c>
      <c r="AF81" s="82" t="s">
        <v>806</v>
      </c>
      <c r="AG81" s="82"/>
      <c r="AH81" s="82"/>
      <c r="AI81" s="82">
        <v>0.1204054</v>
      </c>
      <c r="AJ81" s="82">
        <v>500</v>
      </c>
      <c r="AK81" s="82"/>
      <c r="AL81" s="82" t="str">
        <f>REPLACE(INDEX(GroupVertices[Group],MATCH(Vertices[[#This Row],[Vertex]],GroupVertices[Vertex],0)),1,1,"")</f>
        <v>4</v>
      </c>
      <c r="AM81" s="49"/>
      <c r="AN81" s="50"/>
      <c r="AO81" s="49"/>
      <c r="AP81" s="50"/>
      <c r="AQ81" s="49"/>
      <c r="AR81" s="50"/>
      <c r="AS81" s="49"/>
      <c r="AT81" s="50"/>
      <c r="AU81" s="49"/>
      <c r="AV81" s="111" t="s">
        <v>1418</v>
      </c>
      <c r="AW81" s="111" t="s">
        <v>1418</v>
      </c>
      <c r="AX81" s="111" t="s">
        <v>1418</v>
      </c>
      <c r="AY81" s="111" t="s">
        <v>1418</v>
      </c>
      <c r="AZ81" s="2"/>
      <c r="BA81" s="3"/>
      <c r="BB81" s="3"/>
      <c r="BC81" s="3"/>
      <c r="BD81" s="3"/>
    </row>
    <row r="82" spans="1:56" ht="15">
      <c r="A82" s="68" t="s">
        <v>393</v>
      </c>
      <c r="B82" s="69"/>
      <c r="C82" s="69"/>
      <c r="D82" s="70">
        <v>57.33181705867661</v>
      </c>
      <c r="E82" s="72"/>
      <c r="F82" s="69"/>
      <c r="G82" s="69"/>
      <c r="H82" s="73" t="s">
        <v>393</v>
      </c>
      <c r="I82" s="74"/>
      <c r="J82" s="74"/>
      <c r="K82" s="73" t="s">
        <v>393</v>
      </c>
      <c r="L82" s="77">
        <v>42.6102798065798</v>
      </c>
      <c r="M82" s="78">
        <v>4512.1376953125</v>
      </c>
      <c r="N82" s="78">
        <v>7670.54541015625</v>
      </c>
      <c r="O82" s="79"/>
      <c r="P82" s="80"/>
      <c r="Q82" s="80"/>
      <c r="R82" s="85"/>
      <c r="S82" s="49">
        <v>2</v>
      </c>
      <c r="T82" s="49">
        <v>2</v>
      </c>
      <c r="U82" s="50">
        <v>154.785714</v>
      </c>
      <c r="V82" s="50">
        <v>0.001104</v>
      </c>
      <c r="W82" s="50">
        <v>0.003179</v>
      </c>
      <c r="X82" s="50">
        <v>0.936893</v>
      </c>
      <c r="Y82" s="50">
        <v>0</v>
      </c>
      <c r="Z82" s="50">
        <v>0</v>
      </c>
      <c r="AA82" s="75">
        <v>82</v>
      </c>
      <c r="AB82" s="75"/>
      <c r="AC82" s="76"/>
      <c r="AD82" s="82" t="s">
        <v>786</v>
      </c>
      <c r="AE82" s="99" t="str">
        <f>HYPERLINK("http://en.wikipedia.org/wiki/User:210.23.25.13")</f>
        <v>http://en.wikipedia.org/wiki/User:210.23.25.13</v>
      </c>
      <c r="AF82" s="82" t="s">
        <v>806</v>
      </c>
      <c r="AG82" s="82"/>
      <c r="AH82" s="82"/>
      <c r="AI82" s="82">
        <v>0.2285714</v>
      </c>
      <c r="AJ82" s="82">
        <v>7</v>
      </c>
      <c r="AK82" s="82"/>
      <c r="AL82" s="82" t="str">
        <f>REPLACE(INDEX(GroupVertices[Group],MATCH(Vertices[[#This Row],[Vertex]],GroupVertices[Vertex],0)),1,1,"")</f>
        <v>4</v>
      </c>
      <c r="AM82" s="49"/>
      <c r="AN82" s="50"/>
      <c r="AO82" s="49"/>
      <c r="AP82" s="50"/>
      <c r="AQ82" s="49"/>
      <c r="AR82" s="50"/>
      <c r="AS82" s="49"/>
      <c r="AT82" s="50"/>
      <c r="AU82" s="49"/>
      <c r="AV82" s="111" t="s">
        <v>1418</v>
      </c>
      <c r="AW82" s="111" t="s">
        <v>1418</v>
      </c>
      <c r="AX82" s="111" t="s">
        <v>1418</v>
      </c>
      <c r="AY82" s="111" t="s">
        <v>1418</v>
      </c>
      <c r="AZ82" s="2"/>
      <c r="BA82" s="3"/>
      <c r="BB82" s="3"/>
      <c r="BC82" s="3"/>
      <c r="BD82" s="3"/>
    </row>
    <row r="83" spans="1:56" ht="15">
      <c r="A83" s="68" t="s">
        <v>394</v>
      </c>
      <c r="B83" s="69"/>
      <c r="C83" s="69"/>
      <c r="D83" s="70">
        <v>59.7306441419869</v>
      </c>
      <c r="E83" s="72"/>
      <c r="F83" s="69"/>
      <c r="G83" s="69"/>
      <c r="H83" s="73" t="s">
        <v>394</v>
      </c>
      <c r="I83" s="74"/>
      <c r="J83" s="74"/>
      <c r="K83" s="73" t="s">
        <v>394</v>
      </c>
      <c r="L83" s="77">
        <v>56.22434919010577</v>
      </c>
      <c r="M83" s="78">
        <v>3297.517578125</v>
      </c>
      <c r="N83" s="78">
        <v>6661.18408203125</v>
      </c>
      <c r="O83" s="79"/>
      <c r="P83" s="80"/>
      <c r="Q83" s="80"/>
      <c r="R83" s="85"/>
      <c r="S83" s="49">
        <v>2</v>
      </c>
      <c r="T83" s="49">
        <v>2</v>
      </c>
      <c r="U83" s="50">
        <v>205.428571</v>
      </c>
      <c r="V83" s="50">
        <v>0.00111</v>
      </c>
      <c r="W83" s="50">
        <v>0.003107</v>
      </c>
      <c r="X83" s="50">
        <v>0.955943</v>
      </c>
      <c r="Y83" s="50">
        <v>0</v>
      </c>
      <c r="Z83" s="50">
        <v>0</v>
      </c>
      <c r="AA83" s="75">
        <v>83</v>
      </c>
      <c r="AB83" s="75"/>
      <c r="AC83" s="76"/>
      <c r="AD83" s="82" t="s">
        <v>786</v>
      </c>
      <c r="AE83" s="99" t="str">
        <f>HYPERLINK("http://en.wikipedia.org/wiki/User:Clhenderson99")</f>
        <v>http://en.wikipedia.org/wiki/User:Clhenderson99</v>
      </c>
      <c r="AF83" s="82" t="s">
        <v>806</v>
      </c>
      <c r="AG83" s="82"/>
      <c r="AH83" s="82"/>
      <c r="AI83" s="82">
        <v>0.3602484</v>
      </c>
      <c r="AJ83" s="82">
        <v>23</v>
      </c>
      <c r="AK83" s="82"/>
      <c r="AL83" s="82" t="str">
        <f>REPLACE(INDEX(GroupVertices[Group],MATCH(Vertices[[#This Row],[Vertex]],GroupVertices[Vertex],0)),1,1,"")</f>
        <v>4</v>
      </c>
      <c r="AM83" s="49">
        <v>0</v>
      </c>
      <c r="AN83" s="50">
        <v>0</v>
      </c>
      <c r="AO83" s="49">
        <v>0</v>
      </c>
      <c r="AP83" s="50">
        <v>0</v>
      </c>
      <c r="AQ83" s="49">
        <v>0</v>
      </c>
      <c r="AR83" s="50">
        <v>0</v>
      </c>
      <c r="AS83" s="49">
        <v>14</v>
      </c>
      <c r="AT83" s="50">
        <v>100</v>
      </c>
      <c r="AU83" s="49">
        <v>14</v>
      </c>
      <c r="AV83" s="111" t="s">
        <v>1465</v>
      </c>
      <c r="AW83" s="111" t="s">
        <v>1465</v>
      </c>
      <c r="AX83" s="111" t="s">
        <v>1601</v>
      </c>
      <c r="AY83" s="111" t="s">
        <v>1601</v>
      </c>
      <c r="AZ83" s="2"/>
      <c r="BA83" s="3"/>
      <c r="BB83" s="3"/>
      <c r="BC83" s="3"/>
      <c r="BD83" s="3"/>
    </row>
    <row r="84" spans="1:56" ht="15">
      <c r="A84" s="68" t="s">
        <v>395</v>
      </c>
      <c r="B84" s="69"/>
      <c r="C84" s="69"/>
      <c r="D84" s="70">
        <v>50.89998308316009</v>
      </c>
      <c r="E84" s="72"/>
      <c r="F84" s="69"/>
      <c r="G84" s="69"/>
      <c r="H84" s="73" t="s">
        <v>395</v>
      </c>
      <c r="I84" s="74"/>
      <c r="J84" s="74"/>
      <c r="K84" s="73" t="s">
        <v>395</v>
      </c>
      <c r="L84" s="77">
        <v>6.1076762570285785</v>
      </c>
      <c r="M84" s="78">
        <v>2696.12060546875</v>
      </c>
      <c r="N84" s="78">
        <v>8764.7373046875</v>
      </c>
      <c r="O84" s="79"/>
      <c r="P84" s="80"/>
      <c r="Q84" s="80"/>
      <c r="R84" s="85"/>
      <c r="S84" s="49">
        <v>1</v>
      </c>
      <c r="T84" s="49">
        <v>1</v>
      </c>
      <c r="U84" s="50">
        <v>19</v>
      </c>
      <c r="V84" s="50">
        <v>0.000929</v>
      </c>
      <c r="W84" s="50">
        <v>0.000679</v>
      </c>
      <c r="X84" s="50">
        <v>0.687212</v>
      </c>
      <c r="Y84" s="50">
        <v>0</v>
      </c>
      <c r="Z84" s="50">
        <v>0</v>
      </c>
      <c r="AA84" s="75">
        <v>84</v>
      </c>
      <c r="AB84" s="75"/>
      <c r="AC84" s="76"/>
      <c r="AD84" s="82" t="s">
        <v>786</v>
      </c>
      <c r="AE84" s="99" t="str">
        <f>HYPERLINK("http://en.wikipedia.org/wiki/User:5.150.102.31")</f>
        <v>http://en.wikipedia.org/wiki/User:5.150.102.31</v>
      </c>
      <c r="AF84" s="82" t="s">
        <v>806</v>
      </c>
      <c r="AG84" s="82"/>
      <c r="AH84" s="82"/>
      <c r="AI84" s="82">
        <v>0.3111111</v>
      </c>
      <c r="AJ84" s="82">
        <v>9</v>
      </c>
      <c r="AK84" s="82"/>
      <c r="AL84" s="82" t="str">
        <f>REPLACE(INDEX(GroupVertices[Group],MATCH(Vertices[[#This Row],[Vertex]],GroupVertices[Vertex],0)),1,1,"")</f>
        <v>4</v>
      </c>
      <c r="AM84" s="49"/>
      <c r="AN84" s="50"/>
      <c r="AO84" s="49"/>
      <c r="AP84" s="50"/>
      <c r="AQ84" s="49"/>
      <c r="AR84" s="50"/>
      <c r="AS84" s="49"/>
      <c r="AT84" s="50"/>
      <c r="AU84" s="49"/>
      <c r="AV84" s="111" t="s">
        <v>1418</v>
      </c>
      <c r="AW84" s="111" t="s">
        <v>1418</v>
      </c>
      <c r="AX84" s="111" t="s">
        <v>1418</v>
      </c>
      <c r="AY84" s="111" t="s">
        <v>1418</v>
      </c>
      <c r="AZ84" s="2"/>
      <c r="BA84" s="3"/>
      <c r="BB84" s="3"/>
      <c r="BC84" s="3"/>
      <c r="BD84" s="3"/>
    </row>
    <row r="85" spans="1:56" ht="15">
      <c r="A85" s="68" t="s">
        <v>396</v>
      </c>
      <c r="B85" s="69"/>
      <c r="C85" s="69"/>
      <c r="D85" s="70">
        <v>83.48849562203546</v>
      </c>
      <c r="E85" s="72"/>
      <c r="F85" s="69"/>
      <c r="G85" s="69"/>
      <c r="H85" s="73" t="s">
        <v>396</v>
      </c>
      <c r="I85" s="74"/>
      <c r="J85" s="74"/>
      <c r="K85" s="73" t="s">
        <v>396</v>
      </c>
      <c r="L85" s="77">
        <v>191.05734349103315</v>
      </c>
      <c r="M85" s="78">
        <v>3377.152099609375</v>
      </c>
      <c r="N85" s="78">
        <v>7712.04052734375</v>
      </c>
      <c r="O85" s="79"/>
      <c r="P85" s="80"/>
      <c r="Q85" s="80"/>
      <c r="R85" s="85"/>
      <c r="S85" s="49">
        <v>2</v>
      </c>
      <c r="T85" s="49">
        <v>2</v>
      </c>
      <c r="U85" s="50">
        <v>706.992641</v>
      </c>
      <c r="V85" s="50">
        <v>0.001117</v>
      </c>
      <c r="W85" s="50">
        <v>0.002187</v>
      </c>
      <c r="X85" s="50">
        <v>1.253466</v>
      </c>
      <c r="Y85" s="50">
        <v>0</v>
      </c>
      <c r="Z85" s="50">
        <v>0</v>
      </c>
      <c r="AA85" s="75">
        <v>85</v>
      </c>
      <c r="AB85" s="75"/>
      <c r="AC85" s="76"/>
      <c r="AD85" s="82" t="s">
        <v>786</v>
      </c>
      <c r="AE85" s="99" t="str">
        <f>HYPERLINK("http://en.wikipedia.org/wiki/User:ElKevbo")</f>
        <v>http://en.wikipedia.org/wiki/User:ElKevbo</v>
      </c>
      <c r="AF85" s="82" t="s">
        <v>806</v>
      </c>
      <c r="AG85" s="82"/>
      <c r="AH85" s="82"/>
      <c r="AI85" s="82">
        <v>0.3637344</v>
      </c>
      <c r="AJ85" s="82">
        <v>500</v>
      </c>
      <c r="AK85" s="82"/>
      <c r="AL85" s="82" t="str">
        <f>REPLACE(INDEX(GroupVertices[Group],MATCH(Vertices[[#This Row],[Vertex]],GroupVertices[Vertex],0)),1,1,"")</f>
        <v>4</v>
      </c>
      <c r="AM85" s="49">
        <v>0</v>
      </c>
      <c r="AN85" s="50">
        <v>0</v>
      </c>
      <c r="AO85" s="49">
        <v>1</v>
      </c>
      <c r="AP85" s="50">
        <v>3.8461538461538463</v>
      </c>
      <c r="AQ85" s="49">
        <v>0</v>
      </c>
      <c r="AR85" s="50">
        <v>0</v>
      </c>
      <c r="AS85" s="49">
        <v>25</v>
      </c>
      <c r="AT85" s="50">
        <v>96.15384615384616</v>
      </c>
      <c r="AU85" s="49">
        <v>26</v>
      </c>
      <c r="AV85" s="111" t="s">
        <v>1466</v>
      </c>
      <c r="AW85" s="111" t="s">
        <v>1466</v>
      </c>
      <c r="AX85" s="111" t="s">
        <v>1602</v>
      </c>
      <c r="AY85" s="111" t="s">
        <v>1602</v>
      </c>
      <c r="AZ85" s="2"/>
      <c r="BA85" s="3"/>
      <c r="BB85" s="3"/>
      <c r="BC85" s="3"/>
      <c r="BD85" s="3"/>
    </row>
    <row r="86" spans="1:56" ht="15">
      <c r="A86" s="68" t="s">
        <v>397</v>
      </c>
      <c r="B86" s="69"/>
      <c r="C86" s="69"/>
      <c r="D86" s="70">
        <v>57.02546603816101</v>
      </c>
      <c r="E86" s="72"/>
      <c r="F86" s="69"/>
      <c r="G86" s="69"/>
      <c r="H86" s="73" t="s">
        <v>397</v>
      </c>
      <c r="I86" s="74"/>
      <c r="J86" s="74"/>
      <c r="K86" s="73" t="s">
        <v>397</v>
      </c>
      <c r="L86" s="77">
        <v>40.871645088791766</v>
      </c>
      <c r="M86" s="78">
        <v>2808.2080078125</v>
      </c>
      <c r="N86" s="78">
        <v>7638.0361328125</v>
      </c>
      <c r="O86" s="79"/>
      <c r="P86" s="80"/>
      <c r="Q86" s="80"/>
      <c r="R86" s="85"/>
      <c r="S86" s="49">
        <v>1</v>
      </c>
      <c r="T86" s="49">
        <v>1</v>
      </c>
      <c r="U86" s="50">
        <v>148.318182</v>
      </c>
      <c r="V86" s="50">
        <v>0.001124</v>
      </c>
      <c r="W86" s="50">
        <v>0.002902</v>
      </c>
      <c r="X86" s="50">
        <v>0.659389</v>
      </c>
      <c r="Y86" s="50">
        <v>0</v>
      </c>
      <c r="Z86" s="50">
        <v>0</v>
      </c>
      <c r="AA86" s="75">
        <v>86</v>
      </c>
      <c r="AB86" s="75"/>
      <c r="AC86" s="76"/>
      <c r="AD86" s="82" t="s">
        <v>786</v>
      </c>
      <c r="AE86" s="99" t="str">
        <f>HYPERLINK("http://en.wikipedia.org/wiki/User:92.24.201.188")</f>
        <v>http://en.wikipedia.org/wiki/User:92.24.201.188</v>
      </c>
      <c r="AF86" s="82" t="s">
        <v>806</v>
      </c>
      <c r="AG86" s="82"/>
      <c r="AH86" s="82"/>
      <c r="AI86" s="82">
        <v>0.2291666</v>
      </c>
      <c r="AJ86" s="82">
        <v>12</v>
      </c>
      <c r="AK86" s="82"/>
      <c r="AL86" s="82" t="str">
        <f>REPLACE(INDEX(GroupVertices[Group],MATCH(Vertices[[#This Row],[Vertex]],GroupVertices[Vertex],0)),1,1,"")</f>
        <v>4</v>
      </c>
      <c r="AM86" s="49">
        <v>0</v>
      </c>
      <c r="AN86" s="50">
        <v>0</v>
      </c>
      <c r="AO86" s="49">
        <v>1</v>
      </c>
      <c r="AP86" s="50">
        <v>16.666666666666668</v>
      </c>
      <c r="AQ86" s="49">
        <v>0</v>
      </c>
      <c r="AR86" s="50">
        <v>0</v>
      </c>
      <c r="AS86" s="49">
        <v>5</v>
      </c>
      <c r="AT86" s="50">
        <v>83.33333333333333</v>
      </c>
      <c r="AU86" s="49">
        <v>6</v>
      </c>
      <c r="AV86" s="111" t="s">
        <v>1467</v>
      </c>
      <c r="AW86" s="111" t="s">
        <v>1467</v>
      </c>
      <c r="AX86" s="111" t="s">
        <v>1603</v>
      </c>
      <c r="AY86" s="111" t="s">
        <v>1603</v>
      </c>
      <c r="AZ86" s="2"/>
      <c r="BA86" s="3"/>
      <c r="BB86" s="3"/>
      <c r="BC86" s="3"/>
      <c r="BD86" s="3"/>
    </row>
    <row r="87" spans="1:56" ht="15">
      <c r="A87" s="68" t="s">
        <v>398</v>
      </c>
      <c r="B87" s="69"/>
      <c r="C87" s="69"/>
      <c r="D87" s="70">
        <v>50</v>
      </c>
      <c r="E87" s="72"/>
      <c r="F87" s="69"/>
      <c r="G87" s="69"/>
      <c r="H87" s="73" t="s">
        <v>398</v>
      </c>
      <c r="I87" s="74"/>
      <c r="J87" s="74"/>
      <c r="K87" s="73" t="s">
        <v>398</v>
      </c>
      <c r="L87" s="77">
        <v>1</v>
      </c>
      <c r="M87" s="78">
        <v>1404.47265625</v>
      </c>
      <c r="N87" s="78">
        <v>9825.607421875</v>
      </c>
      <c r="O87" s="79"/>
      <c r="P87" s="80"/>
      <c r="Q87" s="80"/>
      <c r="R87" s="85"/>
      <c r="S87" s="49">
        <v>1</v>
      </c>
      <c r="T87" s="49">
        <v>1</v>
      </c>
      <c r="U87" s="50">
        <v>0</v>
      </c>
      <c r="V87" s="50">
        <v>0.001348</v>
      </c>
      <c r="W87" s="50">
        <v>0.013813</v>
      </c>
      <c r="X87" s="50">
        <v>0.654774</v>
      </c>
      <c r="Y87" s="50">
        <v>0.5</v>
      </c>
      <c r="Z87" s="50">
        <v>0</v>
      </c>
      <c r="AA87" s="75">
        <v>87</v>
      </c>
      <c r="AB87" s="75"/>
      <c r="AC87" s="76"/>
      <c r="AD87" s="82" t="s">
        <v>786</v>
      </c>
      <c r="AE87" s="99" t="str">
        <f>HYPERLINK("http://en.wikipedia.org/wiki/User:70.195.192.68")</f>
        <v>http://en.wikipedia.org/wiki/User:70.195.192.68</v>
      </c>
      <c r="AF87" s="82" t="s">
        <v>806</v>
      </c>
      <c r="AG87" s="82"/>
      <c r="AH87" s="82"/>
      <c r="AI87" s="82">
        <v>0</v>
      </c>
      <c r="AJ87" s="82">
        <v>1</v>
      </c>
      <c r="AK87" s="82"/>
      <c r="AL87" s="82" t="str">
        <f>REPLACE(INDEX(GroupVertices[Group],MATCH(Vertices[[#This Row],[Vertex]],GroupVertices[Vertex],0)),1,1,"")</f>
        <v>1</v>
      </c>
      <c r="AM87" s="49"/>
      <c r="AN87" s="50"/>
      <c r="AO87" s="49"/>
      <c r="AP87" s="50"/>
      <c r="AQ87" s="49"/>
      <c r="AR87" s="50"/>
      <c r="AS87" s="49"/>
      <c r="AT87" s="50"/>
      <c r="AU87" s="49"/>
      <c r="AV87" s="111" t="s">
        <v>1418</v>
      </c>
      <c r="AW87" s="111" t="s">
        <v>1418</v>
      </c>
      <c r="AX87" s="111" t="s">
        <v>1418</v>
      </c>
      <c r="AY87" s="111" t="s">
        <v>1418</v>
      </c>
      <c r="AZ87" s="2"/>
      <c r="BA87" s="3"/>
      <c r="BB87" s="3"/>
      <c r="BC87" s="3"/>
      <c r="BD87" s="3"/>
    </row>
    <row r="88" spans="1:56" ht="15">
      <c r="A88" s="68" t="s">
        <v>406</v>
      </c>
      <c r="B88" s="69"/>
      <c r="C88" s="69"/>
      <c r="D88" s="70">
        <v>98.16430996833358</v>
      </c>
      <c r="E88" s="72"/>
      <c r="F88" s="69"/>
      <c r="G88" s="69"/>
      <c r="H88" s="73" t="s">
        <v>406</v>
      </c>
      <c r="I88" s="74"/>
      <c r="J88" s="74"/>
      <c r="K88" s="73" t="s">
        <v>406</v>
      </c>
      <c r="L88" s="77">
        <v>274.34702958818013</v>
      </c>
      <c r="M88" s="78">
        <v>450.4913024902344</v>
      </c>
      <c r="N88" s="78">
        <v>7130.0859375</v>
      </c>
      <c r="O88" s="79"/>
      <c r="P88" s="80"/>
      <c r="Q88" s="80"/>
      <c r="R88" s="85"/>
      <c r="S88" s="49">
        <v>2</v>
      </c>
      <c r="T88" s="49">
        <v>2</v>
      </c>
      <c r="U88" s="50">
        <v>1016.821212</v>
      </c>
      <c r="V88" s="50">
        <v>0.001377</v>
      </c>
      <c r="W88" s="50">
        <v>0.01638</v>
      </c>
      <c r="X88" s="50">
        <v>1.241113</v>
      </c>
      <c r="Y88" s="50">
        <v>0.16666666666666666</v>
      </c>
      <c r="Z88" s="50">
        <v>0</v>
      </c>
      <c r="AA88" s="75">
        <v>88</v>
      </c>
      <c r="AB88" s="75"/>
      <c r="AC88" s="76"/>
      <c r="AD88" s="82" t="s">
        <v>786</v>
      </c>
      <c r="AE88" s="99" t="str">
        <f>HYPERLINK("http://en.wikipedia.org/wiki/User:Lihaas")</f>
        <v>http://en.wikipedia.org/wiki/User:Lihaas</v>
      </c>
      <c r="AF88" s="82" t="s">
        <v>806</v>
      </c>
      <c r="AG88" s="82"/>
      <c r="AH88" s="82"/>
      <c r="AI88" s="82">
        <v>0.6983043</v>
      </c>
      <c r="AJ88" s="82">
        <v>500</v>
      </c>
      <c r="AK88" s="82"/>
      <c r="AL88" s="82" t="str">
        <f>REPLACE(INDEX(GroupVertices[Group],MATCH(Vertices[[#This Row],[Vertex]],GroupVertices[Vertex],0)),1,1,"")</f>
        <v>1</v>
      </c>
      <c r="AM88" s="49">
        <v>0</v>
      </c>
      <c r="AN88" s="50">
        <v>0</v>
      </c>
      <c r="AO88" s="49">
        <v>0</v>
      </c>
      <c r="AP88" s="50">
        <v>0</v>
      </c>
      <c r="AQ88" s="49">
        <v>0</v>
      </c>
      <c r="AR88" s="50">
        <v>0</v>
      </c>
      <c r="AS88" s="49">
        <v>6</v>
      </c>
      <c r="AT88" s="50">
        <v>100</v>
      </c>
      <c r="AU88" s="49">
        <v>6</v>
      </c>
      <c r="AV88" s="111" t="s">
        <v>1418</v>
      </c>
      <c r="AW88" s="111" t="s">
        <v>1418</v>
      </c>
      <c r="AX88" s="111" t="s">
        <v>1418</v>
      </c>
      <c r="AY88" s="111" t="s">
        <v>1418</v>
      </c>
      <c r="AZ88" s="2"/>
      <c r="BA88" s="3"/>
      <c r="BB88" s="3"/>
      <c r="BC88" s="3"/>
      <c r="BD88" s="3"/>
    </row>
    <row r="89" spans="1:56" ht="15">
      <c r="A89" s="68" t="s">
        <v>399</v>
      </c>
      <c r="B89" s="69"/>
      <c r="C89" s="69"/>
      <c r="D89" s="70">
        <v>78.32578335419646</v>
      </c>
      <c r="E89" s="72"/>
      <c r="F89" s="69"/>
      <c r="G89" s="69"/>
      <c r="H89" s="73" t="s">
        <v>399</v>
      </c>
      <c r="I89" s="74"/>
      <c r="J89" s="74"/>
      <c r="K89" s="73" t="s">
        <v>399</v>
      </c>
      <c r="L89" s="77">
        <v>161.75738956332052</v>
      </c>
      <c r="M89" s="78">
        <v>1727.5908203125</v>
      </c>
      <c r="N89" s="78">
        <v>5479.326171875</v>
      </c>
      <c r="O89" s="79"/>
      <c r="P89" s="80"/>
      <c r="Q89" s="80"/>
      <c r="R89" s="85"/>
      <c r="S89" s="49">
        <v>1</v>
      </c>
      <c r="T89" s="49">
        <v>1</v>
      </c>
      <c r="U89" s="50">
        <v>598</v>
      </c>
      <c r="V89" s="50">
        <v>0.001348</v>
      </c>
      <c r="W89" s="50">
        <v>0.011945</v>
      </c>
      <c r="X89" s="50">
        <v>0.703614</v>
      </c>
      <c r="Y89" s="50">
        <v>0</v>
      </c>
      <c r="Z89" s="50">
        <v>0</v>
      </c>
      <c r="AA89" s="75">
        <v>89</v>
      </c>
      <c r="AB89" s="75"/>
      <c r="AC89" s="76"/>
      <c r="AD89" s="82" t="s">
        <v>786</v>
      </c>
      <c r="AE89" s="99" t="str">
        <f>HYPERLINK("http://en.wikipedia.org/wiki/User:YpnBot")</f>
        <v>http://en.wikipedia.org/wiki/User:YpnBot</v>
      </c>
      <c r="AF89" s="82" t="s">
        <v>806</v>
      </c>
      <c r="AG89" s="82"/>
      <c r="AH89" s="82"/>
      <c r="AI89" s="82">
        <v>0.01579678</v>
      </c>
      <c r="AJ89" s="82">
        <v>500</v>
      </c>
      <c r="AK89" s="82"/>
      <c r="AL89" s="82" t="str">
        <f>REPLACE(INDEX(GroupVertices[Group],MATCH(Vertices[[#This Row],[Vertex]],GroupVertices[Vertex],0)),1,1,"")</f>
        <v>1</v>
      </c>
      <c r="AM89" s="49">
        <v>0</v>
      </c>
      <c r="AN89" s="50">
        <v>0</v>
      </c>
      <c r="AO89" s="49">
        <v>0</v>
      </c>
      <c r="AP89" s="50">
        <v>0</v>
      </c>
      <c r="AQ89" s="49">
        <v>0</v>
      </c>
      <c r="AR89" s="50">
        <v>0</v>
      </c>
      <c r="AS89" s="49">
        <v>6</v>
      </c>
      <c r="AT89" s="50">
        <v>100</v>
      </c>
      <c r="AU89" s="49">
        <v>6</v>
      </c>
      <c r="AV89" s="111" t="s">
        <v>1468</v>
      </c>
      <c r="AW89" s="111" t="s">
        <v>1468</v>
      </c>
      <c r="AX89" s="111" t="s">
        <v>1604</v>
      </c>
      <c r="AY89" s="111" t="s">
        <v>1604</v>
      </c>
      <c r="AZ89" s="2"/>
      <c r="BA89" s="3"/>
      <c r="BB89" s="3"/>
      <c r="BC89" s="3"/>
      <c r="BD89" s="3"/>
    </row>
    <row r="90" spans="1:56" ht="15">
      <c r="A90" s="68" t="s">
        <v>400</v>
      </c>
      <c r="B90" s="69"/>
      <c r="C90" s="69"/>
      <c r="D90" s="70">
        <v>59.56824119991252</v>
      </c>
      <c r="E90" s="72"/>
      <c r="F90" s="69"/>
      <c r="G90" s="69"/>
      <c r="H90" s="73" t="s">
        <v>400</v>
      </c>
      <c r="I90" s="74"/>
      <c r="J90" s="74"/>
      <c r="K90" s="73" t="s">
        <v>400</v>
      </c>
      <c r="L90" s="77">
        <v>55.30266336419857</v>
      </c>
      <c r="M90" s="78">
        <v>2147.0380859375</v>
      </c>
      <c r="N90" s="78">
        <v>5039.6044921875</v>
      </c>
      <c r="O90" s="79"/>
      <c r="P90" s="80"/>
      <c r="Q90" s="80"/>
      <c r="R90" s="85"/>
      <c r="S90" s="49">
        <v>2</v>
      </c>
      <c r="T90" s="49">
        <v>2</v>
      </c>
      <c r="U90" s="50">
        <v>202</v>
      </c>
      <c r="V90" s="50">
        <v>0.001064</v>
      </c>
      <c r="W90" s="50">
        <v>0.001823</v>
      </c>
      <c r="X90" s="50">
        <v>1.103213</v>
      </c>
      <c r="Y90" s="50">
        <v>0</v>
      </c>
      <c r="Z90" s="50">
        <v>0</v>
      </c>
      <c r="AA90" s="75">
        <v>90</v>
      </c>
      <c r="AB90" s="75"/>
      <c r="AC90" s="76"/>
      <c r="AD90" s="82" t="s">
        <v>786</v>
      </c>
      <c r="AE90" s="99" t="str">
        <f>HYPERLINK("http://en.wikipedia.org/wiki/User:Stringybark")</f>
        <v>http://en.wikipedia.org/wiki/User:Stringybark</v>
      </c>
      <c r="AF90" s="82" t="s">
        <v>806</v>
      </c>
      <c r="AG90" s="82"/>
      <c r="AH90" s="82"/>
      <c r="AI90" s="82">
        <v>0.4783945</v>
      </c>
      <c r="AJ90" s="82">
        <v>399</v>
      </c>
      <c r="AK90" s="82"/>
      <c r="AL90" s="82" t="str">
        <f>REPLACE(INDEX(GroupVertices[Group],MATCH(Vertices[[#This Row],[Vertex]],GroupVertices[Vertex],0)),1,1,"")</f>
        <v>1</v>
      </c>
      <c r="AM90" s="49">
        <v>0</v>
      </c>
      <c r="AN90" s="50">
        <v>0</v>
      </c>
      <c r="AO90" s="49">
        <v>0</v>
      </c>
      <c r="AP90" s="50">
        <v>0</v>
      </c>
      <c r="AQ90" s="49">
        <v>0</v>
      </c>
      <c r="AR90" s="50">
        <v>0</v>
      </c>
      <c r="AS90" s="49">
        <v>16</v>
      </c>
      <c r="AT90" s="50">
        <v>100</v>
      </c>
      <c r="AU90" s="49">
        <v>16</v>
      </c>
      <c r="AV90" s="111" t="s">
        <v>1469</v>
      </c>
      <c r="AW90" s="111" t="s">
        <v>1469</v>
      </c>
      <c r="AX90" s="111" t="s">
        <v>1605</v>
      </c>
      <c r="AY90" s="111" t="s">
        <v>1605</v>
      </c>
      <c r="AZ90" s="2"/>
      <c r="BA90" s="3"/>
      <c r="BB90" s="3"/>
      <c r="BC90" s="3"/>
      <c r="BD90" s="3"/>
    </row>
    <row r="91" spans="1:56" ht="15">
      <c r="A91" s="68" t="s">
        <v>401</v>
      </c>
      <c r="B91" s="69"/>
      <c r="C91" s="69"/>
      <c r="D91" s="70">
        <v>50.189470122770544</v>
      </c>
      <c r="E91" s="72"/>
      <c r="F91" s="69"/>
      <c r="G91" s="69"/>
      <c r="H91" s="73" t="s">
        <v>401</v>
      </c>
      <c r="I91" s="74"/>
      <c r="J91" s="74"/>
      <c r="K91" s="73" t="s">
        <v>401</v>
      </c>
      <c r="L91" s="77">
        <v>2.0753002646375958</v>
      </c>
      <c r="M91" s="78">
        <v>2341.76318359375</v>
      </c>
      <c r="N91" s="78">
        <v>7783.9697265625</v>
      </c>
      <c r="O91" s="79"/>
      <c r="P91" s="80"/>
      <c r="Q91" s="80"/>
      <c r="R91" s="85"/>
      <c r="S91" s="49">
        <v>1</v>
      </c>
      <c r="T91" s="49">
        <v>1</v>
      </c>
      <c r="U91" s="50">
        <v>4</v>
      </c>
      <c r="V91" s="50">
        <v>0.000879</v>
      </c>
      <c r="W91" s="50">
        <v>0.000437</v>
      </c>
      <c r="X91" s="50">
        <v>0.803765</v>
      </c>
      <c r="Y91" s="50">
        <v>0</v>
      </c>
      <c r="Z91" s="50">
        <v>0</v>
      </c>
      <c r="AA91" s="75">
        <v>91</v>
      </c>
      <c r="AB91" s="75"/>
      <c r="AC91" s="76"/>
      <c r="AD91" s="82" t="s">
        <v>786</v>
      </c>
      <c r="AE91" s="99" t="str">
        <f>HYPERLINK("http://en.wikipedia.org/wiki/User:Pregxi")</f>
        <v>http://en.wikipedia.org/wiki/User:Pregxi</v>
      </c>
      <c r="AF91" s="82" t="s">
        <v>806</v>
      </c>
      <c r="AG91" s="82"/>
      <c r="AH91" s="82"/>
      <c r="AI91" s="82">
        <v>0</v>
      </c>
      <c r="AJ91" s="82">
        <v>1</v>
      </c>
      <c r="AK91" s="82"/>
      <c r="AL91" s="82" t="str">
        <f>REPLACE(INDEX(GroupVertices[Group],MATCH(Vertices[[#This Row],[Vertex]],GroupVertices[Vertex],0)),1,1,"")</f>
        <v>1</v>
      </c>
      <c r="AM91" s="49">
        <v>0</v>
      </c>
      <c r="AN91" s="50">
        <v>0</v>
      </c>
      <c r="AO91" s="49">
        <v>0</v>
      </c>
      <c r="AP91" s="50">
        <v>0</v>
      </c>
      <c r="AQ91" s="49">
        <v>0</v>
      </c>
      <c r="AR91" s="50">
        <v>0</v>
      </c>
      <c r="AS91" s="49">
        <v>4</v>
      </c>
      <c r="AT91" s="50">
        <v>100</v>
      </c>
      <c r="AU91" s="49">
        <v>4</v>
      </c>
      <c r="AV91" s="111" t="s">
        <v>1470</v>
      </c>
      <c r="AW91" s="111" t="s">
        <v>1470</v>
      </c>
      <c r="AX91" s="111" t="s">
        <v>1606</v>
      </c>
      <c r="AY91" s="111" t="s">
        <v>1606</v>
      </c>
      <c r="AZ91" s="2"/>
      <c r="BA91" s="3"/>
      <c r="BB91" s="3"/>
      <c r="BC91" s="3"/>
      <c r="BD91" s="3"/>
    </row>
    <row r="92" spans="1:56" ht="15">
      <c r="A92" s="68" t="s">
        <v>402</v>
      </c>
      <c r="B92" s="69"/>
      <c r="C92" s="69"/>
      <c r="D92" s="70">
        <v>59.56824119991252</v>
      </c>
      <c r="E92" s="72"/>
      <c r="F92" s="69"/>
      <c r="G92" s="69"/>
      <c r="H92" s="73" t="s">
        <v>402</v>
      </c>
      <c r="I92" s="74"/>
      <c r="J92" s="74"/>
      <c r="K92" s="73" t="s">
        <v>402</v>
      </c>
      <c r="L92" s="77">
        <v>55.30266336419857</v>
      </c>
      <c r="M92" s="78">
        <v>1963.0020751953125</v>
      </c>
      <c r="N92" s="78">
        <v>9250.7802734375</v>
      </c>
      <c r="O92" s="79"/>
      <c r="P92" s="80"/>
      <c r="Q92" s="80"/>
      <c r="R92" s="85"/>
      <c r="S92" s="49">
        <v>1</v>
      </c>
      <c r="T92" s="49">
        <v>1</v>
      </c>
      <c r="U92" s="50">
        <v>202</v>
      </c>
      <c r="V92" s="50">
        <v>0.001064</v>
      </c>
      <c r="W92" s="50">
        <v>0.001585</v>
      </c>
      <c r="X92" s="50">
        <v>0.802796</v>
      </c>
      <c r="Y92" s="50">
        <v>0</v>
      </c>
      <c r="Z92" s="50">
        <v>0</v>
      </c>
      <c r="AA92" s="75">
        <v>92</v>
      </c>
      <c r="AB92" s="75"/>
      <c r="AC92" s="76"/>
      <c r="AD92" s="82" t="s">
        <v>786</v>
      </c>
      <c r="AE92" s="99" t="str">
        <f>HYPERLINK("http://en.wikipedia.org/wiki/User:Morganglick")</f>
        <v>http://en.wikipedia.org/wiki/User:Morganglick</v>
      </c>
      <c r="AF92" s="82" t="s">
        <v>806</v>
      </c>
      <c r="AG92" s="82"/>
      <c r="AH92" s="82"/>
      <c r="AI92" s="82">
        <v>0.3955731</v>
      </c>
      <c r="AJ92" s="82">
        <v>115</v>
      </c>
      <c r="AK92" s="82"/>
      <c r="AL92" s="82" t="str">
        <f>REPLACE(INDEX(GroupVertices[Group],MATCH(Vertices[[#This Row],[Vertex]],GroupVertices[Vertex],0)),1,1,"")</f>
        <v>1</v>
      </c>
      <c r="AM92" s="49">
        <v>0</v>
      </c>
      <c r="AN92" s="50">
        <v>0</v>
      </c>
      <c r="AO92" s="49">
        <v>0</v>
      </c>
      <c r="AP92" s="50">
        <v>0</v>
      </c>
      <c r="AQ92" s="49">
        <v>0</v>
      </c>
      <c r="AR92" s="50">
        <v>0</v>
      </c>
      <c r="AS92" s="49">
        <v>1</v>
      </c>
      <c r="AT92" s="50">
        <v>100</v>
      </c>
      <c r="AU92" s="49">
        <v>1</v>
      </c>
      <c r="AV92" s="111" t="s">
        <v>1418</v>
      </c>
      <c r="AW92" s="111" t="s">
        <v>1418</v>
      </c>
      <c r="AX92" s="111" t="s">
        <v>1418</v>
      </c>
      <c r="AY92" s="111" t="s">
        <v>1418</v>
      </c>
      <c r="AZ92" s="2"/>
      <c r="BA92" s="3"/>
      <c r="BB92" s="3"/>
      <c r="BC92" s="3"/>
      <c r="BD92" s="3"/>
    </row>
    <row r="93" spans="1:56" ht="15">
      <c r="A93" s="68" t="s">
        <v>403</v>
      </c>
      <c r="B93" s="69"/>
      <c r="C93" s="69"/>
      <c r="D93" s="70">
        <v>78.32578335419646</v>
      </c>
      <c r="E93" s="72"/>
      <c r="F93" s="69"/>
      <c r="G93" s="69"/>
      <c r="H93" s="73" t="s">
        <v>403</v>
      </c>
      <c r="I93" s="74"/>
      <c r="J93" s="74"/>
      <c r="K93" s="73" t="s">
        <v>403</v>
      </c>
      <c r="L93" s="77">
        <v>161.75738956332052</v>
      </c>
      <c r="M93" s="78">
        <v>309.5601501464844</v>
      </c>
      <c r="N93" s="78">
        <v>7853.4638671875</v>
      </c>
      <c r="O93" s="79"/>
      <c r="P93" s="80"/>
      <c r="Q93" s="80"/>
      <c r="R93" s="85"/>
      <c r="S93" s="49">
        <v>1</v>
      </c>
      <c r="T93" s="49">
        <v>1</v>
      </c>
      <c r="U93" s="50">
        <v>598</v>
      </c>
      <c r="V93" s="50">
        <v>0.001348</v>
      </c>
      <c r="W93" s="50">
        <v>0.011915</v>
      </c>
      <c r="X93" s="50">
        <v>0.732226</v>
      </c>
      <c r="Y93" s="50">
        <v>0</v>
      </c>
      <c r="Z93" s="50">
        <v>0</v>
      </c>
      <c r="AA93" s="75">
        <v>93</v>
      </c>
      <c r="AB93" s="75"/>
      <c r="AC93" s="76"/>
      <c r="AD93" s="82" t="s">
        <v>786</v>
      </c>
      <c r="AE93" s="99" t="str">
        <f>HYPERLINK("http://en.wikipedia.org/wiki/User:Geekpie")</f>
        <v>http://en.wikipedia.org/wiki/User:Geekpie</v>
      </c>
      <c r="AF93" s="82" t="s">
        <v>806</v>
      </c>
      <c r="AG93" s="82"/>
      <c r="AH93" s="82"/>
      <c r="AI93" s="82">
        <v>0.4011544</v>
      </c>
      <c r="AJ93" s="82">
        <v>63</v>
      </c>
      <c r="AK93" s="82"/>
      <c r="AL93" s="82" t="str">
        <f>REPLACE(INDEX(GroupVertices[Group],MATCH(Vertices[[#This Row],[Vertex]],GroupVertices[Vertex],0)),1,1,"")</f>
        <v>1</v>
      </c>
      <c r="AM93" s="49"/>
      <c r="AN93" s="50"/>
      <c r="AO93" s="49"/>
      <c r="AP93" s="50"/>
      <c r="AQ93" s="49"/>
      <c r="AR93" s="50"/>
      <c r="AS93" s="49"/>
      <c r="AT93" s="50"/>
      <c r="AU93" s="49"/>
      <c r="AV93" s="111" t="s">
        <v>1418</v>
      </c>
      <c r="AW93" s="111" t="s">
        <v>1418</v>
      </c>
      <c r="AX93" s="111" t="s">
        <v>1418</v>
      </c>
      <c r="AY93" s="111" t="s">
        <v>1418</v>
      </c>
      <c r="AZ93" s="2"/>
      <c r="BA93" s="3"/>
      <c r="BB93" s="3"/>
      <c r="BC93" s="3"/>
      <c r="BD93" s="3"/>
    </row>
    <row r="94" spans="1:56" ht="15">
      <c r="A94" s="68" t="s">
        <v>404</v>
      </c>
      <c r="B94" s="69"/>
      <c r="C94" s="69"/>
      <c r="D94" s="70">
        <v>50</v>
      </c>
      <c r="E94" s="72"/>
      <c r="F94" s="69"/>
      <c r="G94" s="69"/>
      <c r="H94" s="73" t="s">
        <v>404</v>
      </c>
      <c r="I94" s="74"/>
      <c r="J94" s="74"/>
      <c r="K94" s="73" t="s">
        <v>404</v>
      </c>
      <c r="L94" s="77">
        <v>1</v>
      </c>
      <c r="M94" s="78">
        <v>2444.916015625</v>
      </c>
      <c r="N94" s="78">
        <v>8601.498046875</v>
      </c>
      <c r="O94" s="79"/>
      <c r="P94" s="80"/>
      <c r="Q94" s="80"/>
      <c r="R94" s="85"/>
      <c r="S94" s="49">
        <v>1</v>
      </c>
      <c r="T94" s="49">
        <v>1</v>
      </c>
      <c r="U94" s="50">
        <v>0</v>
      </c>
      <c r="V94" s="50">
        <v>0.00134</v>
      </c>
      <c r="W94" s="50">
        <v>0.011712</v>
      </c>
      <c r="X94" s="50">
        <v>0.391038</v>
      </c>
      <c r="Y94" s="50">
        <v>0</v>
      </c>
      <c r="Z94" s="50">
        <v>1</v>
      </c>
      <c r="AA94" s="75">
        <v>94</v>
      </c>
      <c r="AB94" s="75"/>
      <c r="AC94" s="76"/>
      <c r="AD94" s="82" t="s">
        <v>786</v>
      </c>
      <c r="AE94" s="99" t="str">
        <f>HYPERLINK("http://en.wikipedia.org/wiki/User:2604:2000:107E:407E:752E:3268:9074:E06")</f>
        <v>http://en.wikipedia.org/wiki/User:2604:2000:107E:407E:752E:3268:9074:E06</v>
      </c>
      <c r="AF94" s="82" t="s">
        <v>806</v>
      </c>
      <c r="AG94" s="82"/>
      <c r="AH94" s="82"/>
      <c r="AI94" s="82">
        <v>0</v>
      </c>
      <c r="AJ94" s="82">
        <v>2</v>
      </c>
      <c r="AK94" s="82"/>
      <c r="AL94" s="82" t="str">
        <f>REPLACE(INDEX(GroupVertices[Group],MATCH(Vertices[[#This Row],[Vertex]],GroupVertices[Vertex],0)),1,1,"")</f>
        <v>1</v>
      </c>
      <c r="AM94" s="49">
        <v>0</v>
      </c>
      <c r="AN94" s="50">
        <v>0</v>
      </c>
      <c r="AO94" s="49">
        <v>0</v>
      </c>
      <c r="AP94" s="50">
        <v>0</v>
      </c>
      <c r="AQ94" s="49">
        <v>0</v>
      </c>
      <c r="AR94" s="50">
        <v>0</v>
      </c>
      <c r="AS94" s="49">
        <v>15</v>
      </c>
      <c r="AT94" s="50">
        <v>100</v>
      </c>
      <c r="AU94" s="49">
        <v>15</v>
      </c>
      <c r="AV94" s="111" t="s">
        <v>1471</v>
      </c>
      <c r="AW94" s="111" t="s">
        <v>1471</v>
      </c>
      <c r="AX94" s="111" t="s">
        <v>1607</v>
      </c>
      <c r="AY94" s="111" t="s">
        <v>1607</v>
      </c>
      <c r="AZ94" s="2"/>
      <c r="BA94" s="3"/>
      <c r="BB94" s="3"/>
      <c r="BC94" s="3"/>
      <c r="BD94" s="3"/>
    </row>
    <row r="95" spans="1:56" ht="15">
      <c r="A95" s="68" t="s">
        <v>405</v>
      </c>
      <c r="B95" s="69"/>
      <c r="C95" s="69"/>
      <c r="D95" s="70">
        <v>50</v>
      </c>
      <c r="E95" s="72"/>
      <c r="F95" s="69"/>
      <c r="G95" s="69"/>
      <c r="H95" s="73" t="s">
        <v>405</v>
      </c>
      <c r="I95" s="74"/>
      <c r="J95" s="74"/>
      <c r="K95" s="73" t="s">
        <v>405</v>
      </c>
      <c r="L95" s="77">
        <v>1</v>
      </c>
      <c r="M95" s="78">
        <v>2201.4912109375</v>
      </c>
      <c r="N95" s="78">
        <v>6127.4111328125</v>
      </c>
      <c r="O95" s="79"/>
      <c r="P95" s="80"/>
      <c r="Q95" s="80"/>
      <c r="R95" s="85"/>
      <c r="S95" s="49">
        <v>2</v>
      </c>
      <c r="T95" s="49">
        <v>2</v>
      </c>
      <c r="U95" s="50">
        <v>0</v>
      </c>
      <c r="V95" s="50">
        <v>0.00134</v>
      </c>
      <c r="W95" s="50">
        <v>0.013435</v>
      </c>
      <c r="X95" s="50">
        <v>0.680065</v>
      </c>
      <c r="Y95" s="50">
        <v>0</v>
      </c>
      <c r="Z95" s="50">
        <v>1</v>
      </c>
      <c r="AA95" s="75">
        <v>95</v>
      </c>
      <c r="AB95" s="75"/>
      <c r="AC95" s="76"/>
      <c r="AD95" s="82" t="s">
        <v>786</v>
      </c>
      <c r="AE95" s="99" t="str">
        <f>HYPERLINK("http://en.wikipedia.org/wiki/User:180.215.137.233")</f>
        <v>http://en.wikipedia.org/wiki/User:180.215.137.233</v>
      </c>
      <c r="AF95" s="82" t="s">
        <v>806</v>
      </c>
      <c r="AG95" s="82"/>
      <c r="AH95" s="82"/>
      <c r="AI95" s="82">
        <v>0</v>
      </c>
      <c r="AJ95" s="82">
        <v>3</v>
      </c>
      <c r="AK95" s="82"/>
      <c r="AL95" s="82" t="str">
        <f>REPLACE(INDEX(GroupVertices[Group],MATCH(Vertices[[#This Row],[Vertex]],GroupVertices[Vertex],0)),1,1,"")</f>
        <v>1</v>
      </c>
      <c r="AM95" s="49">
        <v>0</v>
      </c>
      <c r="AN95" s="50">
        <v>0</v>
      </c>
      <c r="AO95" s="49">
        <v>0</v>
      </c>
      <c r="AP95" s="50">
        <v>0</v>
      </c>
      <c r="AQ95" s="49">
        <v>0</v>
      </c>
      <c r="AR95" s="50">
        <v>0</v>
      </c>
      <c r="AS95" s="49">
        <v>6</v>
      </c>
      <c r="AT95" s="50">
        <v>100</v>
      </c>
      <c r="AU95" s="49">
        <v>6</v>
      </c>
      <c r="AV95" s="111" t="s">
        <v>1472</v>
      </c>
      <c r="AW95" s="111" t="s">
        <v>1472</v>
      </c>
      <c r="AX95" s="111" t="s">
        <v>1608</v>
      </c>
      <c r="AY95" s="111" t="s">
        <v>1608</v>
      </c>
      <c r="AZ95" s="2"/>
      <c r="BA95" s="3"/>
      <c r="BB95" s="3"/>
      <c r="BC95" s="3"/>
      <c r="BD95" s="3"/>
    </row>
    <row r="96" spans="1:56" ht="15">
      <c r="A96" s="68" t="s">
        <v>407</v>
      </c>
      <c r="B96" s="69"/>
      <c r="C96" s="69"/>
      <c r="D96" s="70">
        <v>50</v>
      </c>
      <c r="E96" s="72"/>
      <c r="F96" s="69"/>
      <c r="G96" s="69"/>
      <c r="H96" s="73" t="s">
        <v>407</v>
      </c>
      <c r="I96" s="74"/>
      <c r="J96" s="74"/>
      <c r="K96" s="73" t="s">
        <v>407</v>
      </c>
      <c r="L96" s="77">
        <v>1</v>
      </c>
      <c r="M96" s="78">
        <v>4181.69384765625</v>
      </c>
      <c r="N96" s="78">
        <v>9209.134765625</v>
      </c>
      <c r="O96" s="79"/>
      <c r="P96" s="80"/>
      <c r="Q96" s="80"/>
      <c r="R96" s="85"/>
      <c r="S96" s="49">
        <v>1</v>
      </c>
      <c r="T96" s="49">
        <v>1</v>
      </c>
      <c r="U96" s="50">
        <v>0</v>
      </c>
      <c r="V96" s="50">
        <v>0.001364</v>
      </c>
      <c r="W96" s="50">
        <v>0.014333</v>
      </c>
      <c r="X96" s="50">
        <v>0.634065</v>
      </c>
      <c r="Y96" s="50">
        <v>0.5</v>
      </c>
      <c r="Z96" s="50">
        <v>0</v>
      </c>
      <c r="AA96" s="75">
        <v>96</v>
      </c>
      <c r="AB96" s="75"/>
      <c r="AC96" s="76"/>
      <c r="AD96" s="82" t="s">
        <v>786</v>
      </c>
      <c r="AE96" s="99" t="str">
        <f>HYPERLINK("http://en.wikipedia.org/wiki/User:Akmuslimeen")</f>
        <v>http://en.wikipedia.org/wiki/User:Akmuslimeen</v>
      </c>
      <c r="AF96" s="82" t="s">
        <v>806</v>
      </c>
      <c r="AG96" s="82"/>
      <c r="AH96" s="82"/>
      <c r="AI96" s="82">
        <v>0</v>
      </c>
      <c r="AJ96" s="82">
        <v>2</v>
      </c>
      <c r="AK96" s="82"/>
      <c r="AL96" s="82" t="str">
        <f>REPLACE(INDEX(GroupVertices[Group],MATCH(Vertices[[#This Row],[Vertex]],GroupVertices[Vertex],0)),1,1,"")</f>
        <v>4</v>
      </c>
      <c r="AM96" s="49">
        <v>0</v>
      </c>
      <c r="AN96" s="50">
        <v>0</v>
      </c>
      <c r="AO96" s="49">
        <v>0</v>
      </c>
      <c r="AP96" s="50">
        <v>0</v>
      </c>
      <c r="AQ96" s="49">
        <v>0</v>
      </c>
      <c r="AR96" s="50">
        <v>0</v>
      </c>
      <c r="AS96" s="49">
        <v>4</v>
      </c>
      <c r="AT96" s="50">
        <v>100</v>
      </c>
      <c r="AU96" s="49">
        <v>4</v>
      </c>
      <c r="AV96" s="111" t="s">
        <v>1473</v>
      </c>
      <c r="AW96" s="111" t="s">
        <v>1473</v>
      </c>
      <c r="AX96" s="111" t="s">
        <v>1609</v>
      </c>
      <c r="AY96" s="111" t="s">
        <v>1609</v>
      </c>
      <c r="AZ96" s="2"/>
      <c r="BA96" s="3"/>
      <c r="BB96" s="3"/>
      <c r="BC96" s="3"/>
      <c r="BD96" s="3"/>
    </row>
    <row r="97" spans="1:56" ht="15">
      <c r="A97" s="68" t="s">
        <v>408</v>
      </c>
      <c r="B97" s="69"/>
      <c r="C97" s="69"/>
      <c r="D97" s="70">
        <v>79.03572217274649</v>
      </c>
      <c r="E97" s="72"/>
      <c r="F97" s="69"/>
      <c r="G97" s="69"/>
      <c r="H97" s="73" t="s">
        <v>408</v>
      </c>
      <c r="I97" s="74"/>
      <c r="J97" s="74"/>
      <c r="K97" s="73" t="s">
        <v>408</v>
      </c>
      <c r="L97" s="77">
        <v>165.78650712708458</v>
      </c>
      <c r="M97" s="78">
        <v>9043.666015625</v>
      </c>
      <c r="N97" s="78">
        <v>2406.052734375</v>
      </c>
      <c r="O97" s="79"/>
      <c r="P97" s="80"/>
      <c r="Q97" s="80"/>
      <c r="R97" s="85"/>
      <c r="S97" s="49">
        <v>1</v>
      </c>
      <c r="T97" s="49">
        <v>1</v>
      </c>
      <c r="U97" s="50">
        <v>612.987879</v>
      </c>
      <c r="V97" s="50">
        <v>0.001085</v>
      </c>
      <c r="W97" s="50">
        <v>0.002138</v>
      </c>
      <c r="X97" s="50">
        <v>0.773574</v>
      </c>
      <c r="Y97" s="50">
        <v>0</v>
      </c>
      <c r="Z97" s="50">
        <v>0</v>
      </c>
      <c r="AA97" s="75">
        <v>97</v>
      </c>
      <c r="AB97" s="75"/>
      <c r="AC97" s="76"/>
      <c r="AD97" s="82" t="s">
        <v>786</v>
      </c>
      <c r="AE97" s="82" t="s">
        <v>795</v>
      </c>
      <c r="AF97" s="82" t="s">
        <v>806</v>
      </c>
      <c r="AG97" s="82"/>
      <c r="AH97" s="82"/>
      <c r="AI97" s="82">
        <v>0.19822</v>
      </c>
      <c r="AJ97" s="82">
        <v>500</v>
      </c>
      <c r="AK97" s="82"/>
      <c r="AL97" s="82" t="str">
        <f>REPLACE(INDEX(GroupVertices[Group],MATCH(Vertices[[#This Row],[Vertex]],GroupVertices[Vertex],0)),1,1,"")</f>
        <v>12</v>
      </c>
      <c r="AM97" s="49">
        <v>1</v>
      </c>
      <c r="AN97" s="50">
        <v>25</v>
      </c>
      <c r="AO97" s="49">
        <v>0</v>
      </c>
      <c r="AP97" s="50">
        <v>0</v>
      </c>
      <c r="AQ97" s="49">
        <v>0</v>
      </c>
      <c r="AR97" s="50">
        <v>0</v>
      </c>
      <c r="AS97" s="49">
        <v>3</v>
      </c>
      <c r="AT97" s="50">
        <v>75</v>
      </c>
      <c r="AU97" s="49">
        <v>4</v>
      </c>
      <c r="AV97" s="111" t="s">
        <v>1136</v>
      </c>
      <c r="AW97" s="111" t="s">
        <v>1136</v>
      </c>
      <c r="AX97" s="111" t="s">
        <v>1418</v>
      </c>
      <c r="AY97" s="111" t="s">
        <v>1418</v>
      </c>
      <c r="AZ97" s="2"/>
      <c r="BA97" s="3"/>
      <c r="BB97" s="3"/>
      <c r="BC97" s="3"/>
      <c r="BD97" s="3"/>
    </row>
    <row r="98" spans="1:56" ht="15">
      <c r="A98" s="68" t="s">
        <v>409</v>
      </c>
      <c r="B98" s="69"/>
      <c r="C98" s="69"/>
      <c r="D98" s="70">
        <v>60.46765014123308</v>
      </c>
      <c r="E98" s="72"/>
      <c r="F98" s="69"/>
      <c r="G98" s="69"/>
      <c r="H98" s="73" t="s">
        <v>409</v>
      </c>
      <c r="I98" s="74"/>
      <c r="J98" s="74"/>
      <c r="K98" s="73" t="s">
        <v>409</v>
      </c>
      <c r="L98" s="77">
        <v>60.407081192600224</v>
      </c>
      <c r="M98" s="78">
        <v>9068.251953125</v>
      </c>
      <c r="N98" s="78">
        <v>1225.8232421875</v>
      </c>
      <c r="O98" s="79"/>
      <c r="P98" s="80"/>
      <c r="Q98" s="80"/>
      <c r="R98" s="85"/>
      <c r="S98" s="49">
        <v>1</v>
      </c>
      <c r="T98" s="49">
        <v>1</v>
      </c>
      <c r="U98" s="50">
        <v>220.987879</v>
      </c>
      <c r="V98" s="50">
        <v>0.000894</v>
      </c>
      <c r="W98" s="50">
        <v>0.000283</v>
      </c>
      <c r="X98" s="50">
        <v>0.846678</v>
      </c>
      <c r="Y98" s="50">
        <v>0</v>
      </c>
      <c r="Z98" s="50">
        <v>0</v>
      </c>
      <c r="AA98" s="75">
        <v>98</v>
      </c>
      <c r="AB98" s="75"/>
      <c r="AC98" s="76"/>
      <c r="AD98" s="82" t="s">
        <v>786</v>
      </c>
      <c r="AE98" s="99" t="str">
        <f>HYPERLINK("http://en.wikipedia.org/wiki/User:OwenBlacker")</f>
        <v>http://en.wikipedia.org/wiki/User:OwenBlacker</v>
      </c>
      <c r="AF98" s="82" t="s">
        <v>806</v>
      </c>
      <c r="AG98" s="82"/>
      <c r="AH98" s="82"/>
      <c r="AI98" s="82">
        <v>0.1933542</v>
      </c>
      <c r="AJ98" s="82">
        <v>500</v>
      </c>
      <c r="AK98" s="82"/>
      <c r="AL98" s="82" t="str">
        <f>REPLACE(INDEX(GroupVertices[Group],MATCH(Vertices[[#This Row],[Vertex]],GroupVertices[Vertex],0)),1,1,"")</f>
        <v>12</v>
      </c>
      <c r="AM98" s="49">
        <v>0</v>
      </c>
      <c r="AN98" s="50">
        <v>0</v>
      </c>
      <c r="AO98" s="49">
        <v>0</v>
      </c>
      <c r="AP98" s="50">
        <v>0</v>
      </c>
      <c r="AQ98" s="49">
        <v>0</v>
      </c>
      <c r="AR98" s="50">
        <v>0</v>
      </c>
      <c r="AS98" s="49">
        <v>7</v>
      </c>
      <c r="AT98" s="50">
        <v>100</v>
      </c>
      <c r="AU98" s="49">
        <v>7</v>
      </c>
      <c r="AV98" s="111" t="s">
        <v>1474</v>
      </c>
      <c r="AW98" s="111" t="s">
        <v>1474</v>
      </c>
      <c r="AX98" s="111" t="s">
        <v>1610</v>
      </c>
      <c r="AY98" s="111" t="s">
        <v>1610</v>
      </c>
      <c r="AZ98" s="2"/>
      <c r="BA98" s="3"/>
      <c r="BB98" s="3"/>
      <c r="BC98" s="3"/>
      <c r="BD98" s="3"/>
    </row>
    <row r="99" spans="1:56" ht="15">
      <c r="A99" s="68" t="s">
        <v>410</v>
      </c>
      <c r="B99" s="69"/>
      <c r="C99" s="69"/>
      <c r="D99" s="70">
        <v>50.42630777623373</v>
      </c>
      <c r="E99" s="72"/>
      <c r="F99" s="69"/>
      <c r="G99" s="69"/>
      <c r="H99" s="73" t="s">
        <v>410</v>
      </c>
      <c r="I99" s="74"/>
      <c r="J99" s="74"/>
      <c r="K99" s="73" t="s">
        <v>410</v>
      </c>
      <c r="L99" s="77">
        <v>3.41942559543459</v>
      </c>
      <c r="M99" s="78">
        <v>9421.6171875</v>
      </c>
      <c r="N99" s="78">
        <v>173.41070556640625</v>
      </c>
      <c r="O99" s="79"/>
      <c r="P99" s="80"/>
      <c r="Q99" s="80"/>
      <c r="R99" s="85"/>
      <c r="S99" s="49">
        <v>1</v>
      </c>
      <c r="T99" s="49">
        <v>1</v>
      </c>
      <c r="U99" s="50">
        <v>9</v>
      </c>
      <c r="V99" s="50">
        <v>0.000761</v>
      </c>
      <c r="W99" s="50">
        <v>6.7E-05</v>
      </c>
      <c r="X99" s="50">
        <v>0.865668</v>
      </c>
      <c r="Y99" s="50">
        <v>0</v>
      </c>
      <c r="Z99" s="50">
        <v>0</v>
      </c>
      <c r="AA99" s="75">
        <v>99</v>
      </c>
      <c r="AB99" s="75"/>
      <c r="AC99" s="76"/>
      <c r="AD99" s="82" t="s">
        <v>786</v>
      </c>
      <c r="AE99" s="99" t="str">
        <f>HYPERLINK("http://en.wikipedia.org/wiki/User:117.201.70.18")</f>
        <v>http://en.wikipedia.org/wiki/User:117.201.70.18</v>
      </c>
      <c r="AF99" s="82" t="s">
        <v>806</v>
      </c>
      <c r="AG99" s="82"/>
      <c r="AH99" s="82"/>
      <c r="AI99" s="82">
        <v>0</v>
      </c>
      <c r="AJ99" s="82">
        <v>1</v>
      </c>
      <c r="AK99" s="82"/>
      <c r="AL99" s="82" t="str">
        <f>REPLACE(INDEX(GroupVertices[Group],MATCH(Vertices[[#This Row],[Vertex]],GroupVertices[Vertex],0)),1,1,"")</f>
        <v>12</v>
      </c>
      <c r="AM99" s="49">
        <v>0</v>
      </c>
      <c r="AN99" s="50">
        <v>0</v>
      </c>
      <c r="AO99" s="49">
        <v>0</v>
      </c>
      <c r="AP99" s="50">
        <v>0</v>
      </c>
      <c r="AQ99" s="49">
        <v>0</v>
      </c>
      <c r="AR99" s="50">
        <v>0</v>
      </c>
      <c r="AS99" s="49">
        <v>2</v>
      </c>
      <c r="AT99" s="50">
        <v>100</v>
      </c>
      <c r="AU99" s="49">
        <v>2</v>
      </c>
      <c r="AV99" s="111" t="s">
        <v>1473</v>
      </c>
      <c r="AW99" s="111" t="s">
        <v>1473</v>
      </c>
      <c r="AX99" s="111" t="s">
        <v>1609</v>
      </c>
      <c r="AY99" s="111" t="s">
        <v>1609</v>
      </c>
      <c r="AZ99" s="2"/>
      <c r="BA99" s="3"/>
      <c r="BB99" s="3"/>
      <c r="BC99" s="3"/>
      <c r="BD99" s="3"/>
    </row>
    <row r="100" spans="1:56" ht="15">
      <c r="A100" s="68" t="s">
        <v>411</v>
      </c>
      <c r="B100" s="69"/>
      <c r="C100" s="69"/>
      <c r="D100" s="70">
        <v>58.95303744274777</v>
      </c>
      <c r="E100" s="72"/>
      <c r="F100" s="69"/>
      <c r="G100" s="69"/>
      <c r="H100" s="73" t="s">
        <v>411</v>
      </c>
      <c r="I100" s="74"/>
      <c r="J100" s="74"/>
      <c r="K100" s="73" t="s">
        <v>411</v>
      </c>
      <c r="L100" s="77">
        <v>51.81119593275331</v>
      </c>
      <c r="M100" s="78">
        <v>9871.607421875</v>
      </c>
      <c r="N100" s="78">
        <v>1880.2239990234375</v>
      </c>
      <c r="O100" s="79"/>
      <c r="P100" s="80"/>
      <c r="Q100" s="80"/>
      <c r="R100" s="85"/>
      <c r="S100" s="49">
        <v>1</v>
      </c>
      <c r="T100" s="49">
        <v>1</v>
      </c>
      <c r="U100" s="50">
        <v>189.012121</v>
      </c>
      <c r="V100" s="50">
        <v>0.000883</v>
      </c>
      <c r="W100" s="50">
        <v>0.000239</v>
      </c>
      <c r="X100" s="50">
        <v>0.837248</v>
      </c>
      <c r="Y100" s="50">
        <v>0</v>
      </c>
      <c r="Z100" s="50">
        <v>0</v>
      </c>
      <c r="AA100" s="75">
        <v>100</v>
      </c>
      <c r="AB100" s="75"/>
      <c r="AC100" s="76"/>
      <c r="AD100" s="82" t="s">
        <v>786</v>
      </c>
      <c r="AE100" s="99" t="str">
        <f>HYPERLINK("http://en.wikipedia.org/wiki/User:EChastain")</f>
        <v>http://en.wikipedia.org/wiki/User:EChastain</v>
      </c>
      <c r="AF100" s="82" t="s">
        <v>806</v>
      </c>
      <c r="AG100" s="82"/>
      <c r="AH100" s="82"/>
      <c r="AI100" s="82">
        <v>0.481811</v>
      </c>
      <c r="AJ100" s="82">
        <v>500</v>
      </c>
      <c r="AK100" s="82"/>
      <c r="AL100" s="82" t="str">
        <f>REPLACE(INDEX(GroupVertices[Group],MATCH(Vertices[[#This Row],[Vertex]],GroupVertices[Vertex],0)),1,1,"")</f>
        <v>12</v>
      </c>
      <c r="AM100" s="49">
        <v>0</v>
      </c>
      <c r="AN100" s="50">
        <v>0</v>
      </c>
      <c r="AO100" s="49">
        <v>0</v>
      </c>
      <c r="AP100" s="50">
        <v>0</v>
      </c>
      <c r="AQ100" s="49">
        <v>0</v>
      </c>
      <c r="AR100" s="50">
        <v>0</v>
      </c>
      <c r="AS100" s="49">
        <v>1</v>
      </c>
      <c r="AT100" s="50">
        <v>100</v>
      </c>
      <c r="AU100" s="49">
        <v>1</v>
      </c>
      <c r="AV100" s="111" t="s">
        <v>644</v>
      </c>
      <c r="AW100" s="111" t="s">
        <v>644</v>
      </c>
      <c r="AX100" s="111" t="s">
        <v>1418</v>
      </c>
      <c r="AY100" s="111" t="s">
        <v>1418</v>
      </c>
      <c r="AZ100" s="2"/>
      <c r="BA100" s="3"/>
      <c r="BB100" s="3"/>
      <c r="BC100" s="3"/>
      <c r="BD100" s="3"/>
    </row>
    <row r="101" spans="1:56" ht="15">
      <c r="A101" s="68" t="s">
        <v>412</v>
      </c>
      <c r="B101" s="69"/>
      <c r="C101" s="69"/>
      <c r="D101" s="70">
        <v>77.52110947426118</v>
      </c>
      <c r="E101" s="72"/>
      <c r="F101" s="69"/>
      <c r="G101" s="69"/>
      <c r="H101" s="73" t="s">
        <v>412</v>
      </c>
      <c r="I101" s="74"/>
      <c r="J101" s="74"/>
      <c r="K101" s="73" t="s">
        <v>412</v>
      </c>
      <c r="L101" s="77">
        <v>157.19062186723767</v>
      </c>
      <c r="M101" s="78">
        <v>9767.7568359375</v>
      </c>
      <c r="N101" s="78">
        <v>902.70703125</v>
      </c>
      <c r="O101" s="79"/>
      <c r="P101" s="80"/>
      <c r="Q101" s="80"/>
      <c r="R101" s="85"/>
      <c r="S101" s="49">
        <v>2</v>
      </c>
      <c r="T101" s="49">
        <v>2</v>
      </c>
      <c r="U101" s="50">
        <v>581.012121</v>
      </c>
      <c r="V101" s="50">
        <v>0.001068</v>
      </c>
      <c r="W101" s="50">
        <v>0.001793</v>
      </c>
      <c r="X101" s="50">
        <v>1.127079</v>
      </c>
      <c r="Y101" s="50">
        <v>0</v>
      </c>
      <c r="Z101" s="50">
        <v>0</v>
      </c>
      <c r="AA101" s="75">
        <v>101</v>
      </c>
      <c r="AB101" s="75"/>
      <c r="AC101" s="76"/>
      <c r="AD101" s="82" t="s">
        <v>786</v>
      </c>
      <c r="AE101" s="99" t="str">
        <f>HYPERLINK("http://en.wikipedia.org/wiki/User:122.172.32.201")</f>
        <v>http://en.wikipedia.org/wiki/User:122.172.32.201</v>
      </c>
      <c r="AF101" s="82" t="s">
        <v>806</v>
      </c>
      <c r="AG101" s="82"/>
      <c r="AH101" s="82"/>
      <c r="AI101" s="82">
        <v>0.1666666</v>
      </c>
      <c r="AJ101" s="82">
        <v>3</v>
      </c>
      <c r="AK101" s="82"/>
      <c r="AL101" s="82" t="str">
        <f>REPLACE(INDEX(GroupVertices[Group],MATCH(Vertices[[#This Row],[Vertex]],GroupVertices[Vertex],0)),1,1,"")</f>
        <v>12</v>
      </c>
      <c r="AM101" s="49">
        <v>0</v>
      </c>
      <c r="AN101" s="50">
        <v>0</v>
      </c>
      <c r="AO101" s="49">
        <v>0</v>
      </c>
      <c r="AP101" s="50">
        <v>0</v>
      </c>
      <c r="AQ101" s="49">
        <v>0</v>
      </c>
      <c r="AR101" s="50">
        <v>0</v>
      </c>
      <c r="AS101" s="49">
        <v>6</v>
      </c>
      <c r="AT101" s="50">
        <v>100</v>
      </c>
      <c r="AU101" s="49">
        <v>6</v>
      </c>
      <c r="AV101" s="111" t="s">
        <v>1306</v>
      </c>
      <c r="AW101" s="111" t="s">
        <v>1306</v>
      </c>
      <c r="AX101" s="111" t="s">
        <v>1416</v>
      </c>
      <c r="AY101" s="111" t="s">
        <v>1416</v>
      </c>
      <c r="AZ101" s="2"/>
      <c r="BA101" s="3"/>
      <c r="BB101" s="3"/>
      <c r="BC101" s="3"/>
      <c r="BD101" s="3"/>
    </row>
    <row r="102" spans="1:56" ht="15">
      <c r="A102" s="68" t="s">
        <v>413</v>
      </c>
      <c r="B102" s="69"/>
      <c r="C102" s="69"/>
      <c r="D102" s="70">
        <v>96.08918150577458</v>
      </c>
      <c r="E102" s="72"/>
      <c r="F102" s="69"/>
      <c r="G102" s="69"/>
      <c r="H102" s="73" t="s">
        <v>413</v>
      </c>
      <c r="I102" s="74"/>
      <c r="J102" s="74"/>
      <c r="K102" s="73" t="s">
        <v>413</v>
      </c>
      <c r="L102" s="77">
        <v>262.570047801722</v>
      </c>
      <c r="M102" s="78">
        <v>9471.921875</v>
      </c>
      <c r="N102" s="78">
        <v>2991.04345703125</v>
      </c>
      <c r="O102" s="79"/>
      <c r="P102" s="80"/>
      <c r="Q102" s="80"/>
      <c r="R102" s="85"/>
      <c r="S102" s="49">
        <v>1</v>
      </c>
      <c r="T102" s="49">
        <v>2</v>
      </c>
      <c r="U102" s="50">
        <v>973.012121</v>
      </c>
      <c r="V102" s="50">
        <v>0.001351</v>
      </c>
      <c r="W102" s="50">
        <v>0.011942</v>
      </c>
      <c r="X102" s="50">
        <v>0.710377</v>
      </c>
      <c r="Y102" s="50">
        <v>0</v>
      </c>
      <c r="Z102" s="50">
        <v>0.5</v>
      </c>
      <c r="AA102" s="75">
        <v>102</v>
      </c>
      <c r="AB102" s="75"/>
      <c r="AC102" s="76"/>
      <c r="AD102" s="82" t="s">
        <v>786</v>
      </c>
      <c r="AE102" s="99" t="str">
        <f>HYPERLINK("http://en.wikipedia.org/wiki/User:80.44.106.42")</f>
        <v>http://en.wikipedia.org/wiki/User:80.44.106.42</v>
      </c>
      <c r="AF102" s="82" t="s">
        <v>806</v>
      </c>
      <c r="AG102" s="82"/>
      <c r="AH102" s="82"/>
      <c r="AI102" s="82">
        <v>0.1666666</v>
      </c>
      <c r="AJ102" s="82">
        <v>3</v>
      </c>
      <c r="AK102" s="82"/>
      <c r="AL102" s="82" t="str">
        <f>REPLACE(INDEX(GroupVertices[Group],MATCH(Vertices[[#This Row],[Vertex]],GroupVertices[Vertex],0)),1,1,"")</f>
        <v>12</v>
      </c>
      <c r="AM102" s="49">
        <v>1</v>
      </c>
      <c r="AN102" s="50">
        <v>5.882352941176471</v>
      </c>
      <c r="AO102" s="49">
        <v>1</v>
      </c>
      <c r="AP102" s="50">
        <v>5.882352941176471</v>
      </c>
      <c r="AQ102" s="49">
        <v>0</v>
      </c>
      <c r="AR102" s="50">
        <v>0</v>
      </c>
      <c r="AS102" s="49">
        <v>15</v>
      </c>
      <c r="AT102" s="50">
        <v>88.23529411764706</v>
      </c>
      <c r="AU102" s="49">
        <v>17</v>
      </c>
      <c r="AV102" s="111" t="s">
        <v>1475</v>
      </c>
      <c r="AW102" s="111" t="s">
        <v>1475</v>
      </c>
      <c r="AX102" s="111" t="s">
        <v>1611</v>
      </c>
      <c r="AY102" s="111" t="s">
        <v>1611</v>
      </c>
      <c r="AZ102" s="2"/>
      <c r="BA102" s="3"/>
      <c r="BB102" s="3"/>
      <c r="BC102" s="3"/>
      <c r="BD102" s="3"/>
    </row>
    <row r="103" spans="1:56" ht="15">
      <c r="A103" s="68" t="s">
        <v>414</v>
      </c>
      <c r="B103" s="69"/>
      <c r="C103" s="69"/>
      <c r="D103" s="70">
        <v>50</v>
      </c>
      <c r="E103" s="72"/>
      <c r="F103" s="69"/>
      <c r="G103" s="69"/>
      <c r="H103" s="73" t="s">
        <v>414</v>
      </c>
      <c r="I103" s="74"/>
      <c r="J103" s="74"/>
      <c r="K103" s="73" t="s">
        <v>414</v>
      </c>
      <c r="L103" s="77">
        <v>1</v>
      </c>
      <c r="M103" s="78">
        <v>2209.227294921875</v>
      </c>
      <c r="N103" s="78">
        <v>6701.32373046875</v>
      </c>
      <c r="O103" s="79"/>
      <c r="P103" s="80"/>
      <c r="Q103" s="80"/>
      <c r="R103" s="85"/>
      <c r="S103" s="49">
        <v>1</v>
      </c>
      <c r="T103" s="49">
        <v>1</v>
      </c>
      <c r="U103" s="50">
        <v>0</v>
      </c>
      <c r="V103" s="50">
        <v>0.00134</v>
      </c>
      <c r="W103" s="50">
        <v>0.011712</v>
      </c>
      <c r="X103" s="50">
        <v>0.391038</v>
      </c>
      <c r="Y103" s="50">
        <v>0</v>
      </c>
      <c r="Z103" s="50">
        <v>1</v>
      </c>
      <c r="AA103" s="75">
        <v>103</v>
      </c>
      <c r="AB103" s="75"/>
      <c r="AC103" s="76"/>
      <c r="AD103" s="82" t="s">
        <v>786</v>
      </c>
      <c r="AE103" s="99" t="str">
        <f>HYPERLINK("http://en.wikipedia.org/wiki/User:80.44.105.37")</f>
        <v>http://en.wikipedia.org/wiki/User:80.44.105.37</v>
      </c>
      <c r="AF103" s="82" t="s">
        <v>806</v>
      </c>
      <c r="AG103" s="82"/>
      <c r="AH103" s="82"/>
      <c r="AI103" s="82">
        <v>0.25</v>
      </c>
      <c r="AJ103" s="82">
        <v>4</v>
      </c>
      <c r="AK103" s="82"/>
      <c r="AL103" s="82" t="str">
        <f>REPLACE(INDEX(GroupVertices[Group],MATCH(Vertices[[#This Row],[Vertex]],GroupVertices[Vertex],0)),1,1,"")</f>
        <v>1</v>
      </c>
      <c r="AM103" s="49">
        <v>0</v>
      </c>
      <c r="AN103" s="50">
        <v>0</v>
      </c>
      <c r="AO103" s="49">
        <v>1</v>
      </c>
      <c r="AP103" s="50">
        <v>33.333333333333336</v>
      </c>
      <c r="AQ103" s="49">
        <v>0</v>
      </c>
      <c r="AR103" s="50">
        <v>0</v>
      </c>
      <c r="AS103" s="49">
        <v>2</v>
      </c>
      <c r="AT103" s="50">
        <v>66.66666666666667</v>
      </c>
      <c r="AU103" s="49">
        <v>3</v>
      </c>
      <c r="AV103" s="111" t="s">
        <v>1457</v>
      </c>
      <c r="AW103" s="111" t="s">
        <v>1457</v>
      </c>
      <c r="AX103" s="111" t="s">
        <v>1594</v>
      </c>
      <c r="AY103" s="111" t="s">
        <v>1594</v>
      </c>
      <c r="AZ103" s="2"/>
      <c r="BA103" s="3"/>
      <c r="BB103" s="3"/>
      <c r="BC103" s="3"/>
      <c r="BD103" s="3"/>
    </row>
    <row r="104" spans="1:56" ht="15">
      <c r="A104" s="68" t="s">
        <v>415</v>
      </c>
      <c r="B104" s="69"/>
      <c r="C104" s="69"/>
      <c r="D104" s="70">
        <v>83.46214615416434</v>
      </c>
      <c r="E104" s="72"/>
      <c r="F104" s="69"/>
      <c r="G104" s="69"/>
      <c r="H104" s="73" t="s">
        <v>415</v>
      </c>
      <c r="I104" s="74"/>
      <c r="J104" s="74"/>
      <c r="K104" s="73" t="s">
        <v>415</v>
      </c>
      <c r="L104" s="77">
        <v>190.9078022897052</v>
      </c>
      <c r="M104" s="78">
        <v>6013.60009765625</v>
      </c>
      <c r="N104" s="78">
        <v>2579.043701171875</v>
      </c>
      <c r="O104" s="79"/>
      <c r="P104" s="80"/>
      <c r="Q104" s="80"/>
      <c r="R104" s="85"/>
      <c r="S104" s="49">
        <v>1</v>
      </c>
      <c r="T104" s="49">
        <v>1</v>
      </c>
      <c r="U104" s="50">
        <v>706.436364</v>
      </c>
      <c r="V104" s="50">
        <v>0.001364</v>
      </c>
      <c r="W104" s="50">
        <v>0.011932</v>
      </c>
      <c r="X104" s="50">
        <v>0.68563</v>
      </c>
      <c r="Y104" s="50">
        <v>0</v>
      </c>
      <c r="Z104" s="50">
        <v>0</v>
      </c>
      <c r="AA104" s="75">
        <v>104</v>
      </c>
      <c r="AB104" s="75"/>
      <c r="AC104" s="76"/>
      <c r="AD104" s="82" t="s">
        <v>786</v>
      </c>
      <c r="AE104" s="82" t="s">
        <v>796</v>
      </c>
      <c r="AF104" s="82" t="s">
        <v>806</v>
      </c>
      <c r="AG104" s="82"/>
      <c r="AH104" s="82"/>
      <c r="AI104" s="82">
        <v>0.2342087</v>
      </c>
      <c r="AJ104" s="82">
        <v>500</v>
      </c>
      <c r="AK104" s="82"/>
      <c r="AL104" s="82" t="str">
        <f>REPLACE(INDEX(GroupVertices[Group],MATCH(Vertices[[#This Row],[Vertex]],GroupVertices[Vertex],0)),1,1,"")</f>
        <v>10</v>
      </c>
      <c r="AM104" s="49">
        <v>1</v>
      </c>
      <c r="AN104" s="50">
        <v>5.882352941176471</v>
      </c>
      <c r="AO104" s="49">
        <v>1</v>
      </c>
      <c r="AP104" s="50">
        <v>5.882352941176471</v>
      </c>
      <c r="AQ104" s="49">
        <v>0</v>
      </c>
      <c r="AR104" s="50">
        <v>0</v>
      </c>
      <c r="AS104" s="49">
        <v>15</v>
      </c>
      <c r="AT104" s="50">
        <v>88.23529411764706</v>
      </c>
      <c r="AU104" s="49">
        <v>17</v>
      </c>
      <c r="AV104" s="111" t="s">
        <v>1733</v>
      </c>
      <c r="AW104" s="111" t="s">
        <v>1733</v>
      </c>
      <c r="AX104" s="111" t="s">
        <v>1745</v>
      </c>
      <c r="AY104" s="111" t="s">
        <v>1745</v>
      </c>
      <c r="AZ104" s="2"/>
      <c r="BA104" s="3"/>
      <c r="BB104" s="3"/>
      <c r="BC104" s="3"/>
      <c r="BD104" s="3"/>
    </row>
    <row r="105" spans="1:56" ht="15">
      <c r="A105" s="68" t="s">
        <v>416</v>
      </c>
      <c r="B105" s="69"/>
      <c r="C105" s="69"/>
      <c r="D105" s="70">
        <v>66.58351601910994</v>
      </c>
      <c r="E105" s="72"/>
      <c r="F105" s="69"/>
      <c r="G105" s="69"/>
      <c r="H105" s="73" t="s">
        <v>416</v>
      </c>
      <c r="I105" s="74"/>
      <c r="J105" s="74"/>
      <c r="K105" s="73" t="s">
        <v>416</v>
      </c>
      <c r="L105" s="77">
        <v>95.11647020235601</v>
      </c>
      <c r="M105" s="78">
        <v>7324.1044921875</v>
      </c>
      <c r="N105" s="78">
        <v>2991.037109375</v>
      </c>
      <c r="O105" s="79"/>
      <c r="P105" s="80"/>
      <c r="Q105" s="80"/>
      <c r="R105" s="85"/>
      <c r="S105" s="49">
        <v>1</v>
      </c>
      <c r="T105" s="49">
        <v>1</v>
      </c>
      <c r="U105" s="50">
        <v>350.10303</v>
      </c>
      <c r="V105" s="50">
        <v>0.001098</v>
      </c>
      <c r="W105" s="50">
        <v>0.00172</v>
      </c>
      <c r="X105" s="50">
        <v>0.693159</v>
      </c>
      <c r="Y105" s="50">
        <v>0</v>
      </c>
      <c r="Z105" s="50">
        <v>0</v>
      </c>
      <c r="AA105" s="75">
        <v>105</v>
      </c>
      <c r="AB105" s="75"/>
      <c r="AC105" s="76"/>
      <c r="AD105" s="82" t="s">
        <v>786</v>
      </c>
      <c r="AE105" s="99" t="str">
        <f>HYPERLINK("http://en.wikipedia.org/wiki/User:78.150.48.114")</f>
        <v>http://en.wikipedia.org/wiki/User:78.150.48.114</v>
      </c>
      <c r="AF105" s="82" t="s">
        <v>806</v>
      </c>
      <c r="AG105" s="82"/>
      <c r="AH105" s="82"/>
      <c r="AI105" s="82">
        <v>0</v>
      </c>
      <c r="AJ105" s="82">
        <v>4</v>
      </c>
      <c r="AK105" s="82"/>
      <c r="AL105" s="82" t="str">
        <f>REPLACE(INDEX(GroupVertices[Group],MATCH(Vertices[[#This Row],[Vertex]],GroupVertices[Vertex],0)),1,1,"")</f>
        <v>10</v>
      </c>
      <c r="AM105" s="49">
        <v>0</v>
      </c>
      <c r="AN105" s="50">
        <v>0</v>
      </c>
      <c r="AO105" s="49">
        <v>0</v>
      </c>
      <c r="AP105" s="50">
        <v>0</v>
      </c>
      <c r="AQ105" s="49">
        <v>0</v>
      </c>
      <c r="AR105" s="50">
        <v>0</v>
      </c>
      <c r="AS105" s="49">
        <v>7</v>
      </c>
      <c r="AT105" s="50">
        <v>100</v>
      </c>
      <c r="AU105" s="49">
        <v>7</v>
      </c>
      <c r="AV105" s="111" t="s">
        <v>1455</v>
      </c>
      <c r="AW105" s="111" t="s">
        <v>1455</v>
      </c>
      <c r="AX105" s="111" t="s">
        <v>1592</v>
      </c>
      <c r="AY105" s="111" t="s">
        <v>1592</v>
      </c>
      <c r="AZ105" s="2"/>
      <c r="BA105" s="3"/>
      <c r="BB105" s="3"/>
      <c r="BC105" s="3"/>
      <c r="BD105" s="3"/>
    </row>
    <row r="106" spans="1:56" ht="15">
      <c r="A106" s="68" t="s">
        <v>417</v>
      </c>
      <c r="B106" s="69"/>
      <c r="C106" s="69"/>
      <c r="D106" s="70">
        <v>129.12746002204884</v>
      </c>
      <c r="E106" s="72"/>
      <c r="F106" s="69"/>
      <c r="G106" s="69"/>
      <c r="H106" s="73" t="s">
        <v>417</v>
      </c>
      <c r="I106" s="74"/>
      <c r="J106" s="74"/>
      <c r="K106" s="73" t="s">
        <v>417</v>
      </c>
      <c r="L106" s="77">
        <v>450.0722730192758</v>
      </c>
      <c r="M106" s="78">
        <v>6520.61376953125</v>
      </c>
      <c r="N106" s="78">
        <v>2608.71142578125</v>
      </c>
      <c r="O106" s="79"/>
      <c r="P106" s="80"/>
      <c r="Q106" s="80"/>
      <c r="R106" s="85"/>
      <c r="S106" s="49">
        <v>5</v>
      </c>
      <c r="T106" s="49">
        <v>5</v>
      </c>
      <c r="U106" s="50">
        <v>1670.5</v>
      </c>
      <c r="V106" s="50">
        <v>0.000938</v>
      </c>
      <c r="W106" s="50">
        <v>0.001472</v>
      </c>
      <c r="X106" s="50">
        <v>2.665766</v>
      </c>
      <c r="Y106" s="50">
        <v>0.017857142857142856</v>
      </c>
      <c r="Z106" s="50">
        <v>0</v>
      </c>
      <c r="AA106" s="75">
        <v>106</v>
      </c>
      <c r="AB106" s="75"/>
      <c r="AC106" s="76"/>
      <c r="AD106" s="82" t="s">
        <v>786</v>
      </c>
      <c r="AE106" s="99" t="str">
        <f>HYPERLINK("http://en.wikipedia.org/wiki/User:Fixuture")</f>
        <v>http://en.wikipedia.org/wiki/User:Fixuture</v>
      </c>
      <c r="AF106" s="82" t="s">
        <v>806</v>
      </c>
      <c r="AG106" s="82"/>
      <c r="AH106" s="82"/>
      <c r="AI106" s="82">
        <v>0.1927918</v>
      </c>
      <c r="AJ106" s="82">
        <v>500</v>
      </c>
      <c r="AK106" s="82"/>
      <c r="AL106" s="82" t="str">
        <f>REPLACE(INDEX(GroupVertices[Group],MATCH(Vertices[[#This Row],[Vertex]],GroupVertices[Vertex],0)),1,1,"")</f>
        <v>10</v>
      </c>
      <c r="AM106" s="49">
        <v>3</v>
      </c>
      <c r="AN106" s="50">
        <v>7.317073170731708</v>
      </c>
      <c r="AO106" s="49">
        <v>0</v>
      </c>
      <c r="AP106" s="50">
        <v>0</v>
      </c>
      <c r="AQ106" s="49">
        <v>0</v>
      </c>
      <c r="AR106" s="50">
        <v>0</v>
      </c>
      <c r="AS106" s="49">
        <v>38</v>
      </c>
      <c r="AT106" s="50">
        <v>92.6829268292683</v>
      </c>
      <c r="AU106" s="49">
        <v>41</v>
      </c>
      <c r="AV106" s="111" t="s">
        <v>1476</v>
      </c>
      <c r="AW106" s="111" t="s">
        <v>1476</v>
      </c>
      <c r="AX106" s="111" t="s">
        <v>1612</v>
      </c>
      <c r="AY106" s="111" t="s">
        <v>1612</v>
      </c>
      <c r="AZ106" s="2"/>
      <c r="BA106" s="3"/>
      <c r="BB106" s="3"/>
      <c r="BC106" s="3"/>
      <c r="BD106" s="3"/>
    </row>
    <row r="107" spans="1:56" ht="15">
      <c r="A107" s="68" t="s">
        <v>418</v>
      </c>
      <c r="B107" s="69"/>
      <c r="C107" s="69"/>
      <c r="D107" s="70">
        <v>50</v>
      </c>
      <c r="E107" s="72"/>
      <c r="F107" s="69"/>
      <c r="G107" s="69"/>
      <c r="H107" s="73" t="s">
        <v>418</v>
      </c>
      <c r="I107" s="74"/>
      <c r="J107" s="74"/>
      <c r="K107" s="73" t="s">
        <v>418</v>
      </c>
      <c r="L107" s="77">
        <v>1</v>
      </c>
      <c r="M107" s="78">
        <v>7228.99560546875</v>
      </c>
      <c r="N107" s="78">
        <v>895.0819091796875</v>
      </c>
      <c r="O107" s="79"/>
      <c r="P107" s="80"/>
      <c r="Q107" s="80"/>
      <c r="R107" s="85"/>
      <c r="S107" s="49">
        <v>2</v>
      </c>
      <c r="T107" s="49">
        <v>2</v>
      </c>
      <c r="U107" s="50">
        <v>0</v>
      </c>
      <c r="V107" s="50">
        <v>0.000682</v>
      </c>
      <c r="W107" s="50">
        <v>3.3E-05</v>
      </c>
      <c r="X107" s="50">
        <v>0.748474</v>
      </c>
      <c r="Y107" s="50">
        <v>0</v>
      </c>
      <c r="Z107" s="50">
        <v>1</v>
      </c>
      <c r="AA107" s="75">
        <v>107</v>
      </c>
      <c r="AB107" s="75"/>
      <c r="AC107" s="76"/>
      <c r="AD107" s="82" t="s">
        <v>786</v>
      </c>
      <c r="AE107" s="82" t="s">
        <v>797</v>
      </c>
      <c r="AF107" s="82" t="s">
        <v>806</v>
      </c>
      <c r="AG107" s="82"/>
      <c r="AH107" s="82"/>
      <c r="AI107" s="82">
        <v>0.1895038</v>
      </c>
      <c r="AJ107" s="82">
        <v>500</v>
      </c>
      <c r="AK107" s="82"/>
      <c r="AL107" s="82" t="str">
        <f>REPLACE(INDEX(GroupVertices[Group],MATCH(Vertices[[#This Row],[Vertex]],GroupVertices[Vertex],0)),1,1,"")</f>
        <v>10</v>
      </c>
      <c r="AM107" s="49">
        <v>0</v>
      </c>
      <c r="AN107" s="50">
        <v>0</v>
      </c>
      <c r="AO107" s="49">
        <v>1</v>
      </c>
      <c r="AP107" s="50">
        <v>5.2631578947368425</v>
      </c>
      <c r="AQ107" s="49">
        <v>0</v>
      </c>
      <c r="AR107" s="50">
        <v>0</v>
      </c>
      <c r="AS107" s="49">
        <v>18</v>
      </c>
      <c r="AT107" s="50">
        <v>94.73684210526316</v>
      </c>
      <c r="AU107" s="49">
        <v>19</v>
      </c>
      <c r="AV107" s="111" t="s">
        <v>1477</v>
      </c>
      <c r="AW107" s="111" t="s">
        <v>1477</v>
      </c>
      <c r="AX107" s="111" t="s">
        <v>1613</v>
      </c>
      <c r="AY107" s="111" t="s">
        <v>1613</v>
      </c>
      <c r="AZ107" s="2"/>
      <c r="BA107" s="3"/>
      <c r="BB107" s="3"/>
      <c r="BC107" s="3"/>
      <c r="BD107" s="3"/>
    </row>
    <row r="108" spans="1:56" ht="15">
      <c r="A108" s="68" t="s">
        <v>419</v>
      </c>
      <c r="B108" s="69"/>
      <c r="C108" s="69"/>
      <c r="D108" s="70">
        <v>69.13648239982504</v>
      </c>
      <c r="E108" s="72"/>
      <c r="F108" s="69"/>
      <c r="G108" s="69"/>
      <c r="H108" s="73" t="s">
        <v>419</v>
      </c>
      <c r="I108" s="74"/>
      <c r="J108" s="74"/>
      <c r="K108" s="73" t="s">
        <v>419</v>
      </c>
      <c r="L108" s="77">
        <v>109.60532672839715</v>
      </c>
      <c r="M108" s="78">
        <v>6321.5322265625</v>
      </c>
      <c r="N108" s="78">
        <v>1515.9669189453125</v>
      </c>
      <c r="O108" s="79"/>
      <c r="P108" s="80"/>
      <c r="Q108" s="80"/>
      <c r="R108" s="85"/>
      <c r="S108" s="49">
        <v>2</v>
      </c>
      <c r="T108" s="49">
        <v>2</v>
      </c>
      <c r="U108" s="50">
        <v>404</v>
      </c>
      <c r="V108" s="50">
        <v>0.000791</v>
      </c>
      <c r="W108" s="50">
        <v>0.000225</v>
      </c>
      <c r="X108" s="50">
        <v>0.989551</v>
      </c>
      <c r="Y108" s="50">
        <v>0.16666666666666666</v>
      </c>
      <c r="Z108" s="50">
        <v>0.3333333333333333</v>
      </c>
      <c r="AA108" s="75">
        <v>108</v>
      </c>
      <c r="AB108" s="75"/>
      <c r="AC108" s="76"/>
      <c r="AD108" s="82" t="s">
        <v>786</v>
      </c>
      <c r="AE108" s="99" t="str">
        <f>HYPERLINK("http://en.wikipedia.org/wiki/User:Valereee")</f>
        <v>http://en.wikipedia.org/wiki/User:Valereee</v>
      </c>
      <c r="AF108" s="82" t="s">
        <v>806</v>
      </c>
      <c r="AG108" s="82"/>
      <c r="AH108" s="82"/>
      <c r="AI108" s="82">
        <v>0.636</v>
      </c>
      <c r="AJ108" s="82">
        <v>500</v>
      </c>
      <c r="AK108" s="82"/>
      <c r="AL108" s="82" t="str">
        <f>REPLACE(INDEX(GroupVertices[Group],MATCH(Vertices[[#This Row],[Vertex]],GroupVertices[Vertex],0)),1,1,"")</f>
        <v>10</v>
      </c>
      <c r="AM108" s="49">
        <v>0</v>
      </c>
      <c r="AN108" s="50">
        <v>0</v>
      </c>
      <c r="AO108" s="49">
        <v>2</v>
      </c>
      <c r="AP108" s="50">
        <v>28.571428571428573</v>
      </c>
      <c r="AQ108" s="49">
        <v>0</v>
      </c>
      <c r="AR108" s="50">
        <v>0</v>
      </c>
      <c r="AS108" s="49">
        <v>5</v>
      </c>
      <c r="AT108" s="50">
        <v>71.42857142857143</v>
      </c>
      <c r="AU108" s="49">
        <v>7</v>
      </c>
      <c r="AV108" s="111" t="s">
        <v>1478</v>
      </c>
      <c r="AW108" s="111" t="s">
        <v>1553</v>
      </c>
      <c r="AX108" s="111" t="s">
        <v>1614</v>
      </c>
      <c r="AY108" s="111" t="s">
        <v>1685</v>
      </c>
      <c r="AZ108" s="2"/>
      <c r="BA108" s="3"/>
      <c r="BB108" s="3"/>
      <c r="BC108" s="3"/>
      <c r="BD108" s="3"/>
    </row>
    <row r="109" spans="1:56" ht="15">
      <c r="A109" s="68" t="s">
        <v>420</v>
      </c>
      <c r="B109" s="69"/>
      <c r="C109" s="69"/>
      <c r="D109" s="70">
        <v>50</v>
      </c>
      <c r="E109" s="72"/>
      <c r="F109" s="69"/>
      <c r="G109" s="69"/>
      <c r="H109" s="73" t="s">
        <v>420</v>
      </c>
      <c r="I109" s="74"/>
      <c r="J109" s="74"/>
      <c r="K109" s="73" t="s">
        <v>420</v>
      </c>
      <c r="L109" s="77">
        <v>1</v>
      </c>
      <c r="M109" s="78">
        <v>7205.96728515625</v>
      </c>
      <c r="N109" s="78">
        <v>1679.375732421875</v>
      </c>
      <c r="O109" s="79"/>
      <c r="P109" s="80"/>
      <c r="Q109" s="80"/>
      <c r="R109" s="85"/>
      <c r="S109" s="49">
        <v>2</v>
      </c>
      <c r="T109" s="49">
        <v>2</v>
      </c>
      <c r="U109" s="50">
        <v>0</v>
      </c>
      <c r="V109" s="50">
        <v>0.00079</v>
      </c>
      <c r="W109" s="50">
        <v>0.00025</v>
      </c>
      <c r="X109" s="50">
        <v>0.951822</v>
      </c>
      <c r="Y109" s="50">
        <v>0.5</v>
      </c>
      <c r="Z109" s="50">
        <v>0</v>
      </c>
      <c r="AA109" s="75">
        <v>109</v>
      </c>
      <c r="AB109" s="75"/>
      <c r="AC109" s="76"/>
      <c r="AD109" s="82" t="s">
        <v>786</v>
      </c>
      <c r="AE109" s="99" t="str">
        <f>HYPERLINK("http://en.wikipedia.org/wiki/User:71.104.87.104")</f>
        <v>http://en.wikipedia.org/wiki/User:71.104.87.104</v>
      </c>
      <c r="AF109" s="82" t="s">
        <v>806</v>
      </c>
      <c r="AG109" s="82"/>
      <c r="AH109" s="82"/>
      <c r="AI109" s="82">
        <v>0</v>
      </c>
      <c r="AJ109" s="82">
        <v>2</v>
      </c>
      <c r="AK109" s="82"/>
      <c r="AL109" s="82" t="str">
        <f>REPLACE(INDEX(GroupVertices[Group],MATCH(Vertices[[#This Row],[Vertex]],GroupVertices[Vertex],0)),1,1,"")</f>
        <v>10</v>
      </c>
      <c r="AM109" s="49">
        <v>1</v>
      </c>
      <c r="AN109" s="50">
        <v>5.555555555555555</v>
      </c>
      <c r="AO109" s="49">
        <v>1</v>
      </c>
      <c r="AP109" s="50">
        <v>5.555555555555555</v>
      </c>
      <c r="AQ109" s="49">
        <v>0</v>
      </c>
      <c r="AR109" s="50">
        <v>0</v>
      </c>
      <c r="AS109" s="49">
        <v>16</v>
      </c>
      <c r="AT109" s="50">
        <v>88.88888888888889</v>
      </c>
      <c r="AU109" s="49">
        <v>18</v>
      </c>
      <c r="AV109" s="111" t="s">
        <v>1479</v>
      </c>
      <c r="AW109" s="111" t="s">
        <v>1479</v>
      </c>
      <c r="AX109" s="111" t="s">
        <v>1615</v>
      </c>
      <c r="AY109" s="111" t="s">
        <v>1615</v>
      </c>
      <c r="AZ109" s="2"/>
      <c r="BA109" s="3"/>
      <c r="BB109" s="3"/>
      <c r="BC109" s="3"/>
      <c r="BD109" s="3"/>
    </row>
    <row r="110" spans="1:56" ht="15">
      <c r="A110" s="68" t="s">
        <v>421</v>
      </c>
      <c r="B110" s="69"/>
      <c r="C110" s="69"/>
      <c r="D110" s="70">
        <v>66.58351601910994</v>
      </c>
      <c r="E110" s="72"/>
      <c r="F110" s="69"/>
      <c r="G110" s="69"/>
      <c r="H110" s="73" t="s">
        <v>421</v>
      </c>
      <c r="I110" s="74"/>
      <c r="J110" s="74"/>
      <c r="K110" s="73" t="s">
        <v>421</v>
      </c>
      <c r="L110" s="77">
        <v>95.11647020235601</v>
      </c>
      <c r="M110" s="78">
        <v>5934.24462890625</v>
      </c>
      <c r="N110" s="78">
        <v>362.045166015625</v>
      </c>
      <c r="O110" s="79"/>
      <c r="P110" s="80"/>
      <c r="Q110" s="80"/>
      <c r="R110" s="85"/>
      <c r="S110" s="49">
        <v>1</v>
      </c>
      <c r="T110" s="49">
        <v>1</v>
      </c>
      <c r="U110" s="50">
        <v>350.10303</v>
      </c>
      <c r="V110" s="50">
        <v>0.001098</v>
      </c>
      <c r="W110" s="50">
        <v>0.00172</v>
      </c>
      <c r="X110" s="50">
        <v>0.693159</v>
      </c>
      <c r="Y110" s="50">
        <v>0</v>
      </c>
      <c r="Z110" s="50">
        <v>0</v>
      </c>
      <c r="AA110" s="75">
        <v>110</v>
      </c>
      <c r="AB110" s="75"/>
      <c r="AC110" s="76"/>
      <c r="AD110" s="82" t="s">
        <v>786</v>
      </c>
      <c r="AE110" s="99" t="str">
        <f>HYPERLINK("http://en.wikipedia.org/wiki/User:Coin945")</f>
        <v>http://en.wikipedia.org/wiki/User:Coin945</v>
      </c>
      <c r="AF110" s="82" t="s">
        <v>806</v>
      </c>
      <c r="AG110" s="82"/>
      <c r="AH110" s="82"/>
      <c r="AI110" s="82">
        <v>0.5101695</v>
      </c>
      <c r="AJ110" s="82">
        <v>500</v>
      </c>
      <c r="AK110" s="82"/>
      <c r="AL110" s="82" t="str">
        <f>REPLACE(INDEX(GroupVertices[Group],MATCH(Vertices[[#This Row],[Vertex]],GroupVertices[Vertex],0)),1,1,"")</f>
        <v>10</v>
      </c>
      <c r="AM110" s="49"/>
      <c r="AN110" s="50"/>
      <c r="AO110" s="49"/>
      <c r="AP110" s="50"/>
      <c r="AQ110" s="49"/>
      <c r="AR110" s="50"/>
      <c r="AS110" s="49"/>
      <c r="AT110" s="50"/>
      <c r="AU110" s="49"/>
      <c r="AV110" s="111" t="s">
        <v>1418</v>
      </c>
      <c r="AW110" s="111" t="s">
        <v>1418</v>
      </c>
      <c r="AX110" s="111" t="s">
        <v>1418</v>
      </c>
      <c r="AY110" s="111" t="s">
        <v>1418</v>
      </c>
      <c r="AZ110" s="2"/>
      <c r="BA110" s="3"/>
      <c r="BB110" s="3"/>
      <c r="BC110" s="3"/>
      <c r="BD110" s="3"/>
    </row>
    <row r="111" spans="1:56" ht="15">
      <c r="A111" s="68" t="s">
        <v>422</v>
      </c>
      <c r="B111" s="69"/>
      <c r="C111" s="69"/>
      <c r="D111" s="70">
        <v>83.46214615416434</v>
      </c>
      <c r="E111" s="72"/>
      <c r="F111" s="69"/>
      <c r="G111" s="69"/>
      <c r="H111" s="73" t="s">
        <v>422</v>
      </c>
      <c r="I111" s="74"/>
      <c r="J111" s="74"/>
      <c r="K111" s="73" t="s">
        <v>422</v>
      </c>
      <c r="L111" s="77">
        <v>190.9078022897052</v>
      </c>
      <c r="M111" s="78">
        <v>5551.458984375</v>
      </c>
      <c r="N111" s="78">
        <v>2393.24462890625</v>
      </c>
      <c r="O111" s="79"/>
      <c r="P111" s="80"/>
      <c r="Q111" s="80"/>
      <c r="R111" s="85"/>
      <c r="S111" s="49">
        <v>1</v>
      </c>
      <c r="T111" s="49">
        <v>1</v>
      </c>
      <c r="U111" s="50">
        <v>706.436364</v>
      </c>
      <c r="V111" s="50">
        <v>0.001364</v>
      </c>
      <c r="W111" s="50">
        <v>0.011932</v>
      </c>
      <c r="X111" s="50">
        <v>0.68563</v>
      </c>
      <c r="Y111" s="50">
        <v>0</v>
      </c>
      <c r="Z111" s="50">
        <v>0</v>
      </c>
      <c r="AA111" s="75">
        <v>111</v>
      </c>
      <c r="AB111" s="75"/>
      <c r="AC111" s="76"/>
      <c r="AD111" s="82" t="s">
        <v>786</v>
      </c>
      <c r="AE111" s="99" t="str">
        <f>HYPERLINK("http://en.wikipedia.org/wiki/User:104.172.111.184")</f>
        <v>http://en.wikipedia.org/wiki/User:104.172.111.184</v>
      </c>
      <c r="AF111" s="82" t="s">
        <v>806</v>
      </c>
      <c r="AG111" s="82"/>
      <c r="AH111" s="82"/>
      <c r="AI111" s="82">
        <v>0</v>
      </c>
      <c r="AJ111" s="82">
        <v>1</v>
      </c>
      <c r="AK111" s="82"/>
      <c r="AL111" s="82" t="str">
        <f>REPLACE(INDEX(GroupVertices[Group],MATCH(Vertices[[#This Row],[Vertex]],GroupVertices[Vertex],0)),1,1,"")</f>
        <v>10</v>
      </c>
      <c r="AM111" s="49">
        <v>1</v>
      </c>
      <c r="AN111" s="50">
        <v>14.285714285714286</v>
      </c>
      <c r="AO111" s="49">
        <v>0</v>
      </c>
      <c r="AP111" s="50">
        <v>0</v>
      </c>
      <c r="AQ111" s="49">
        <v>0</v>
      </c>
      <c r="AR111" s="50">
        <v>0</v>
      </c>
      <c r="AS111" s="49">
        <v>6</v>
      </c>
      <c r="AT111" s="50">
        <v>85.71428571428571</v>
      </c>
      <c r="AU111" s="49">
        <v>7</v>
      </c>
      <c r="AV111" s="111" t="s">
        <v>1480</v>
      </c>
      <c r="AW111" s="111" t="s">
        <v>1480</v>
      </c>
      <c r="AX111" s="111" t="s">
        <v>1616</v>
      </c>
      <c r="AY111" s="111" t="s">
        <v>1616</v>
      </c>
      <c r="AZ111" s="2"/>
      <c r="BA111" s="3"/>
      <c r="BB111" s="3"/>
      <c r="BC111" s="3"/>
      <c r="BD111" s="3"/>
    </row>
    <row r="112" spans="1:56" ht="15">
      <c r="A112" s="68" t="s">
        <v>423</v>
      </c>
      <c r="B112" s="69"/>
      <c r="C112" s="69"/>
      <c r="D112" s="70">
        <v>68.9470122770545</v>
      </c>
      <c r="E112" s="72"/>
      <c r="F112" s="69"/>
      <c r="G112" s="69"/>
      <c r="H112" s="73" t="s">
        <v>423</v>
      </c>
      <c r="I112" s="74"/>
      <c r="J112" s="74"/>
      <c r="K112" s="73" t="s">
        <v>423</v>
      </c>
      <c r="L112" s="77">
        <v>108.53002646375955</v>
      </c>
      <c r="M112" s="78">
        <v>832.9124755859375</v>
      </c>
      <c r="N112" s="78">
        <v>4694.97021484375</v>
      </c>
      <c r="O112" s="79"/>
      <c r="P112" s="80"/>
      <c r="Q112" s="80"/>
      <c r="R112" s="85"/>
      <c r="S112" s="49">
        <v>1</v>
      </c>
      <c r="T112" s="49">
        <v>1</v>
      </c>
      <c r="U112" s="50">
        <v>400</v>
      </c>
      <c r="V112" s="50">
        <v>0.001346</v>
      </c>
      <c r="W112" s="50">
        <v>0.011941</v>
      </c>
      <c r="X112" s="50">
        <v>0.712113</v>
      </c>
      <c r="Y112" s="50">
        <v>0</v>
      </c>
      <c r="Z112" s="50">
        <v>0</v>
      </c>
      <c r="AA112" s="75">
        <v>112</v>
      </c>
      <c r="AB112" s="75"/>
      <c r="AC112" s="76"/>
      <c r="AD112" s="82" t="s">
        <v>786</v>
      </c>
      <c r="AE112" s="99" t="str">
        <f>HYPERLINK("http://en.wikipedia.org/wiki/User:Tinaalimaa")</f>
        <v>http://en.wikipedia.org/wiki/User:Tinaalimaa</v>
      </c>
      <c r="AF112" s="82" t="s">
        <v>806</v>
      </c>
      <c r="AG112" s="82"/>
      <c r="AH112" s="82"/>
      <c r="AI112" s="82">
        <v>0</v>
      </c>
      <c r="AJ112" s="82">
        <v>2</v>
      </c>
      <c r="AK112" s="82"/>
      <c r="AL112" s="82" t="str">
        <f>REPLACE(INDEX(GroupVertices[Group],MATCH(Vertices[[#This Row],[Vertex]],GroupVertices[Vertex],0)),1,1,"")</f>
        <v>1</v>
      </c>
      <c r="AM112" s="49">
        <v>0</v>
      </c>
      <c r="AN112" s="50">
        <v>0</v>
      </c>
      <c r="AO112" s="49">
        <v>0</v>
      </c>
      <c r="AP112" s="50">
        <v>0</v>
      </c>
      <c r="AQ112" s="49">
        <v>0</v>
      </c>
      <c r="AR112" s="50">
        <v>0</v>
      </c>
      <c r="AS112" s="49">
        <v>8</v>
      </c>
      <c r="AT112" s="50">
        <v>100</v>
      </c>
      <c r="AU112" s="49">
        <v>8</v>
      </c>
      <c r="AV112" s="111" t="s">
        <v>1481</v>
      </c>
      <c r="AW112" s="111" t="s">
        <v>1481</v>
      </c>
      <c r="AX112" s="111" t="s">
        <v>1617</v>
      </c>
      <c r="AY112" s="111" t="s">
        <v>1617</v>
      </c>
      <c r="AZ112" s="2"/>
      <c r="BA112" s="3"/>
      <c r="BB112" s="3"/>
      <c r="BC112" s="3"/>
      <c r="BD112" s="3"/>
    </row>
    <row r="113" spans="1:56" ht="15">
      <c r="A113" s="68" t="s">
        <v>424</v>
      </c>
      <c r="B113" s="69"/>
      <c r="C113" s="69"/>
      <c r="D113" s="70">
        <v>50.09473506138527</v>
      </c>
      <c r="E113" s="72"/>
      <c r="F113" s="69"/>
      <c r="G113" s="69"/>
      <c r="H113" s="73" t="s">
        <v>424</v>
      </c>
      <c r="I113" s="74"/>
      <c r="J113" s="74"/>
      <c r="K113" s="73" t="s">
        <v>424</v>
      </c>
      <c r="L113" s="77">
        <v>1.5376501323187979</v>
      </c>
      <c r="M113" s="78">
        <v>127.3757553100586</v>
      </c>
      <c r="N113" s="78">
        <v>8169.42431640625</v>
      </c>
      <c r="O113" s="79"/>
      <c r="P113" s="80"/>
      <c r="Q113" s="80"/>
      <c r="R113" s="85"/>
      <c r="S113" s="49">
        <v>1</v>
      </c>
      <c r="T113" s="49">
        <v>1</v>
      </c>
      <c r="U113" s="50">
        <v>2</v>
      </c>
      <c r="V113" s="50">
        <v>0.001062</v>
      </c>
      <c r="W113" s="50">
        <v>0.001792</v>
      </c>
      <c r="X113" s="50">
        <v>0.755471</v>
      </c>
      <c r="Y113" s="50">
        <v>0</v>
      </c>
      <c r="Z113" s="50">
        <v>0</v>
      </c>
      <c r="AA113" s="75">
        <v>113</v>
      </c>
      <c r="AB113" s="75"/>
      <c r="AC113" s="76"/>
      <c r="AD113" s="82" t="s">
        <v>786</v>
      </c>
      <c r="AE113" s="99" t="str">
        <f>HYPERLINK("http://en.wikipedia.org/wiki/User:109.145.180.55")</f>
        <v>http://en.wikipedia.org/wiki/User:109.145.180.55</v>
      </c>
      <c r="AF113" s="82" t="s">
        <v>806</v>
      </c>
      <c r="AG113" s="82"/>
      <c r="AH113" s="82"/>
      <c r="AI113" s="82">
        <v>0.1333333</v>
      </c>
      <c r="AJ113" s="82">
        <v>5</v>
      </c>
      <c r="AK113" s="82"/>
      <c r="AL113" s="82" t="str">
        <f>REPLACE(INDEX(GroupVertices[Group],MATCH(Vertices[[#This Row],[Vertex]],GroupVertices[Vertex],0)),1,1,"")</f>
        <v>1</v>
      </c>
      <c r="AM113" s="49">
        <v>0</v>
      </c>
      <c r="AN113" s="50">
        <v>0</v>
      </c>
      <c r="AO113" s="49">
        <v>0</v>
      </c>
      <c r="AP113" s="50">
        <v>0</v>
      </c>
      <c r="AQ113" s="49">
        <v>0</v>
      </c>
      <c r="AR113" s="50">
        <v>0</v>
      </c>
      <c r="AS113" s="49">
        <v>6</v>
      </c>
      <c r="AT113" s="50">
        <v>100</v>
      </c>
      <c r="AU113" s="49">
        <v>6</v>
      </c>
      <c r="AV113" s="111" t="s">
        <v>868</v>
      </c>
      <c r="AW113" s="111" t="s">
        <v>868</v>
      </c>
      <c r="AX113" s="111" t="s">
        <v>1418</v>
      </c>
      <c r="AY113" s="111" t="s">
        <v>1418</v>
      </c>
      <c r="AZ113" s="2"/>
      <c r="BA113" s="3"/>
      <c r="BB113" s="3"/>
      <c r="BC113" s="3"/>
      <c r="BD113" s="3"/>
    </row>
    <row r="114" spans="1:56" ht="15">
      <c r="A114" s="68" t="s">
        <v>425</v>
      </c>
      <c r="B114" s="69"/>
      <c r="C114" s="69"/>
      <c r="D114" s="70">
        <v>50.09473506138527</v>
      </c>
      <c r="E114" s="72"/>
      <c r="F114" s="69"/>
      <c r="G114" s="69"/>
      <c r="H114" s="73" t="s">
        <v>425</v>
      </c>
      <c r="I114" s="74"/>
      <c r="J114" s="74"/>
      <c r="K114" s="73" t="s">
        <v>425</v>
      </c>
      <c r="L114" s="77">
        <v>1.5376501323187979</v>
      </c>
      <c r="M114" s="78">
        <v>231.3695526123047</v>
      </c>
      <c r="N114" s="78">
        <v>6367.64599609375</v>
      </c>
      <c r="O114" s="79"/>
      <c r="P114" s="80"/>
      <c r="Q114" s="80"/>
      <c r="R114" s="85"/>
      <c r="S114" s="49">
        <v>2</v>
      </c>
      <c r="T114" s="49">
        <v>2</v>
      </c>
      <c r="U114" s="50">
        <v>2</v>
      </c>
      <c r="V114" s="50">
        <v>0.001062</v>
      </c>
      <c r="W114" s="50">
        <v>0.002026</v>
      </c>
      <c r="X114" s="50">
        <v>1.06879</v>
      </c>
      <c r="Y114" s="50">
        <v>0</v>
      </c>
      <c r="Z114" s="50">
        <v>0</v>
      </c>
      <c r="AA114" s="75">
        <v>114</v>
      </c>
      <c r="AB114" s="75"/>
      <c r="AC114" s="76"/>
      <c r="AD114" s="82" t="s">
        <v>786</v>
      </c>
      <c r="AE114" s="99" t="str">
        <f>HYPERLINK("http://en.wikipedia.org/wiki/User:DanielPenfield")</f>
        <v>http://en.wikipedia.org/wiki/User:DanielPenfield</v>
      </c>
      <c r="AF114" s="82" t="s">
        <v>806</v>
      </c>
      <c r="AG114" s="82"/>
      <c r="AH114" s="82"/>
      <c r="AI114" s="82">
        <v>0.110509</v>
      </c>
      <c r="AJ114" s="82">
        <v>500</v>
      </c>
      <c r="AK114" s="82"/>
      <c r="AL114" s="82" t="str">
        <f>REPLACE(INDEX(GroupVertices[Group],MATCH(Vertices[[#This Row],[Vertex]],GroupVertices[Vertex],0)),1,1,"")</f>
        <v>1</v>
      </c>
      <c r="AM114" s="49">
        <v>0</v>
      </c>
      <c r="AN114" s="50">
        <v>0</v>
      </c>
      <c r="AO114" s="49">
        <v>0</v>
      </c>
      <c r="AP114" s="50">
        <v>0</v>
      </c>
      <c r="AQ114" s="49">
        <v>0</v>
      </c>
      <c r="AR114" s="50">
        <v>0</v>
      </c>
      <c r="AS114" s="49">
        <v>7</v>
      </c>
      <c r="AT114" s="50">
        <v>100</v>
      </c>
      <c r="AU114" s="49">
        <v>7</v>
      </c>
      <c r="AV114" s="111" t="s">
        <v>1734</v>
      </c>
      <c r="AW114" s="111" t="s">
        <v>1734</v>
      </c>
      <c r="AX114" s="111" t="s">
        <v>1746</v>
      </c>
      <c r="AY114" s="111" t="s">
        <v>1746</v>
      </c>
      <c r="AZ114" s="2"/>
      <c r="BA114" s="3"/>
      <c r="BB114" s="3"/>
      <c r="BC114" s="3"/>
      <c r="BD114" s="3"/>
    </row>
    <row r="115" spans="1:56" ht="15">
      <c r="A115" s="68" t="s">
        <v>426</v>
      </c>
      <c r="B115" s="69"/>
      <c r="C115" s="69"/>
      <c r="D115" s="70">
        <v>68.9470122770545</v>
      </c>
      <c r="E115" s="72"/>
      <c r="F115" s="69"/>
      <c r="G115" s="69"/>
      <c r="H115" s="73" t="s">
        <v>426</v>
      </c>
      <c r="I115" s="74"/>
      <c r="J115" s="74"/>
      <c r="K115" s="73" t="s">
        <v>426</v>
      </c>
      <c r="L115" s="77">
        <v>108.53002646375955</v>
      </c>
      <c r="M115" s="78">
        <v>1261.73876953125</v>
      </c>
      <c r="N115" s="78">
        <v>4623.81591796875</v>
      </c>
      <c r="O115" s="79"/>
      <c r="P115" s="80"/>
      <c r="Q115" s="80"/>
      <c r="R115" s="85"/>
      <c r="S115" s="49">
        <v>1</v>
      </c>
      <c r="T115" s="49">
        <v>1</v>
      </c>
      <c r="U115" s="50">
        <v>400</v>
      </c>
      <c r="V115" s="50">
        <v>0.001346</v>
      </c>
      <c r="W115" s="50">
        <v>0.011971</v>
      </c>
      <c r="X115" s="50">
        <v>0.693861</v>
      </c>
      <c r="Y115" s="50">
        <v>0</v>
      </c>
      <c r="Z115" s="50">
        <v>0</v>
      </c>
      <c r="AA115" s="75">
        <v>115</v>
      </c>
      <c r="AB115" s="75"/>
      <c r="AC115" s="76"/>
      <c r="AD115" s="82" t="s">
        <v>786</v>
      </c>
      <c r="AE115" s="99" t="str">
        <f>HYPERLINK("http://en.wikipedia.org/wiki/User:74.62.206.151")</f>
        <v>http://en.wikipedia.org/wiki/User:74.62.206.151</v>
      </c>
      <c r="AF115" s="82" t="s">
        <v>806</v>
      </c>
      <c r="AG115" s="82"/>
      <c r="AH115" s="82"/>
      <c r="AI115" s="82">
        <v>0.162465</v>
      </c>
      <c r="AJ115" s="82">
        <v>21</v>
      </c>
      <c r="AK115" s="82"/>
      <c r="AL115" s="82" t="str">
        <f>REPLACE(INDEX(GroupVertices[Group],MATCH(Vertices[[#This Row],[Vertex]],GroupVertices[Vertex],0)),1,1,"")</f>
        <v>1</v>
      </c>
      <c r="AM115" s="49"/>
      <c r="AN115" s="50"/>
      <c r="AO115" s="49"/>
      <c r="AP115" s="50"/>
      <c r="AQ115" s="49"/>
      <c r="AR115" s="50"/>
      <c r="AS115" s="49"/>
      <c r="AT115" s="50"/>
      <c r="AU115" s="49"/>
      <c r="AV115" s="111" t="s">
        <v>1418</v>
      </c>
      <c r="AW115" s="111" t="s">
        <v>1418</v>
      </c>
      <c r="AX115" s="111" t="s">
        <v>1418</v>
      </c>
      <c r="AY115" s="111" t="s">
        <v>1418</v>
      </c>
      <c r="AZ115" s="2"/>
      <c r="BA115" s="3"/>
      <c r="BB115" s="3"/>
      <c r="BC115" s="3"/>
      <c r="BD115" s="3"/>
    </row>
    <row r="116" spans="1:56" ht="15">
      <c r="A116" s="68" t="s">
        <v>427</v>
      </c>
      <c r="B116" s="69"/>
      <c r="C116" s="69"/>
      <c r="D116" s="70">
        <v>50</v>
      </c>
      <c r="E116" s="72"/>
      <c r="F116" s="69"/>
      <c r="G116" s="69"/>
      <c r="H116" s="73" t="s">
        <v>427</v>
      </c>
      <c r="I116" s="74"/>
      <c r="J116" s="74"/>
      <c r="K116" s="73" t="s">
        <v>427</v>
      </c>
      <c r="L116" s="77">
        <v>1</v>
      </c>
      <c r="M116" s="78">
        <v>1462.197265625</v>
      </c>
      <c r="N116" s="78">
        <v>8402.201171875</v>
      </c>
      <c r="O116" s="79"/>
      <c r="P116" s="80"/>
      <c r="Q116" s="80"/>
      <c r="R116" s="85"/>
      <c r="S116" s="49">
        <v>1</v>
      </c>
      <c r="T116" s="49">
        <v>1</v>
      </c>
      <c r="U116" s="50">
        <v>0</v>
      </c>
      <c r="V116" s="50">
        <v>0.00134</v>
      </c>
      <c r="W116" s="50">
        <v>0.011712</v>
      </c>
      <c r="X116" s="50">
        <v>0.391038</v>
      </c>
      <c r="Y116" s="50">
        <v>0</v>
      </c>
      <c r="Z116" s="50">
        <v>1</v>
      </c>
      <c r="AA116" s="75">
        <v>116</v>
      </c>
      <c r="AB116" s="75"/>
      <c r="AC116" s="76"/>
      <c r="AD116" s="82" t="s">
        <v>786</v>
      </c>
      <c r="AE116" s="99" t="str">
        <f>HYPERLINK("http://en.wikipedia.org/wiki/User:Knhende2")</f>
        <v>http://en.wikipedia.org/wiki/User:Knhende2</v>
      </c>
      <c r="AF116" s="82" t="s">
        <v>806</v>
      </c>
      <c r="AG116" s="82"/>
      <c r="AH116" s="82"/>
      <c r="AI116" s="82">
        <v>0.4215686</v>
      </c>
      <c r="AJ116" s="82">
        <v>17</v>
      </c>
      <c r="AK116" s="82"/>
      <c r="AL116" s="82" t="str">
        <f>REPLACE(INDEX(GroupVertices[Group],MATCH(Vertices[[#This Row],[Vertex]],GroupVertices[Vertex],0)),1,1,"")</f>
        <v>1</v>
      </c>
      <c r="AM116" s="49">
        <v>0</v>
      </c>
      <c r="AN116" s="50">
        <v>0</v>
      </c>
      <c r="AO116" s="49">
        <v>0</v>
      </c>
      <c r="AP116" s="50">
        <v>0</v>
      </c>
      <c r="AQ116" s="49">
        <v>0</v>
      </c>
      <c r="AR116" s="50">
        <v>0</v>
      </c>
      <c r="AS116" s="49">
        <v>4</v>
      </c>
      <c r="AT116" s="50">
        <v>100</v>
      </c>
      <c r="AU116" s="49">
        <v>4</v>
      </c>
      <c r="AV116" s="111" t="s">
        <v>885</v>
      </c>
      <c r="AW116" s="111" t="s">
        <v>885</v>
      </c>
      <c r="AX116" s="111" t="s">
        <v>1418</v>
      </c>
      <c r="AY116" s="111" t="s">
        <v>1418</v>
      </c>
      <c r="AZ116" s="2"/>
      <c r="BA116" s="3"/>
      <c r="BB116" s="3"/>
      <c r="BC116" s="3"/>
      <c r="BD116" s="3"/>
    </row>
    <row r="117" spans="1:56" ht="15">
      <c r="A117" s="68" t="s">
        <v>428</v>
      </c>
      <c r="B117" s="69"/>
      <c r="C117" s="69"/>
      <c r="D117" s="70">
        <v>83.46214615416434</v>
      </c>
      <c r="E117" s="72"/>
      <c r="F117" s="69"/>
      <c r="G117" s="69"/>
      <c r="H117" s="73" t="s">
        <v>428</v>
      </c>
      <c r="I117" s="74"/>
      <c r="J117" s="74"/>
      <c r="K117" s="73" t="s">
        <v>428</v>
      </c>
      <c r="L117" s="77">
        <v>190.9078022897052</v>
      </c>
      <c r="M117" s="78">
        <v>5626.17578125</v>
      </c>
      <c r="N117" s="78">
        <v>1082.7347412109375</v>
      </c>
      <c r="O117" s="79"/>
      <c r="P117" s="80"/>
      <c r="Q117" s="80"/>
      <c r="R117" s="85"/>
      <c r="S117" s="49">
        <v>1</v>
      </c>
      <c r="T117" s="49">
        <v>1</v>
      </c>
      <c r="U117" s="50">
        <v>706.436364</v>
      </c>
      <c r="V117" s="50">
        <v>0.001364</v>
      </c>
      <c r="W117" s="50">
        <v>0.011965</v>
      </c>
      <c r="X117" s="50">
        <v>0.660926</v>
      </c>
      <c r="Y117" s="50">
        <v>0</v>
      </c>
      <c r="Z117" s="50">
        <v>0</v>
      </c>
      <c r="AA117" s="75">
        <v>117</v>
      </c>
      <c r="AB117" s="75"/>
      <c r="AC117" s="76"/>
      <c r="AD117" s="82" t="s">
        <v>786</v>
      </c>
      <c r="AE117" s="99" t="str">
        <f>HYPERLINK("http://en.wikipedia.org/wiki/User:Jnunez96")</f>
        <v>http://en.wikipedia.org/wiki/User:Jnunez96</v>
      </c>
      <c r="AF117" s="82" t="s">
        <v>806</v>
      </c>
      <c r="AG117" s="82"/>
      <c r="AH117" s="82"/>
      <c r="AI117" s="82">
        <v>0.1333333</v>
      </c>
      <c r="AJ117" s="82">
        <v>6</v>
      </c>
      <c r="AK117" s="82"/>
      <c r="AL117" s="82" t="str">
        <f>REPLACE(INDEX(GroupVertices[Group],MATCH(Vertices[[#This Row],[Vertex]],GroupVertices[Vertex],0)),1,1,"")</f>
        <v>10</v>
      </c>
      <c r="AM117" s="49">
        <v>0</v>
      </c>
      <c r="AN117" s="50">
        <v>0</v>
      </c>
      <c r="AO117" s="49">
        <v>0</v>
      </c>
      <c r="AP117" s="50">
        <v>0</v>
      </c>
      <c r="AQ117" s="49">
        <v>0</v>
      </c>
      <c r="AR117" s="50">
        <v>0</v>
      </c>
      <c r="AS117" s="49">
        <v>9</v>
      </c>
      <c r="AT117" s="50">
        <v>100</v>
      </c>
      <c r="AU117" s="49">
        <v>9</v>
      </c>
      <c r="AV117" s="111" t="s">
        <v>1482</v>
      </c>
      <c r="AW117" s="111" t="s">
        <v>1482</v>
      </c>
      <c r="AX117" s="111" t="s">
        <v>1618</v>
      </c>
      <c r="AY117" s="111" t="s">
        <v>1618</v>
      </c>
      <c r="AZ117" s="2"/>
      <c r="BA117" s="3"/>
      <c r="BB117" s="3"/>
      <c r="BC117" s="3"/>
      <c r="BD117" s="3"/>
    </row>
    <row r="118" spans="1:56" ht="15">
      <c r="A118" s="68" t="s">
        <v>429</v>
      </c>
      <c r="B118" s="69"/>
      <c r="C118" s="69"/>
      <c r="D118" s="70">
        <v>66.58351601910994</v>
      </c>
      <c r="E118" s="72"/>
      <c r="F118" s="69"/>
      <c r="G118" s="69"/>
      <c r="H118" s="73" t="s">
        <v>429</v>
      </c>
      <c r="I118" s="74"/>
      <c r="J118" s="74"/>
      <c r="K118" s="73" t="s">
        <v>429</v>
      </c>
      <c r="L118" s="77">
        <v>95.11647020235601</v>
      </c>
      <c r="M118" s="78">
        <v>6456.48046875</v>
      </c>
      <c r="N118" s="78">
        <v>173.40188598632812</v>
      </c>
      <c r="O118" s="79"/>
      <c r="P118" s="80"/>
      <c r="Q118" s="80"/>
      <c r="R118" s="85"/>
      <c r="S118" s="49">
        <v>2</v>
      </c>
      <c r="T118" s="49">
        <v>2</v>
      </c>
      <c r="U118" s="50">
        <v>350.10303</v>
      </c>
      <c r="V118" s="50">
        <v>0.001098</v>
      </c>
      <c r="W118" s="50">
        <v>0.001978</v>
      </c>
      <c r="X118" s="50">
        <v>0.952549</v>
      </c>
      <c r="Y118" s="50">
        <v>0</v>
      </c>
      <c r="Z118" s="50">
        <v>0</v>
      </c>
      <c r="AA118" s="75">
        <v>118</v>
      </c>
      <c r="AB118" s="75"/>
      <c r="AC118" s="76"/>
      <c r="AD118" s="82" t="s">
        <v>786</v>
      </c>
      <c r="AE118" s="99" t="str">
        <f>HYPERLINK("http://en.wikipedia.org/wiki/User:Eevans11")</f>
        <v>http://en.wikipedia.org/wiki/User:Eevans11</v>
      </c>
      <c r="AF118" s="82" t="s">
        <v>806</v>
      </c>
      <c r="AG118" s="82"/>
      <c r="AH118" s="82"/>
      <c r="AI118" s="82">
        <v>0.3125</v>
      </c>
      <c r="AJ118" s="82">
        <v>16</v>
      </c>
      <c r="AK118" s="82"/>
      <c r="AL118" s="82" t="str">
        <f>REPLACE(INDEX(GroupVertices[Group],MATCH(Vertices[[#This Row],[Vertex]],GroupVertices[Vertex],0)),1,1,"")</f>
        <v>10</v>
      </c>
      <c r="AM118" s="49">
        <v>0</v>
      </c>
      <c r="AN118" s="50">
        <v>0</v>
      </c>
      <c r="AO118" s="49">
        <v>0</v>
      </c>
      <c r="AP118" s="50">
        <v>0</v>
      </c>
      <c r="AQ118" s="49">
        <v>0</v>
      </c>
      <c r="AR118" s="50">
        <v>0</v>
      </c>
      <c r="AS118" s="49">
        <v>14</v>
      </c>
      <c r="AT118" s="50">
        <v>100</v>
      </c>
      <c r="AU118" s="49">
        <v>14</v>
      </c>
      <c r="AV118" s="111" t="s">
        <v>1483</v>
      </c>
      <c r="AW118" s="111" t="s">
        <v>1483</v>
      </c>
      <c r="AX118" s="111" t="s">
        <v>1619</v>
      </c>
      <c r="AY118" s="111" t="s">
        <v>1619</v>
      </c>
      <c r="AZ118" s="2"/>
      <c r="BA118" s="3"/>
      <c r="BB118" s="3"/>
      <c r="BC118" s="3"/>
      <c r="BD118" s="3"/>
    </row>
    <row r="119" spans="1:56" ht="15">
      <c r="A119" s="68" t="s">
        <v>430</v>
      </c>
      <c r="B119" s="69"/>
      <c r="C119" s="69"/>
      <c r="D119" s="70">
        <v>66.58351601910994</v>
      </c>
      <c r="E119" s="72"/>
      <c r="F119" s="69"/>
      <c r="G119" s="69"/>
      <c r="H119" s="73" t="s">
        <v>430</v>
      </c>
      <c r="I119" s="74"/>
      <c r="J119" s="74"/>
      <c r="K119" s="73" t="s">
        <v>430</v>
      </c>
      <c r="L119" s="77">
        <v>95.11647020235601</v>
      </c>
      <c r="M119" s="78">
        <v>7075.10546875</v>
      </c>
      <c r="N119" s="78">
        <v>2347.703125</v>
      </c>
      <c r="O119" s="79"/>
      <c r="P119" s="80"/>
      <c r="Q119" s="80"/>
      <c r="R119" s="85"/>
      <c r="S119" s="49">
        <v>1</v>
      </c>
      <c r="T119" s="49">
        <v>1</v>
      </c>
      <c r="U119" s="50">
        <v>350.10303</v>
      </c>
      <c r="V119" s="50">
        <v>0.001098</v>
      </c>
      <c r="W119" s="50">
        <v>0.00172</v>
      </c>
      <c r="X119" s="50">
        <v>0.693159</v>
      </c>
      <c r="Y119" s="50">
        <v>0</v>
      </c>
      <c r="Z119" s="50">
        <v>0</v>
      </c>
      <c r="AA119" s="75">
        <v>119</v>
      </c>
      <c r="AB119" s="75"/>
      <c r="AC119" s="76"/>
      <c r="AD119" s="82" t="s">
        <v>786</v>
      </c>
      <c r="AE119" s="99" t="str">
        <f>HYPERLINK("http://en.wikipedia.org/wiki/User:LoeAsh")</f>
        <v>http://en.wikipedia.org/wiki/User:LoeAsh</v>
      </c>
      <c r="AF119" s="82" t="s">
        <v>806</v>
      </c>
      <c r="AG119" s="82"/>
      <c r="AH119" s="82"/>
      <c r="AI119" s="82">
        <v>0.265625</v>
      </c>
      <c r="AJ119" s="82">
        <v>16</v>
      </c>
      <c r="AK119" s="82"/>
      <c r="AL119" s="82" t="str">
        <f>REPLACE(INDEX(GroupVertices[Group],MATCH(Vertices[[#This Row],[Vertex]],GroupVertices[Vertex],0)),1,1,"")</f>
        <v>10</v>
      </c>
      <c r="AM119" s="49">
        <v>0</v>
      </c>
      <c r="AN119" s="50">
        <v>0</v>
      </c>
      <c r="AO119" s="49">
        <v>0</v>
      </c>
      <c r="AP119" s="50">
        <v>0</v>
      </c>
      <c r="AQ119" s="49">
        <v>0</v>
      </c>
      <c r="AR119" s="50">
        <v>0</v>
      </c>
      <c r="AS119" s="49">
        <v>10</v>
      </c>
      <c r="AT119" s="50">
        <v>100</v>
      </c>
      <c r="AU119" s="49">
        <v>10</v>
      </c>
      <c r="AV119" s="111" t="s">
        <v>1484</v>
      </c>
      <c r="AW119" s="111" t="s">
        <v>1484</v>
      </c>
      <c r="AX119" s="111" t="s">
        <v>1620</v>
      </c>
      <c r="AY119" s="111" t="s">
        <v>1620</v>
      </c>
      <c r="AZ119" s="2"/>
      <c r="BA119" s="3"/>
      <c r="BB119" s="3"/>
      <c r="BC119" s="3"/>
      <c r="BD119" s="3"/>
    </row>
    <row r="120" spans="1:56" ht="15">
      <c r="A120" s="68" t="s">
        <v>431</v>
      </c>
      <c r="B120" s="69"/>
      <c r="C120" s="69"/>
      <c r="D120" s="70">
        <v>83.46214615416434</v>
      </c>
      <c r="E120" s="72"/>
      <c r="F120" s="69"/>
      <c r="G120" s="69"/>
      <c r="H120" s="73" t="s">
        <v>431</v>
      </c>
      <c r="I120" s="74"/>
      <c r="J120" s="74"/>
      <c r="K120" s="73" t="s">
        <v>431</v>
      </c>
      <c r="L120" s="77">
        <v>190.9078022897052</v>
      </c>
      <c r="M120" s="78">
        <v>6858.51171875</v>
      </c>
      <c r="N120" s="78">
        <v>574.4747314453125</v>
      </c>
      <c r="O120" s="79"/>
      <c r="P120" s="80"/>
      <c r="Q120" s="80"/>
      <c r="R120" s="85"/>
      <c r="S120" s="49">
        <v>1</v>
      </c>
      <c r="T120" s="49">
        <v>1</v>
      </c>
      <c r="U120" s="50">
        <v>706.436364</v>
      </c>
      <c r="V120" s="50">
        <v>0.001364</v>
      </c>
      <c r="W120" s="50">
        <v>0.011932</v>
      </c>
      <c r="X120" s="50">
        <v>0.68563</v>
      </c>
      <c r="Y120" s="50">
        <v>0</v>
      </c>
      <c r="Z120" s="50">
        <v>0</v>
      </c>
      <c r="AA120" s="75">
        <v>120</v>
      </c>
      <c r="AB120" s="75"/>
      <c r="AC120" s="76"/>
      <c r="AD120" s="82" t="s">
        <v>786</v>
      </c>
      <c r="AE120" s="99" t="str">
        <f>HYPERLINK("http://en.wikipedia.org/wiki/User:78.171.130.160")</f>
        <v>http://en.wikipedia.org/wiki/User:78.171.130.160</v>
      </c>
      <c r="AF120" s="82" t="s">
        <v>806</v>
      </c>
      <c r="AG120" s="82"/>
      <c r="AH120" s="82"/>
      <c r="AI120" s="82">
        <v>0.5792682</v>
      </c>
      <c r="AJ120" s="82">
        <v>41</v>
      </c>
      <c r="AK120" s="82"/>
      <c r="AL120" s="82" t="str">
        <f>REPLACE(INDEX(GroupVertices[Group],MATCH(Vertices[[#This Row],[Vertex]],GroupVertices[Vertex],0)),1,1,"")</f>
        <v>10</v>
      </c>
      <c r="AM120" s="49">
        <v>0</v>
      </c>
      <c r="AN120" s="50">
        <v>0</v>
      </c>
      <c r="AO120" s="49">
        <v>0</v>
      </c>
      <c r="AP120" s="50">
        <v>0</v>
      </c>
      <c r="AQ120" s="49">
        <v>0</v>
      </c>
      <c r="AR120" s="50">
        <v>0</v>
      </c>
      <c r="AS120" s="49">
        <v>3</v>
      </c>
      <c r="AT120" s="50">
        <v>100</v>
      </c>
      <c r="AU120" s="49">
        <v>3</v>
      </c>
      <c r="AV120" s="111" t="s">
        <v>1124</v>
      </c>
      <c r="AW120" s="111" t="s">
        <v>1124</v>
      </c>
      <c r="AX120" s="111" t="s">
        <v>1418</v>
      </c>
      <c r="AY120" s="111" t="s">
        <v>1418</v>
      </c>
      <c r="AZ120" s="2"/>
      <c r="BA120" s="3"/>
      <c r="BB120" s="3"/>
      <c r="BC120" s="3"/>
      <c r="BD120" s="3"/>
    </row>
    <row r="121" spans="1:56" ht="15">
      <c r="A121" s="68" t="s">
        <v>432</v>
      </c>
      <c r="B121" s="69"/>
      <c r="C121" s="69"/>
      <c r="D121" s="70">
        <v>50</v>
      </c>
      <c r="E121" s="72"/>
      <c r="F121" s="69"/>
      <c r="G121" s="69"/>
      <c r="H121" s="73" t="s">
        <v>432</v>
      </c>
      <c r="I121" s="74"/>
      <c r="J121" s="74"/>
      <c r="K121" s="73" t="s">
        <v>432</v>
      </c>
      <c r="L121" s="77">
        <v>1</v>
      </c>
      <c r="M121" s="78">
        <v>8916.2978515625</v>
      </c>
      <c r="N121" s="78">
        <v>943.8063354492188</v>
      </c>
      <c r="O121" s="79"/>
      <c r="P121" s="80"/>
      <c r="Q121" s="80"/>
      <c r="R121" s="85"/>
      <c r="S121" s="49">
        <v>1</v>
      </c>
      <c r="T121" s="49">
        <v>1</v>
      </c>
      <c r="U121" s="50">
        <v>0</v>
      </c>
      <c r="V121" s="50">
        <v>0.000917</v>
      </c>
      <c r="W121" s="50">
        <v>0.000835</v>
      </c>
      <c r="X121" s="50">
        <v>0.631576</v>
      </c>
      <c r="Y121" s="50">
        <v>0.5</v>
      </c>
      <c r="Z121" s="50">
        <v>0</v>
      </c>
      <c r="AA121" s="75">
        <v>121</v>
      </c>
      <c r="AB121" s="75"/>
      <c r="AC121" s="76"/>
      <c r="AD121" s="82" t="s">
        <v>786</v>
      </c>
      <c r="AE121" s="99" t="str">
        <f>HYPERLINK("http://en.wikipedia.org/wiki/User:Jagrif02")</f>
        <v>http://en.wikipedia.org/wiki/User:Jagrif02</v>
      </c>
      <c r="AF121" s="82" t="s">
        <v>806</v>
      </c>
      <c r="AG121" s="82"/>
      <c r="AH121" s="82"/>
      <c r="AI121" s="82">
        <v>0.598356</v>
      </c>
      <c r="AJ121" s="82">
        <v>383</v>
      </c>
      <c r="AK121" s="82"/>
      <c r="AL121" s="82" t="str">
        <f>REPLACE(INDEX(GroupVertices[Group],MATCH(Vertices[[#This Row],[Vertex]],GroupVertices[Vertex],0)),1,1,"")</f>
        <v>11</v>
      </c>
      <c r="AM121" s="49">
        <v>0</v>
      </c>
      <c r="AN121" s="50">
        <v>0</v>
      </c>
      <c r="AO121" s="49">
        <v>0</v>
      </c>
      <c r="AP121" s="50">
        <v>0</v>
      </c>
      <c r="AQ121" s="49">
        <v>0</v>
      </c>
      <c r="AR121" s="50">
        <v>0</v>
      </c>
      <c r="AS121" s="49">
        <v>14</v>
      </c>
      <c r="AT121" s="50">
        <v>100</v>
      </c>
      <c r="AU121" s="49">
        <v>14</v>
      </c>
      <c r="AV121" s="111" t="s">
        <v>1485</v>
      </c>
      <c r="AW121" s="111" t="s">
        <v>1485</v>
      </c>
      <c r="AX121" s="111" t="s">
        <v>1621</v>
      </c>
      <c r="AY121" s="111" t="s">
        <v>1621</v>
      </c>
      <c r="AZ121" s="2"/>
      <c r="BA121" s="3"/>
      <c r="BB121" s="3"/>
      <c r="BC121" s="3"/>
      <c r="BD121" s="3"/>
    </row>
    <row r="122" spans="1:56" ht="15">
      <c r="A122" s="68" t="s">
        <v>435</v>
      </c>
      <c r="B122" s="69"/>
      <c r="C122" s="69"/>
      <c r="D122" s="70">
        <v>110.07308132630186</v>
      </c>
      <c r="E122" s="72"/>
      <c r="F122" s="69"/>
      <c r="G122" s="69"/>
      <c r="H122" s="73" t="s">
        <v>435</v>
      </c>
      <c r="I122" s="74"/>
      <c r="J122" s="74"/>
      <c r="K122" s="73" t="s">
        <v>435</v>
      </c>
      <c r="L122" s="77">
        <v>341.9329096492799</v>
      </c>
      <c r="M122" s="78">
        <v>8416.685546875</v>
      </c>
      <c r="N122" s="78">
        <v>345.66522216796875</v>
      </c>
      <c r="O122" s="79"/>
      <c r="P122" s="80"/>
      <c r="Q122" s="80"/>
      <c r="R122" s="85"/>
      <c r="S122" s="49">
        <v>4</v>
      </c>
      <c r="T122" s="49">
        <v>4</v>
      </c>
      <c r="U122" s="50">
        <v>1268.233333</v>
      </c>
      <c r="V122" s="50">
        <v>0.001124</v>
      </c>
      <c r="W122" s="50">
        <v>0.003681</v>
      </c>
      <c r="X122" s="50">
        <v>1.980251</v>
      </c>
      <c r="Y122" s="50">
        <v>0.06666666666666667</v>
      </c>
      <c r="Z122" s="50">
        <v>0</v>
      </c>
      <c r="AA122" s="75">
        <v>122</v>
      </c>
      <c r="AB122" s="75"/>
      <c r="AC122" s="76"/>
      <c r="AD122" s="82" t="s">
        <v>786</v>
      </c>
      <c r="AE122" s="82" t="s">
        <v>798</v>
      </c>
      <c r="AF122" s="82" t="s">
        <v>806</v>
      </c>
      <c r="AG122" s="82"/>
      <c r="AH122" s="82"/>
      <c r="AI122" s="82">
        <v>0.4444444</v>
      </c>
      <c r="AJ122" s="82">
        <v>27</v>
      </c>
      <c r="AK122" s="82"/>
      <c r="AL122" s="82" t="str">
        <f>REPLACE(INDEX(GroupVertices[Group],MATCH(Vertices[[#This Row],[Vertex]],GroupVertices[Vertex],0)),1,1,"")</f>
        <v>11</v>
      </c>
      <c r="AM122" s="49">
        <v>0</v>
      </c>
      <c r="AN122" s="50">
        <v>0</v>
      </c>
      <c r="AO122" s="49">
        <v>0</v>
      </c>
      <c r="AP122" s="50">
        <v>0</v>
      </c>
      <c r="AQ122" s="49">
        <v>0</v>
      </c>
      <c r="AR122" s="50">
        <v>0</v>
      </c>
      <c r="AS122" s="49">
        <v>7</v>
      </c>
      <c r="AT122" s="50">
        <v>100</v>
      </c>
      <c r="AU122" s="49">
        <v>7</v>
      </c>
      <c r="AV122" s="111" t="s">
        <v>1486</v>
      </c>
      <c r="AW122" s="111" t="s">
        <v>1486</v>
      </c>
      <c r="AX122" s="111" t="s">
        <v>1418</v>
      </c>
      <c r="AY122" s="111" t="s">
        <v>1418</v>
      </c>
      <c r="AZ122" s="2"/>
      <c r="BA122" s="3"/>
      <c r="BB122" s="3"/>
      <c r="BC122" s="3"/>
      <c r="BD122" s="3"/>
    </row>
    <row r="123" spans="1:56" ht="15">
      <c r="A123" s="68" t="s">
        <v>433</v>
      </c>
      <c r="B123" s="69"/>
      <c r="C123" s="69"/>
      <c r="D123" s="70">
        <v>66.95441813679508</v>
      </c>
      <c r="E123" s="72"/>
      <c r="F123" s="69"/>
      <c r="G123" s="69"/>
      <c r="H123" s="73" t="s">
        <v>433</v>
      </c>
      <c r="I123" s="74"/>
      <c r="J123" s="74"/>
      <c r="K123" s="73" t="s">
        <v>433</v>
      </c>
      <c r="L123" s="77">
        <v>97.22145192437915</v>
      </c>
      <c r="M123" s="78">
        <v>8892.1669921875</v>
      </c>
      <c r="N123" s="78">
        <v>1577.001220703125</v>
      </c>
      <c r="O123" s="79"/>
      <c r="P123" s="80"/>
      <c r="Q123" s="80"/>
      <c r="R123" s="85"/>
      <c r="S123" s="49">
        <v>3</v>
      </c>
      <c r="T123" s="49">
        <v>3</v>
      </c>
      <c r="U123" s="50">
        <v>357.933333</v>
      </c>
      <c r="V123" s="50">
        <v>0.001094</v>
      </c>
      <c r="W123" s="50">
        <v>0.002826</v>
      </c>
      <c r="X123" s="50">
        <v>1.418337</v>
      </c>
      <c r="Y123" s="50">
        <v>0.16666666666666666</v>
      </c>
      <c r="Z123" s="50">
        <v>0</v>
      </c>
      <c r="AA123" s="75">
        <v>123</v>
      </c>
      <c r="AB123" s="75"/>
      <c r="AC123" s="76"/>
      <c r="AD123" s="82" t="s">
        <v>786</v>
      </c>
      <c r="AE123" s="99" t="str">
        <f>HYPERLINK("http://en.wikipedia.org/wiki/User:Sdcox004")</f>
        <v>http://en.wikipedia.org/wiki/User:Sdcox004</v>
      </c>
      <c r="AF123" s="82" t="s">
        <v>806</v>
      </c>
      <c r="AG123" s="82"/>
      <c r="AH123" s="82"/>
      <c r="AI123" s="82">
        <v>0.6034187</v>
      </c>
      <c r="AJ123" s="82">
        <v>90</v>
      </c>
      <c r="AK123" s="82"/>
      <c r="AL123" s="82" t="str">
        <f>REPLACE(INDEX(GroupVertices[Group],MATCH(Vertices[[#This Row],[Vertex]],GroupVertices[Vertex],0)),1,1,"")</f>
        <v>11</v>
      </c>
      <c r="AM123" s="49">
        <v>1</v>
      </c>
      <c r="AN123" s="50">
        <v>12.5</v>
      </c>
      <c r="AO123" s="49">
        <v>0</v>
      </c>
      <c r="AP123" s="50">
        <v>0</v>
      </c>
      <c r="AQ123" s="49">
        <v>0</v>
      </c>
      <c r="AR123" s="50">
        <v>0</v>
      </c>
      <c r="AS123" s="49">
        <v>7</v>
      </c>
      <c r="AT123" s="50">
        <v>87.5</v>
      </c>
      <c r="AU123" s="49">
        <v>8</v>
      </c>
      <c r="AV123" s="111" t="s">
        <v>1487</v>
      </c>
      <c r="AW123" s="111" t="s">
        <v>1487</v>
      </c>
      <c r="AX123" s="111" t="s">
        <v>1418</v>
      </c>
      <c r="AY123" s="111" t="s">
        <v>1418</v>
      </c>
      <c r="AZ123" s="2"/>
      <c r="BA123" s="3"/>
      <c r="BB123" s="3"/>
      <c r="BC123" s="3"/>
      <c r="BD123" s="3"/>
    </row>
    <row r="124" spans="1:56" ht="15">
      <c r="A124" s="68" t="s">
        <v>434</v>
      </c>
      <c r="B124" s="69"/>
      <c r="C124" s="69"/>
      <c r="D124" s="70">
        <v>50</v>
      </c>
      <c r="E124" s="72"/>
      <c r="F124" s="69"/>
      <c r="G124" s="69"/>
      <c r="H124" s="73" t="s">
        <v>434</v>
      </c>
      <c r="I124" s="74"/>
      <c r="J124" s="74"/>
      <c r="K124" s="73" t="s">
        <v>434</v>
      </c>
      <c r="L124" s="77">
        <v>1</v>
      </c>
      <c r="M124" s="78">
        <v>7749.4619140625</v>
      </c>
      <c r="N124" s="78">
        <v>1872.6800537109375</v>
      </c>
      <c r="O124" s="79"/>
      <c r="P124" s="80"/>
      <c r="Q124" s="80"/>
      <c r="R124" s="85"/>
      <c r="S124" s="49">
        <v>1</v>
      </c>
      <c r="T124" s="49">
        <v>1</v>
      </c>
      <c r="U124" s="50">
        <v>0</v>
      </c>
      <c r="V124" s="50">
        <v>0.000917</v>
      </c>
      <c r="W124" s="50">
        <v>0.000835</v>
      </c>
      <c r="X124" s="50">
        <v>0.631576</v>
      </c>
      <c r="Y124" s="50">
        <v>0.5</v>
      </c>
      <c r="Z124" s="50">
        <v>0</v>
      </c>
      <c r="AA124" s="75">
        <v>124</v>
      </c>
      <c r="AB124" s="75"/>
      <c r="AC124" s="76"/>
      <c r="AD124" s="82" t="s">
        <v>786</v>
      </c>
      <c r="AE124" s="99" t="str">
        <f>HYPERLINK("http://en.wikipedia.org/wiki/User:Eparedes97")</f>
        <v>http://en.wikipedia.org/wiki/User:Eparedes97</v>
      </c>
      <c r="AF124" s="82" t="s">
        <v>806</v>
      </c>
      <c r="AG124" s="82"/>
      <c r="AH124" s="82"/>
      <c r="AI124" s="82">
        <v>0.5069444</v>
      </c>
      <c r="AJ124" s="82">
        <v>36</v>
      </c>
      <c r="AK124" s="82"/>
      <c r="AL124" s="82" t="str">
        <f>REPLACE(INDEX(GroupVertices[Group],MATCH(Vertices[[#This Row],[Vertex]],GroupVertices[Vertex],0)),1,1,"")</f>
        <v>11</v>
      </c>
      <c r="AM124" s="49"/>
      <c r="AN124" s="50"/>
      <c r="AO124" s="49"/>
      <c r="AP124" s="50"/>
      <c r="AQ124" s="49"/>
      <c r="AR124" s="50"/>
      <c r="AS124" s="49"/>
      <c r="AT124" s="50"/>
      <c r="AU124" s="49"/>
      <c r="AV124" s="111" t="s">
        <v>1418</v>
      </c>
      <c r="AW124" s="111" t="s">
        <v>1418</v>
      </c>
      <c r="AX124" s="111" t="s">
        <v>1418</v>
      </c>
      <c r="AY124" s="111" t="s">
        <v>1418</v>
      </c>
      <c r="AZ124" s="2"/>
      <c r="BA124" s="3"/>
      <c r="BB124" s="3"/>
      <c r="BC124" s="3"/>
      <c r="BD124" s="3"/>
    </row>
    <row r="125" spans="1:56" ht="15">
      <c r="A125" s="68" t="s">
        <v>436</v>
      </c>
      <c r="B125" s="69"/>
      <c r="C125" s="69"/>
      <c r="D125" s="70">
        <v>83.4541080263084</v>
      </c>
      <c r="E125" s="72"/>
      <c r="F125" s="69"/>
      <c r="G125" s="69"/>
      <c r="H125" s="73" t="s">
        <v>436</v>
      </c>
      <c r="I125" s="74"/>
      <c r="J125" s="74"/>
      <c r="K125" s="73" t="s">
        <v>436</v>
      </c>
      <c r="L125" s="77">
        <v>190.86218348245313</v>
      </c>
      <c r="M125" s="78">
        <v>7902.62548828125</v>
      </c>
      <c r="N125" s="78">
        <v>173.4027557373047</v>
      </c>
      <c r="O125" s="79"/>
      <c r="P125" s="80"/>
      <c r="Q125" s="80"/>
      <c r="R125" s="85"/>
      <c r="S125" s="49">
        <v>2</v>
      </c>
      <c r="T125" s="49">
        <v>2</v>
      </c>
      <c r="U125" s="50">
        <v>706.266667</v>
      </c>
      <c r="V125" s="50">
        <v>0.001357</v>
      </c>
      <c r="W125" s="50">
        <v>0.013851</v>
      </c>
      <c r="X125" s="50">
        <v>0.882076</v>
      </c>
      <c r="Y125" s="50">
        <v>0</v>
      </c>
      <c r="Z125" s="50">
        <v>0</v>
      </c>
      <c r="AA125" s="75">
        <v>125</v>
      </c>
      <c r="AB125" s="75"/>
      <c r="AC125" s="76"/>
      <c r="AD125" s="82" t="s">
        <v>786</v>
      </c>
      <c r="AE125" s="99" t="str">
        <f>HYPERLINK("http://en.wikipedia.org/wiki/User:Hoffma51")</f>
        <v>http://en.wikipedia.org/wiki/User:Hoffma51</v>
      </c>
      <c r="AF125" s="82" t="s">
        <v>806</v>
      </c>
      <c r="AG125" s="82"/>
      <c r="AH125" s="82"/>
      <c r="AI125" s="82">
        <v>0.1758242</v>
      </c>
      <c r="AJ125" s="82">
        <v>13</v>
      </c>
      <c r="AK125" s="82"/>
      <c r="AL125" s="82" t="str">
        <f>REPLACE(INDEX(GroupVertices[Group],MATCH(Vertices[[#This Row],[Vertex]],GroupVertices[Vertex],0)),1,1,"")</f>
        <v>11</v>
      </c>
      <c r="AM125" s="49">
        <v>0</v>
      </c>
      <c r="AN125" s="50">
        <v>0</v>
      </c>
      <c r="AO125" s="49">
        <v>0</v>
      </c>
      <c r="AP125" s="50">
        <v>0</v>
      </c>
      <c r="AQ125" s="49">
        <v>0</v>
      </c>
      <c r="AR125" s="50">
        <v>0</v>
      </c>
      <c r="AS125" s="49">
        <v>9</v>
      </c>
      <c r="AT125" s="50">
        <v>100</v>
      </c>
      <c r="AU125" s="49">
        <v>9</v>
      </c>
      <c r="AV125" s="111" t="s">
        <v>1482</v>
      </c>
      <c r="AW125" s="111" t="s">
        <v>1482</v>
      </c>
      <c r="AX125" s="111" t="s">
        <v>1618</v>
      </c>
      <c r="AY125" s="111" t="s">
        <v>1618</v>
      </c>
      <c r="AZ125" s="2"/>
      <c r="BA125" s="3"/>
      <c r="BB125" s="3"/>
      <c r="BC125" s="3"/>
      <c r="BD125" s="3"/>
    </row>
    <row r="126" spans="1:56" ht="15">
      <c r="A126" s="68" t="s">
        <v>437</v>
      </c>
      <c r="B126" s="69"/>
      <c r="C126" s="69"/>
      <c r="D126" s="70">
        <v>67.08388941893331</v>
      </c>
      <c r="E126" s="72"/>
      <c r="F126" s="69"/>
      <c r="G126" s="69"/>
      <c r="H126" s="73" t="s">
        <v>437</v>
      </c>
      <c r="I126" s="74"/>
      <c r="J126" s="74"/>
      <c r="K126" s="73" t="s">
        <v>437</v>
      </c>
      <c r="L126" s="77">
        <v>97.95624061776489</v>
      </c>
      <c r="M126" s="78">
        <v>7458.5224609375</v>
      </c>
      <c r="N126" s="78">
        <v>2475.4052734375</v>
      </c>
      <c r="O126" s="79"/>
      <c r="P126" s="80"/>
      <c r="Q126" s="80"/>
      <c r="R126" s="85"/>
      <c r="S126" s="49">
        <v>1</v>
      </c>
      <c r="T126" s="49">
        <v>1</v>
      </c>
      <c r="U126" s="50">
        <v>360.666667</v>
      </c>
      <c r="V126" s="50">
        <v>0.001353</v>
      </c>
      <c r="W126" s="50">
        <v>0.011969</v>
      </c>
      <c r="X126" s="50">
        <v>0.679765</v>
      </c>
      <c r="Y126" s="50">
        <v>0</v>
      </c>
      <c r="Z126" s="50">
        <v>0</v>
      </c>
      <c r="AA126" s="75">
        <v>126</v>
      </c>
      <c r="AB126" s="75"/>
      <c r="AC126" s="76"/>
      <c r="AD126" s="82" t="s">
        <v>786</v>
      </c>
      <c r="AE126" s="82" t="s">
        <v>799</v>
      </c>
      <c r="AF126" s="82" t="s">
        <v>806</v>
      </c>
      <c r="AG126" s="82"/>
      <c r="AH126" s="82"/>
      <c r="AI126" s="82">
        <v>0.3193287</v>
      </c>
      <c r="AJ126" s="82">
        <v>500</v>
      </c>
      <c r="AK126" s="82"/>
      <c r="AL126" s="82" t="str">
        <f>REPLACE(INDEX(GroupVertices[Group],MATCH(Vertices[[#This Row],[Vertex]],GroupVertices[Vertex],0)),1,1,"")</f>
        <v>11</v>
      </c>
      <c r="AM126" s="49">
        <v>1</v>
      </c>
      <c r="AN126" s="50">
        <v>9.090909090909092</v>
      </c>
      <c r="AO126" s="49">
        <v>1</v>
      </c>
      <c r="AP126" s="50">
        <v>9.090909090909092</v>
      </c>
      <c r="AQ126" s="49">
        <v>0</v>
      </c>
      <c r="AR126" s="50">
        <v>0</v>
      </c>
      <c r="AS126" s="49">
        <v>9</v>
      </c>
      <c r="AT126" s="50">
        <v>81.81818181818181</v>
      </c>
      <c r="AU126" s="49">
        <v>11</v>
      </c>
      <c r="AV126" s="111" t="s">
        <v>1488</v>
      </c>
      <c r="AW126" s="111" t="s">
        <v>1488</v>
      </c>
      <c r="AX126" s="111" t="s">
        <v>1622</v>
      </c>
      <c r="AY126" s="111" t="s">
        <v>1622</v>
      </c>
      <c r="AZ126" s="2"/>
      <c r="BA126" s="3"/>
      <c r="BB126" s="3"/>
      <c r="BC126" s="3"/>
      <c r="BD126" s="3"/>
    </row>
    <row r="127" spans="1:56" ht="15">
      <c r="A127" s="68" t="s">
        <v>438</v>
      </c>
      <c r="B127" s="69"/>
      <c r="C127" s="69"/>
      <c r="D127" s="70">
        <v>50.536831998727365</v>
      </c>
      <c r="E127" s="72"/>
      <c r="F127" s="69"/>
      <c r="G127" s="69"/>
      <c r="H127" s="73" t="s">
        <v>438</v>
      </c>
      <c r="I127" s="74"/>
      <c r="J127" s="74"/>
      <c r="K127" s="73" t="s">
        <v>438</v>
      </c>
      <c r="L127" s="77">
        <v>4.046683993531499</v>
      </c>
      <c r="M127" s="78">
        <v>7451.4775390625</v>
      </c>
      <c r="N127" s="78">
        <v>1233.2869873046875</v>
      </c>
      <c r="O127" s="79"/>
      <c r="P127" s="80"/>
      <c r="Q127" s="80"/>
      <c r="R127" s="85"/>
      <c r="S127" s="49">
        <v>1</v>
      </c>
      <c r="T127" s="49">
        <v>1</v>
      </c>
      <c r="U127" s="50">
        <v>11.333333</v>
      </c>
      <c r="V127" s="50">
        <v>0.001092</v>
      </c>
      <c r="W127" s="50">
        <v>0.002008</v>
      </c>
      <c r="X127" s="50">
        <v>0.679359</v>
      </c>
      <c r="Y127" s="50">
        <v>0</v>
      </c>
      <c r="Z127" s="50">
        <v>0</v>
      </c>
      <c r="AA127" s="75">
        <v>127</v>
      </c>
      <c r="AB127" s="75"/>
      <c r="AC127" s="76"/>
      <c r="AD127" s="82" t="s">
        <v>786</v>
      </c>
      <c r="AE127" s="82" t="s">
        <v>800</v>
      </c>
      <c r="AF127" s="82" t="s">
        <v>806</v>
      </c>
      <c r="AG127" s="82"/>
      <c r="AH127" s="82"/>
      <c r="AI127" s="82">
        <v>0.0298804</v>
      </c>
      <c r="AJ127" s="82">
        <v>500</v>
      </c>
      <c r="AK127" s="82"/>
      <c r="AL127" s="82" t="str">
        <f>REPLACE(INDEX(GroupVertices[Group],MATCH(Vertices[[#This Row],[Vertex]],GroupVertices[Vertex],0)),1,1,"")</f>
        <v>11</v>
      </c>
      <c r="AM127" s="49">
        <v>1</v>
      </c>
      <c r="AN127" s="50">
        <v>10</v>
      </c>
      <c r="AO127" s="49">
        <v>0</v>
      </c>
      <c r="AP127" s="50">
        <v>0</v>
      </c>
      <c r="AQ127" s="49">
        <v>0</v>
      </c>
      <c r="AR127" s="50">
        <v>0</v>
      </c>
      <c r="AS127" s="49">
        <v>9</v>
      </c>
      <c r="AT127" s="50">
        <v>90</v>
      </c>
      <c r="AU127" s="49">
        <v>10</v>
      </c>
      <c r="AV127" s="111" t="s">
        <v>1489</v>
      </c>
      <c r="AW127" s="111" t="s">
        <v>1489</v>
      </c>
      <c r="AX127" s="111" t="s">
        <v>1623</v>
      </c>
      <c r="AY127" s="111" t="s">
        <v>1623</v>
      </c>
      <c r="AZ127" s="2"/>
      <c r="BA127" s="3"/>
      <c r="BB127" s="3"/>
      <c r="BC127" s="3"/>
      <c r="BD127" s="3"/>
    </row>
    <row r="128" spans="1:56" ht="15">
      <c r="A128" s="68" t="s">
        <v>505</v>
      </c>
      <c r="B128" s="69"/>
      <c r="C128" s="69"/>
      <c r="D128" s="70">
        <v>200</v>
      </c>
      <c r="E128" s="72"/>
      <c r="F128" s="69"/>
      <c r="G128" s="69"/>
      <c r="H128" s="73" t="s">
        <v>505</v>
      </c>
      <c r="I128" s="74"/>
      <c r="J128" s="74"/>
      <c r="K128" s="73" t="s">
        <v>505</v>
      </c>
      <c r="L128" s="77">
        <v>1054.1516394759913</v>
      </c>
      <c r="M128" s="78">
        <v>6438.29931640625</v>
      </c>
      <c r="N128" s="78">
        <v>7679.4111328125</v>
      </c>
      <c r="O128" s="79"/>
      <c r="P128" s="80"/>
      <c r="Q128" s="80"/>
      <c r="R128" s="85"/>
      <c r="S128" s="49">
        <v>4</v>
      </c>
      <c r="T128" s="49">
        <v>4</v>
      </c>
      <c r="U128" s="50">
        <v>3917.609524</v>
      </c>
      <c r="V128" s="50">
        <v>0.001412</v>
      </c>
      <c r="W128" s="50">
        <v>0.01802</v>
      </c>
      <c r="X128" s="50">
        <v>1.927043</v>
      </c>
      <c r="Y128" s="50">
        <v>0.06666666666666667</v>
      </c>
      <c r="Z128" s="50">
        <v>0</v>
      </c>
      <c r="AA128" s="75">
        <v>128</v>
      </c>
      <c r="AB128" s="75"/>
      <c r="AC128" s="76"/>
      <c r="AD128" s="82" t="s">
        <v>786</v>
      </c>
      <c r="AE128" s="99" t="str">
        <f>HYPERLINK("http://en.wikipedia.org/wiki/User:Jaobar")</f>
        <v>http://en.wikipedia.org/wiki/User:Jaobar</v>
      </c>
      <c r="AF128" s="82" t="s">
        <v>806</v>
      </c>
      <c r="AG128" s="82"/>
      <c r="AH128" s="82"/>
      <c r="AI128" s="82">
        <v>0.6896338</v>
      </c>
      <c r="AJ128" s="82">
        <v>500</v>
      </c>
      <c r="AK128" s="82"/>
      <c r="AL128" s="82" t="str">
        <f>REPLACE(INDEX(GroupVertices[Group],MATCH(Vertices[[#This Row],[Vertex]],GroupVertices[Vertex],0)),1,1,"")</f>
        <v>5</v>
      </c>
      <c r="AM128" s="49">
        <v>0</v>
      </c>
      <c r="AN128" s="50">
        <v>0</v>
      </c>
      <c r="AO128" s="49">
        <v>0</v>
      </c>
      <c r="AP128" s="50">
        <v>0</v>
      </c>
      <c r="AQ128" s="49">
        <v>0</v>
      </c>
      <c r="AR128" s="50">
        <v>0</v>
      </c>
      <c r="AS128" s="49">
        <v>14</v>
      </c>
      <c r="AT128" s="50">
        <v>100</v>
      </c>
      <c r="AU128" s="49">
        <v>14</v>
      </c>
      <c r="AV128" s="111" t="s">
        <v>1490</v>
      </c>
      <c r="AW128" s="111" t="s">
        <v>1490</v>
      </c>
      <c r="AX128" s="111" t="s">
        <v>1624</v>
      </c>
      <c r="AY128" s="111" t="s">
        <v>1624</v>
      </c>
      <c r="AZ128" s="2"/>
      <c r="BA128" s="3"/>
      <c r="BB128" s="3"/>
      <c r="BC128" s="3"/>
      <c r="BD128" s="3"/>
    </row>
    <row r="129" spans="1:56" ht="15">
      <c r="A129" s="68" t="s">
        <v>439</v>
      </c>
      <c r="B129" s="69"/>
      <c r="C129" s="69"/>
      <c r="D129" s="70">
        <v>69.88646828666927</v>
      </c>
      <c r="E129" s="72"/>
      <c r="F129" s="69"/>
      <c r="G129" s="69"/>
      <c r="H129" s="73" t="s">
        <v>439</v>
      </c>
      <c r="I129" s="74"/>
      <c r="J129" s="74"/>
      <c r="K129" s="73" t="s">
        <v>439</v>
      </c>
      <c r="L129" s="77">
        <v>113.86172351964593</v>
      </c>
      <c r="M129" s="78">
        <v>8757.8583984375</v>
      </c>
      <c r="N129" s="78">
        <v>2273.986572265625</v>
      </c>
      <c r="O129" s="79"/>
      <c r="P129" s="80"/>
      <c r="Q129" s="80"/>
      <c r="R129" s="85"/>
      <c r="S129" s="49">
        <v>1</v>
      </c>
      <c r="T129" s="49">
        <v>1</v>
      </c>
      <c r="U129" s="50">
        <v>419.833333</v>
      </c>
      <c r="V129" s="50">
        <v>0.000931</v>
      </c>
      <c r="W129" s="50">
        <v>0.000485</v>
      </c>
      <c r="X129" s="50">
        <v>0.68026</v>
      </c>
      <c r="Y129" s="50">
        <v>0</v>
      </c>
      <c r="Z129" s="50">
        <v>0</v>
      </c>
      <c r="AA129" s="75">
        <v>129</v>
      </c>
      <c r="AB129" s="75"/>
      <c r="AC129" s="76"/>
      <c r="AD129" s="82" t="s">
        <v>786</v>
      </c>
      <c r="AE129" s="99" t="str">
        <f>HYPERLINK("http://en.wikipedia.org/wiki/User:77.234.44.145")</f>
        <v>http://en.wikipedia.org/wiki/User:77.234.44.145</v>
      </c>
      <c r="AF129" s="82" t="s">
        <v>806</v>
      </c>
      <c r="AG129" s="82"/>
      <c r="AH129" s="82"/>
      <c r="AI129" s="82">
        <v>0.1666667</v>
      </c>
      <c r="AJ129" s="82">
        <v>8</v>
      </c>
      <c r="AK129" s="82"/>
      <c r="AL129" s="82" t="str">
        <f>REPLACE(INDEX(GroupVertices[Group],MATCH(Vertices[[#This Row],[Vertex]],GroupVertices[Vertex],0)),1,1,"")</f>
        <v>11</v>
      </c>
      <c r="AM129" s="49">
        <v>0</v>
      </c>
      <c r="AN129" s="50">
        <v>0</v>
      </c>
      <c r="AO129" s="49">
        <v>0</v>
      </c>
      <c r="AP129" s="50">
        <v>0</v>
      </c>
      <c r="AQ129" s="49">
        <v>0</v>
      </c>
      <c r="AR129" s="50">
        <v>0</v>
      </c>
      <c r="AS129" s="49">
        <v>4</v>
      </c>
      <c r="AT129" s="50">
        <v>100</v>
      </c>
      <c r="AU129" s="49">
        <v>4</v>
      </c>
      <c r="AV129" s="111" t="s">
        <v>1491</v>
      </c>
      <c r="AW129" s="111" t="s">
        <v>1491</v>
      </c>
      <c r="AX129" s="111" t="s">
        <v>1625</v>
      </c>
      <c r="AY129" s="111" t="s">
        <v>1625</v>
      </c>
      <c r="AZ129" s="2"/>
      <c r="BA129" s="3"/>
      <c r="BB129" s="3"/>
      <c r="BC129" s="3"/>
      <c r="BD129" s="3"/>
    </row>
    <row r="130" spans="1:56" ht="15">
      <c r="A130" s="68" t="s">
        <v>440</v>
      </c>
      <c r="B130" s="69"/>
      <c r="C130" s="69"/>
      <c r="D130" s="70">
        <v>53.978872578181445</v>
      </c>
      <c r="E130" s="72"/>
      <c r="F130" s="69"/>
      <c r="G130" s="69"/>
      <c r="H130" s="73" t="s">
        <v>440</v>
      </c>
      <c r="I130" s="74"/>
      <c r="J130" s="74"/>
      <c r="K130" s="73" t="s">
        <v>440</v>
      </c>
      <c r="L130" s="77">
        <v>23.581305557389506</v>
      </c>
      <c r="M130" s="78">
        <v>8330.5068359375</v>
      </c>
      <c r="N130" s="78">
        <v>1256.11279296875</v>
      </c>
      <c r="O130" s="79"/>
      <c r="P130" s="80"/>
      <c r="Q130" s="80"/>
      <c r="R130" s="85"/>
      <c r="S130" s="49">
        <v>2</v>
      </c>
      <c r="T130" s="49">
        <v>2</v>
      </c>
      <c r="U130" s="50">
        <v>84</v>
      </c>
      <c r="V130" s="50">
        <v>0.000803</v>
      </c>
      <c r="W130" s="50">
        <v>0.000101</v>
      </c>
      <c r="X130" s="50">
        <v>1.022827</v>
      </c>
      <c r="Y130" s="50">
        <v>0</v>
      </c>
      <c r="Z130" s="50">
        <v>0</v>
      </c>
      <c r="AA130" s="75">
        <v>130</v>
      </c>
      <c r="AB130" s="75"/>
      <c r="AC130" s="76"/>
      <c r="AD130" s="82" t="s">
        <v>786</v>
      </c>
      <c r="AE130" s="99" t="str">
        <f>HYPERLINK("http://en.wikipedia.org/wiki/User:Prof.bgreg")</f>
        <v>http://en.wikipedia.org/wiki/User:Prof.bgreg</v>
      </c>
      <c r="AF130" s="82" t="s">
        <v>806</v>
      </c>
      <c r="AG130" s="82"/>
      <c r="AH130" s="82"/>
      <c r="AI130" s="82">
        <v>0.6143283</v>
      </c>
      <c r="AJ130" s="82">
        <v>500</v>
      </c>
      <c r="AK130" s="82"/>
      <c r="AL130" s="82" t="str">
        <f>REPLACE(INDEX(GroupVertices[Group],MATCH(Vertices[[#This Row],[Vertex]],GroupVertices[Vertex],0)),1,1,"")</f>
        <v>11</v>
      </c>
      <c r="AM130" s="49">
        <v>0</v>
      </c>
      <c r="AN130" s="50">
        <v>0</v>
      </c>
      <c r="AO130" s="49">
        <v>0</v>
      </c>
      <c r="AP130" s="50">
        <v>0</v>
      </c>
      <c r="AQ130" s="49">
        <v>0</v>
      </c>
      <c r="AR130" s="50">
        <v>0</v>
      </c>
      <c r="AS130" s="49">
        <v>7</v>
      </c>
      <c r="AT130" s="50">
        <v>100</v>
      </c>
      <c r="AU130" s="49">
        <v>7</v>
      </c>
      <c r="AV130" s="111" t="s">
        <v>1492</v>
      </c>
      <c r="AW130" s="111" t="s">
        <v>1492</v>
      </c>
      <c r="AX130" s="111" t="s">
        <v>1626</v>
      </c>
      <c r="AY130" s="111" t="s">
        <v>1626</v>
      </c>
      <c r="AZ130" s="2"/>
      <c r="BA130" s="3"/>
      <c r="BB130" s="3"/>
      <c r="BC130" s="3"/>
      <c r="BD130" s="3"/>
    </row>
    <row r="131" spans="1:56" ht="15">
      <c r="A131" s="68" t="s">
        <v>441</v>
      </c>
      <c r="B131" s="69"/>
      <c r="C131" s="69"/>
      <c r="D131" s="70">
        <v>54.302550688791946</v>
      </c>
      <c r="E131" s="72"/>
      <c r="F131" s="69"/>
      <c r="G131" s="69"/>
      <c r="H131" s="73" t="s">
        <v>441</v>
      </c>
      <c r="I131" s="74"/>
      <c r="J131" s="74"/>
      <c r="K131" s="73" t="s">
        <v>441</v>
      </c>
      <c r="L131" s="77">
        <v>25.418276753203706</v>
      </c>
      <c r="M131" s="78">
        <v>8089.49951171875</v>
      </c>
      <c r="N131" s="78">
        <v>2991.038330078125</v>
      </c>
      <c r="O131" s="79"/>
      <c r="P131" s="80"/>
      <c r="Q131" s="80"/>
      <c r="R131" s="85"/>
      <c r="S131" s="49">
        <v>1</v>
      </c>
      <c r="T131" s="49">
        <v>1</v>
      </c>
      <c r="U131" s="50">
        <v>90.833333</v>
      </c>
      <c r="V131" s="50">
        <v>0.000805</v>
      </c>
      <c r="W131" s="50">
        <v>0.000202</v>
      </c>
      <c r="X131" s="50">
        <v>0.691568</v>
      </c>
      <c r="Y131" s="50">
        <v>0</v>
      </c>
      <c r="Z131" s="50">
        <v>0</v>
      </c>
      <c r="AA131" s="75">
        <v>131</v>
      </c>
      <c r="AB131" s="75"/>
      <c r="AC131" s="76"/>
      <c r="AD131" s="82" t="s">
        <v>786</v>
      </c>
      <c r="AE131" s="99" t="str">
        <f>HYPERLINK("http://en.wikipedia.org/wiki/User:Hordaland")</f>
        <v>http://en.wikipedia.org/wiki/User:Hordaland</v>
      </c>
      <c r="AF131" s="82" t="s">
        <v>806</v>
      </c>
      <c r="AG131" s="82"/>
      <c r="AH131" s="82"/>
      <c r="AI131" s="82">
        <v>0.4263226</v>
      </c>
      <c r="AJ131" s="82">
        <v>500</v>
      </c>
      <c r="AK131" s="82"/>
      <c r="AL131" s="82" t="str">
        <f>REPLACE(INDEX(GroupVertices[Group],MATCH(Vertices[[#This Row],[Vertex]],GroupVertices[Vertex],0)),1,1,"")</f>
        <v>11</v>
      </c>
      <c r="AM131" s="49">
        <v>0</v>
      </c>
      <c r="AN131" s="50">
        <v>0</v>
      </c>
      <c r="AO131" s="49">
        <v>1</v>
      </c>
      <c r="AP131" s="50">
        <v>16.666666666666668</v>
      </c>
      <c r="AQ131" s="49">
        <v>0</v>
      </c>
      <c r="AR131" s="50">
        <v>0</v>
      </c>
      <c r="AS131" s="49">
        <v>5</v>
      </c>
      <c r="AT131" s="50">
        <v>83.33333333333333</v>
      </c>
      <c r="AU131" s="49">
        <v>6</v>
      </c>
      <c r="AV131" s="111" t="s">
        <v>1493</v>
      </c>
      <c r="AW131" s="111" t="s">
        <v>1493</v>
      </c>
      <c r="AX131" s="111" t="s">
        <v>1627</v>
      </c>
      <c r="AY131" s="111" t="s">
        <v>1627</v>
      </c>
      <c r="AZ131" s="2"/>
      <c r="BA131" s="3"/>
      <c r="BB131" s="3"/>
      <c r="BC131" s="3"/>
      <c r="BD131" s="3"/>
    </row>
    <row r="132" spans="1:56" ht="15">
      <c r="A132" s="68" t="s">
        <v>442</v>
      </c>
      <c r="B132" s="69"/>
      <c r="C132" s="69"/>
      <c r="D132" s="70">
        <v>90.07330005376942</v>
      </c>
      <c r="E132" s="72"/>
      <c r="F132" s="69"/>
      <c r="G132" s="69"/>
      <c r="H132" s="73" t="s">
        <v>442</v>
      </c>
      <c r="I132" s="74"/>
      <c r="J132" s="74"/>
      <c r="K132" s="73" t="s">
        <v>442</v>
      </c>
      <c r="L132" s="77">
        <v>228.42810065576697</v>
      </c>
      <c r="M132" s="78">
        <v>3290.36865234375</v>
      </c>
      <c r="N132" s="78">
        <v>9714.33984375</v>
      </c>
      <c r="O132" s="79"/>
      <c r="P132" s="80"/>
      <c r="Q132" s="80"/>
      <c r="R132" s="85"/>
      <c r="S132" s="49">
        <v>1</v>
      </c>
      <c r="T132" s="49">
        <v>1</v>
      </c>
      <c r="U132" s="50">
        <v>846.007792</v>
      </c>
      <c r="V132" s="50">
        <v>0.00137</v>
      </c>
      <c r="W132" s="50">
        <v>0.011992</v>
      </c>
      <c r="X132" s="50">
        <v>0.657399</v>
      </c>
      <c r="Y132" s="50">
        <v>0</v>
      </c>
      <c r="Z132" s="50">
        <v>0</v>
      </c>
      <c r="AA132" s="75">
        <v>132</v>
      </c>
      <c r="AB132" s="75"/>
      <c r="AC132" s="76"/>
      <c r="AD132" s="82" t="s">
        <v>786</v>
      </c>
      <c r="AE132" s="99" t="str">
        <f>HYPERLINK("http://en.wikipedia.org/wiki/User:209.51.93.165")</f>
        <v>http://en.wikipedia.org/wiki/User:209.51.93.165</v>
      </c>
      <c r="AF132" s="82" t="s">
        <v>806</v>
      </c>
      <c r="AG132" s="82"/>
      <c r="AH132" s="82"/>
      <c r="AI132" s="82">
        <v>0.1333333</v>
      </c>
      <c r="AJ132" s="82">
        <v>6</v>
      </c>
      <c r="AK132" s="82"/>
      <c r="AL132" s="82" t="str">
        <f>REPLACE(INDEX(GroupVertices[Group],MATCH(Vertices[[#This Row],[Vertex]],GroupVertices[Vertex],0)),1,1,"")</f>
        <v>4</v>
      </c>
      <c r="AM132" s="49">
        <v>1</v>
      </c>
      <c r="AN132" s="50">
        <v>9.090909090909092</v>
      </c>
      <c r="AO132" s="49">
        <v>0</v>
      </c>
      <c r="AP132" s="50">
        <v>0</v>
      </c>
      <c r="AQ132" s="49">
        <v>0</v>
      </c>
      <c r="AR132" s="50">
        <v>0</v>
      </c>
      <c r="AS132" s="49">
        <v>10</v>
      </c>
      <c r="AT132" s="50">
        <v>90.9090909090909</v>
      </c>
      <c r="AU132" s="49">
        <v>11</v>
      </c>
      <c r="AV132" s="111" t="s">
        <v>1494</v>
      </c>
      <c r="AW132" s="111" t="s">
        <v>1494</v>
      </c>
      <c r="AX132" s="111" t="s">
        <v>1628</v>
      </c>
      <c r="AY132" s="111" t="s">
        <v>1628</v>
      </c>
      <c r="AZ132" s="2"/>
      <c r="BA132" s="3"/>
      <c r="BB132" s="3"/>
      <c r="BC132" s="3"/>
      <c r="BD132" s="3"/>
    </row>
    <row r="133" spans="1:56" ht="15">
      <c r="A133" s="68" t="s">
        <v>443</v>
      </c>
      <c r="B133" s="69"/>
      <c r="C133" s="69"/>
      <c r="D133" s="70">
        <v>59.07877673187779</v>
      </c>
      <c r="E133" s="72"/>
      <c r="F133" s="69"/>
      <c r="G133" s="69"/>
      <c r="H133" s="73" t="s">
        <v>443</v>
      </c>
      <c r="I133" s="74"/>
      <c r="J133" s="74"/>
      <c r="K133" s="73" t="s">
        <v>443</v>
      </c>
      <c r="L133" s="77">
        <v>52.52480443682647</v>
      </c>
      <c r="M133" s="78">
        <v>5029.42578125</v>
      </c>
      <c r="N133" s="78">
        <v>2868.479736328125</v>
      </c>
      <c r="O133" s="79"/>
      <c r="P133" s="80"/>
      <c r="Q133" s="80"/>
      <c r="R133" s="85"/>
      <c r="S133" s="49">
        <v>1</v>
      </c>
      <c r="T133" s="49">
        <v>1</v>
      </c>
      <c r="U133" s="50">
        <v>191.666667</v>
      </c>
      <c r="V133" s="50">
        <v>0.001344</v>
      </c>
      <c r="W133" s="50">
        <v>0.01218</v>
      </c>
      <c r="X133" s="50">
        <v>0.672675</v>
      </c>
      <c r="Y133" s="50">
        <v>0</v>
      </c>
      <c r="Z133" s="50">
        <v>0</v>
      </c>
      <c r="AA133" s="75">
        <v>133</v>
      </c>
      <c r="AB133" s="75"/>
      <c r="AC133" s="76"/>
      <c r="AD133" s="82" t="s">
        <v>786</v>
      </c>
      <c r="AE133" s="99" t="str">
        <f>HYPERLINK("http://en.wikipedia.org/wiki/User:Kvng")</f>
        <v>http://en.wikipedia.org/wiki/User:Kvng</v>
      </c>
      <c r="AF133" s="82" t="s">
        <v>806</v>
      </c>
      <c r="AG133" s="82"/>
      <c r="AH133" s="82"/>
      <c r="AI133" s="82">
        <v>0.2608621</v>
      </c>
      <c r="AJ133" s="82">
        <v>500</v>
      </c>
      <c r="AK133" s="82"/>
      <c r="AL133" s="82" t="str">
        <f>REPLACE(INDEX(GroupVertices[Group],MATCH(Vertices[[#This Row],[Vertex]],GroupVertices[Vertex],0)),1,1,"")</f>
        <v>6</v>
      </c>
      <c r="AM133" s="49">
        <v>0</v>
      </c>
      <c r="AN133" s="50">
        <v>0</v>
      </c>
      <c r="AO133" s="49">
        <v>0</v>
      </c>
      <c r="AP133" s="50">
        <v>0</v>
      </c>
      <c r="AQ133" s="49">
        <v>0</v>
      </c>
      <c r="AR133" s="50">
        <v>0</v>
      </c>
      <c r="AS133" s="49">
        <v>12</v>
      </c>
      <c r="AT133" s="50">
        <v>100</v>
      </c>
      <c r="AU133" s="49">
        <v>12</v>
      </c>
      <c r="AV133" s="111" t="s">
        <v>1495</v>
      </c>
      <c r="AW133" s="111" t="s">
        <v>1495</v>
      </c>
      <c r="AX133" s="111" t="s">
        <v>1629</v>
      </c>
      <c r="AY133" s="111" t="s">
        <v>1629</v>
      </c>
      <c r="AZ133" s="2"/>
      <c r="BA133" s="3"/>
      <c r="BB133" s="3"/>
      <c r="BC133" s="3"/>
      <c r="BD133" s="3"/>
    </row>
    <row r="134" spans="1:56" ht="15">
      <c r="A134" s="68" t="s">
        <v>444</v>
      </c>
      <c r="B134" s="69"/>
      <c r="C134" s="69"/>
      <c r="D134" s="70">
        <v>50.410518615125355</v>
      </c>
      <c r="E134" s="72"/>
      <c r="F134" s="69"/>
      <c r="G134" s="69"/>
      <c r="H134" s="73" t="s">
        <v>444</v>
      </c>
      <c r="I134" s="74"/>
      <c r="J134" s="74"/>
      <c r="K134" s="73" t="s">
        <v>444</v>
      </c>
      <c r="L134" s="77">
        <v>3.3298173296564793</v>
      </c>
      <c r="M134" s="78">
        <v>5424.08544921875</v>
      </c>
      <c r="N134" s="78">
        <v>1222.5706787109375</v>
      </c>
      <c r="O134" s="79"/>
      <c r="P134" s="80"/>
      <c r="Q134" s="80"/>
      <c r="R134" s="85"/>
      <c r="S134" s="49">
        <v>2</v>
      </c>
      <c r="T134" s="49">
        <v>2</v>
      </c>
      <c r="U134" s="50">
        <v>8.666667</v>
      </c>
      <c r="V134" s="50">
        <v>0.001079</v>
      </c>
      <c r="W134" s="50">
        <v>0.003654</v>
      </c>
      <c r="X134" s="50">
        <v>0.994016</v>
      </c>
      <c r="Y134" s="50">
        <v>0</v>
      </c>
      <c r="Z134" s="50">
        <v>0</v>
      </c>
      <c r="AA134" s="75">
        <v>134</v>
      </c>
      <c r="AB134" s="75"/>
      <c r="AC134" s="76"/>
      <c r="AD134" s="82" t="s">
        <v>786</v>
      </c>
      <c r="AE134" s="99" t="str">
        <f>HYPERLINK("http://en.wikipedia.org/wiki/User:Kander9")</f>
        <v>http://en.wikipedia.org/wiki/User:Kander9</v>
      </c>
      <c r="AF134" s="82" t="s">
        <v>806</v>
      </c>
      <c r="AG134" s="82"/>
      <c r="AH134" s="82"/>
      <c r="AI134" s="82">
        <v>0</v>
      </c>
      <c r="AJ134" s="82">
        <v>2</v>
      </c>
      <c r="AK134" s="82"/>
      <c r="AL134" s="82" t="str">
        <f>REPLACE(INDEX(GroupVertices[Group],MATCH(Vertices[[#This Row],[Vertex]],GroupVertices[Vertex],0)),1,1,"")</f>
        <v>6</v>
      </c>
      <c r="AM134" s="49">
        <v>0</v>
      </c>
      <c r="AN134" s="50">
        <v>0</v>
      </c>
      <c r="AO134" s="49">
        <v>0</v>
      </c>
      <c r="AP134" s="50">
        <v>0</v>
      </c>
      <c r="AQ134" s="49">
        <v>0</v>
      </c>
      <c r="AR134" s="50">
        <v>0</v>
      </c>
      <c r="AS134" s="49">
        <v>8</v>
      </c>
      <c r="AT134" s="50">
        <v>100</v>
      </c>
      <c r="AU134" s="49">
        <v>8</v>
      </c>
      <c r="AV134" s="111" t="s">
        <v>1100</v>
      </c>
      <c r="AW134" s="111" t="s">
        <v>1100</v>
      </c>
      <c r="AX134" s="111" t="s">
        <v>1418</v>
      </c>
      <c r="AY134" s="111" t="s">
        <v>1418</v>
      </c>
      <c r="AZ134" s="2"/>
      <c r="BA134" s="3"/>
      <c r="BB134" s="3"/>
      <c r="BC134" s="3"/>
      <c r="BD134" s="3"/>
    </row>
    <row r="135" spans="1:56" ht="15">
      <c r="A135" s="68" t="s">
        <v>445</v>
      </c>
      <c r="B135" s="69"/>
      <c r="C135" s="69"/>
      <c r="D135" s="70">
        <v>197.1551287009124</v>
      </c>
      <c r="E135" s="72"/>
      <c r="F135" s="69"/>
      <c r="G135" s="69"/>
      <c r="H135" s="73" t="s">
        <v>445</v>
      </c>
      <c r="I135" s="74"/>
      <c r="J135" s="74"/>
      <c r="K135" s="73" t="s">
        <v>445</v>
      </c>
      <c r="L135" s="77">
        <v>836.1498722914741</v>
      </c>
      <c r="M135" s="78">
        <v>5351.93505859375</v>
      </c>
      <c r="N135" s="78">
        <v>2468.64990234375</v>
      </c>
      <c r="O135" s="79"/>
      <c r="P135" s="80"/>
      <c r="Q135" s="80"/>
      <c r="R135" s="85"/>
      <c r="S135" s="49">
        <v>2</v>
      </c>
      <c r="T135" s="49">
        <v>2</v>
      </c>
      <c r="U135" s="50">
        <v>3106.666667</v>
      </c>
      <c r="V135" s="50">
        <v>0.001376</v>
      </c>
      <c r="W135" s="50">
        <v>0.012642</v>
      </c>
      <c r="X135" s="50">
        <v>1.301135</v>
      </c>
      <c r="Y135" s="50">
        <v>0</v>
      </c>
      <c r="Z135" s="50">
        <v>0</v>
      </c>
      <c r="AA135" s="75">
        <v>135</v>
      </c>
      <c r="AB135" s="75"/>
      <c r="AC135" s="76"/>
      <c r="AD135" s="82" t="s">
        <v>786</v>
      </c>
      <c r="AE135" s="99" t="str">
        <f>HYPERLINK("http://en.wikipedia.org/wiki/User:InternetArchiveBot")</f>
        <v>http://en.wikipedia.org/wiki/User:InternetArchiveBot</v>
      </c>
      <c r="AF135" s="82" t="s">
        <v>806</v>
      </c>
      <c r="AG135" s="82"/>
      <c r="AH135" s="82"/>
      <c r="AI135" s="82">
        <v>0.01185429</v>
      </c>
      <c r="AJ135" s="82">
        <v>500</v>
      </c>
      <c r="AK135" s="82"/>
      <c r="AL135" s="82" t="str">
        <f>REPLACE(INDEX(GroupVertices[Group],MATCH(Vertices[[#This Row],[Vertex]],GroupVertices[Vertex],0)),1,1,"")</f>
        <v>6</v>
      </c>
      <c r="AM135" s="49">
        <v>0</v>
      </c>
      <c r="AN135" s="50">
        <v>0</v>
      </c>
      <c r="AO135" s="49">
        <v>0</v>
      </c>
      <c r="AP135" s="50">
        <v>0</v>
      </c>
      <c r="AQ135" s="49">
        <v>0</v>
      </c>
      <c r="AR135" s="50">
        <v>0</v>
      </c>
      <c r="AS135" s="49">
        <v>27</v>
      </c>
      <c r="AT135" s="50">
        <v>100</v>
      </c>
      <c r="AU135" s="49">
        <v>27</v>
      </c>
      <c r="AV135" s="111" t="s">
        <v>1496</v>
      </c>
      <c r="AW135" s="111" t="s">
        <v>1554</v>
      </c>
      <c r="AX135" s="111" t="s">
        <v>1630</v>
      </c>
      <c r="AY135" s="111" t="s">
        <v>1686</v>
      </c>
      <c r="AZ135" s="2"/>
      <c r="BA135" s="3"/>
      <c r="BB135" s="3"/>
      <c r="BC135" s="3"/>
      <c r="BD135" s="3"/>
    </row>
    <row r="136" spans="1:56" ht="15">
      <c r="A136" s="68" t="s">
        <v>446</v>
      </c>
      <c r="B136" s="69"/>
      <c r="C136" s="69"/>
      <c r="D136" s="70">
        <v>88.1782297382648</v>
      </c>
      <c r="E136" s="72"/>
      <c r="F136" s="69"/>
      <c r="G136" s="69"/>
      <c r="H136" s="73" t="s">
        <v>446</v>
      </c>
      <c r="I136" s="74"/>
      <c r="J136" s="74"/>
      <c r="K136" s="73" t="s">
        <v>446</v>
      </c>
      <c r="L136" s="77">
        <v>217.6730033244755</v>
      </c>
      <c r="M136" s="78">
        <v>4352.42236328125</v>
      </c>
      <c r="N136" s="78">
        <v>3164.426025390625</v>
      </c>
      <c r="O136" s="79"/>
      <c r="P136" s="80"/>
      <c r="Q136" s="80"/>
      <c r="R136" s="85"/>
      <c r="S136" s="49">
        <v>1</v>
      </c>
      <c r="T136" s="49">
        <v>1</v>
      </c>
      <c r="U136" s="50">
        <v>806</v>
      </c>
      <c r="V136" s="50">
        <v>0.001085</v>
      </c>
      <c r="W136" s="50">
        <v>0.001658</v>
      </c>
      <c r="X136" s="50">
        <v>0.760556</v>
      </c>
      <c r="Y136" s="50">
        <v>0</v>
      </c>
      <c r="Z136" s="50">
        <v>0</v>
      </c>
      <c r="AA136" s="75">
        <v>136</v>
      </c>
      <c r="AB136" s="75"/>
      <c r="AC136" s="76"/>
      <c r="AD136" s="82" t="s">
        <v>786</v>
      </c>
      <c r="AE136" s="99" t="str">
        <f>HYPERLINK("http://en.wikipedia.org/wiki/User:Grlucas")</f>
        <v>http://en.wikipedia.org/wiki/User:Grlucas</v>
      </c>
      <c r="AF136" s="82" t="s">
        <v>806</v>
      </c>
      <c r="AG136" s="82"/>
      <c r="AH136" s="82"/>
      <c r="AI136" s="82">
        <v>0.5891298</v>
      </c>
      <c r="AJ136" s="82">
        <v>500</v>
      </c>
      <c r="AK136" s="82"/>
      <c r="AL136" s="82" t="str">
        <f>REPLACE(INDEX(GroupVertices[Group],MATCH(Vertices[[#This Row],[Vertex]],GroupVertices[Vertex],0)),1,1,"")</f>
        <v>6</v>
      </c>
      <c r="AM136" s="49">
        <v>0</v>
      </c>
      <c r="AN136" s="50">
        <v>0</v>
      </c>
      <c r="AO136" s="49">
        <v>0</v>
      </c>
      <c r="AP136" s="50">
        <v>0</v>
      </c>
      <c r="AQ136" s="49">
        <v>0</v>
      </c>
      <c r="AR136" s="50">
        <v>0</v>
      </c>
      <c r="AS136" s="49">
        <v>10</v>
      </c>
      <c r="AT136" s="50">
        <v>100</v>
      </c>
      <c r="AU136" s="49">
        <v>10</v>
      </c>
      <c r="AV136" s="111" t="s">
        <v>1497</v>
      </c>
      <c r="AW136" s="111" t="s">
        <v>1497</v>
      </c>
      <c r="AX136" s="111" t="s">
        <v>1631</v>
      </c>
      <c r="AY136" s="111" t="s">
        <v>1631</v>
      </c>
      <c r="AZ136" s="2"/>
      <c r="BA136" s="3"/>
      <c r="BB136" s="3"/>
      <c r="BC136" s="3"/>
      <c r="BD136" s="3"/>
    </row>
    <row r="137" spans="1:56" ht="15">
      <c r="A137" s="68" t="s">
        <v>447</v>
      </c>
      <c r="B137" s="69"/>
      <c r="C137" s="69"/>
      <c r="D137" s="70">
        <v>69.9890979522925</v>
      </c>
      <c r="E137" s="72"/>
      <c r="F137" s="69"/>
      <c r="G137" s="69"/>
      <c r="H137" s="73" t="s">
        <v>447</v>
      </c>
      <c r="I137" s="74"/>
      <c r="J137" s="74"/>
      <c r="K137" s="73" t="s">
        <v>447</v>
      </c>
      <c r="L137" s="77">
        <v>114.44417791926632</v>
      </c>
      <c r="M137" s="78">
        <v>5034.98779296875</v>
      </c>
      <c r="N137" s="78">
        <v>681.5904541015625</v>
      </c>
      <c r="O137" s="79"/>
      <c r="P137" s="80"/>
      <c r="Q137" s="80"/>
      <c r="R137" s="85"/>
      <c r="S137" s="49">
        <v>3</v>
      </c>
      <c r="T137" s="49">
        <v>3</v>
      </c>
      <c r="U137" s="50">
        <v>422</v>
      </c>
      <c r="V137" s="50">
        <v>0.000895</v>
      </c>
      <c r="W137" s="50">
        <v>0.000284</v>
      </c>
      <c r="X137" s="50">
        <v>1.572071</v>
      </c>
      <c r="Y137" s="50">
        <v>0</v>
      </c>
      <c r="Z137" s="50">
        <v>0.3333333333333333</v>
      </c>
      <c r="AA137" s="75">
        <v>137</v>
      </c>
      <c r="AB137" s="75"/>
      <c r="AC137" s="76"/>
      <c r="AD137" s="82" t="s">
        <v>786</v>
      </c>
      <c r="AE137" s="99" t="str">
        <f>HYPERLINK("http://en.wikipedia.org/wiki/User:Sheldond51")</f>
        <v>http://en.wikipedia.org/wiki/User:Sheldond51</v>
      </c>
      <c r="AF137" s="82" t="s">
        <v>806</v>
      </c>
      <c r="AG137" s="82"/>
      <c r="AH137" s="82"/>
      <c r="AI137" s="82">
        <v>0.4517242</v>
      </c>
      <c r="AJ137" s="82">
        <v>29</v>
      </c>
      <c r="AK137" s="82"/>
      <c r="AL137" s="82" t="str">
        <f>REPLACE(INDEX(GroupVertices[Group],MATCH(Vertices[[#This Row],[Vertex]],GroupVertices[Vertex],0)),1,1,"")</f>
        <v>6</v>
      </c>
      <c r="AM137" s="49">
        <v>0</v>
      </c>
      <c r="AN137" s="50">
        <v>0</v>
      </c>
      <c r="AO137" s="49">
        <v>0</v>
      </c>
      <c r="AP137" s="50">
        <v>0</v>
      </c>
      <c r="AQ137" s="49">
        <v>0</v>
      </c>
      <c r="AR137" s="50">
        <v>0</v>
      </c>
      <c r="AS137" s="49">
        <v>30</v>
      </c>
      <c r="AT137" s="50">
        <v>100</v>
      </c>
      <c r="AU137" s="49">
        <v>30</v>
      </c>
      <c r="AV137" s="111" t="s">
        <v>1497</v>
      </c>
      <c r="AW137" s="111" t="s">
        <v>1497</v>
      </c>
      <c r="AX137" s="111" t="s">
        <v>1631</v>
      </c>
      <c r="AY137" s="111" t="s">
        <v>1631</v>
      </c>
      <c r="AZ137" s="2"/>
      <c r="BA137" s="3"/>
      <c r="BB137" s="3"/>
      <c r="BC137" s="3"/>
      <c r="BD137" s="3"/>
    </row>
    <row r="138" spans="1:56" ht="15">
      <c r="A138" s="68" t="s">
        <v>448</v>
      </c>
      <c r="B138" s="69"/>
      <c r="C138" s="69"/>
      <c r="D138" s="70">
        <v>50</v>
      </c>
      <c r="E138" s="72"/>
      <c r="F138" s="69"/>
      <c r="G138" s="69"/>
      <c r="H138" s="73" t="s">
        <v>448</v>
      </c>
      <c r="I138" s="74"/>
      <c r="J138" s="74"/>
      <c r="K138" s="73" t="s">
        <v>448</v>
      </c>
      <c r="L138" s="77">
        <v>1</v>
      </c>
      <c r="M138" s="78">
        <v>4257.6435546875</v>
      </c>
      <c r="N138" s="78">
        <v>474.33245849609375</v>
      </c>
      <c r="O138" s="79"/>
      <c r="P138" s="80"/>
      <c r="Q138" s="80"/>
      <c r="R138" s="85"/>
      <c r="S138" s="49">
        <v>1</v>
      </c>
      <c r="T138" s="49">
        <v>1</v>
      </c>
      <c r="U138" s="50">
        <v>0</v>
      </c>
      <c r="V138" s="50">
        <v>0.000758</v>
      </c>
      <c r="W138" s="50">
        <v>3.6E-05</v>
      </c>
      <c r="X138" s="50">
        <v>0.484065</v>
      </c>
      <c r="Y138" s="50">
        <v>0</v>
      </c>
      <c r="Z138" s="50">
        <v>1</v>
      </c>
      <c r="AA138" s="75">
        <v>138</v>
      </c>
      <c r="AB138" s="75"/>
      <c r="AC138" s="76"/>
      <c r="AD138" s="82" t="s">
        <v>786</v>
      </c>
      <c r="AE138" s="99" t="str">
        <f>HYPERLINK("http://en.wikipedia.org/wiki/User:Saguaromelee")</f>
        <v>http://en.wikipedia.org/wiki/User:Saguaromelee</v>
      </c>
      <c r="AF138" s="82" t="s">
        <v>806</v>
      </c>
      <c r="AG138" s="82"/>
      <c r="AH138" s="82"/>
      <c r="AI138" s="82">
        <v>0.5343838</v>
      </c>
      <c r="AJ138" s="82">
        <v>500</v>
      </c>
      <c r="AK138" s="82"/>
      <c r="AL138" s="82" t="str">
        <f>REPLACE(INDEX(GroupVertices[Group],MATCH(Vertices[[#This Row],[Vertex]],GroupVertices[Vertex],0)),1,1,"")</f>
        <v>6</v>
      </c>
      <c r="AM138" s="49">
        <v>0</v>
      </c>
      <c r="AN138" s="50">
        <v>0</v>
      </c>
      <c r="AO138" s="49">
        <v>0</v>
      </c>
      <c r="AP138" s="50">
        <v>0</v>
      </c>
      <c r="AQ138" s="49">
        <v>0</v>
      </c>
      <c r="AR138" s="50">
        <v>0</v>
      </c>
      <c r="AS138" s="49">
        <v>12</v>
      </c>
      <c r="AT138" s="50">
        <v>100</v>
      </c>
      <c r="AU138" s="49">
        <v>12</v>
      </c>
      <c r="AV138" s="111" t="s">
        <v>1498</v>
      </c>
      <c r="AW138" s="111" t="s">
        <v>1498</v>
      </c>
      <c r="AX138" s="111" t="s">
        <v>1632</v>
      </c>
      <c r="AY138" s="111" t="s">
        <v>1632</v>
      </c>
      <c r="AZ138" s="2"/>
      <c r="BA138" s="3"/>
      <c r="BB138" s="3"/>
      <c r="BC138" s="3"/>
      <c r="BD138" s="3"/>
    </row>
    <row r="139" spans="1:56" ht="15">
      <c r="A139" s="68" t="s">
        <v>449</v>
      </c>
      <c r="B139" s="69"/>
      <c r="C139" s="69"/>
      <c r="D139" s="70">
        <v>50.47367530692636</v>
      </c>
      <c r="E139" s="72"/>
      <c r="F139" s="69"/>
      <c r="G139" s="69"/>
      <c r="H139" s="73" t="s">
        <v>449</v>
      </c>
      <c r="I139" s="74"/>
      <c r="J139" s="74"/>
      <c r="K139" s="73" t="s">
        <v>449</v>
      </c>
      <c r="L139" s="77">
        <v>3.688250661593989</v>
      </c>
      <c r="M139" s="78">
        <v>5172.54541015625</v>
      </c>
      <c r="N139" s="78">
        <v>1908.9111328125</v>
      </c>
      <c r="O139" s="79"/>
      <c r="P139" s="80"/>
      <c r="Q139" s="80"/>
      <c r="R139" s="85"/>
      <c r="S139" s="49">
        <v>1</v>
      </c>
      <c r="T139" s="49">
        <v>1</v>
      </c>
      <c r="U139" s="50">
        <v>10</v>
      </c>
      <c r="V139" s="50">
        <v>0.00089</v>
      </c>
      <c r="W139" s="50">
        <v>0.000236</v>
      </c>
      <c r="X139" s="50">
        <v>0.831329</v>
      </c>
      <c r="Y139" s="50">
        <v>0</v>
      </c>
      <c r="Z139" s="50">
        <v>0</v>
      </c>
      <c r="AA139" s="75">
        <v>139</v>
      </c>
      <c r="AB139" s="75"/>
      <c r="AC139" s="76"/>
      <c r="AD139" s="82" t="s">
        <v>786</v>
      </c>
      <c r="AE139" s="99" t="str">
        <f>HYPERLINK("http://en.wikipedia.org/wiki/User:199.216.220.2")</f>
        <v>http://en.wikipedia.org/wiki/User:199.216.220.2</v>
      </c>
      <c r="AF139" s="82" t="s">
        <v>806</v>
      </c>
      <c r="AG139" s="82"/>
      <c r="AH139" s="82"/>
      <c r="AI139" s="82">
        <v>0.3626958</v>
      </c>
      <c r="AJ139" s="82">
        <v>288</v>
      </c>
      <c r="AK139" s="82"/>
      <c r="AL139" s="82" t="str">
        <f>REPLACE(INDEX(GroupVertices[Group],MATCH(Vertices[[#This Row],[Vertex]],GroupVertices[Vertex],0)),1,1,"")</f>
        <v>6</v>
      </c>
      <c r="AM139" s="49"/>
      <c r="AN139" s="50"/>
      <c r="AO139" s="49"/>
      <c r="AP139" s="50"/>
      <c r="AQ139" s="49"/>
      <c r="AR139" s="50"/>
      <c r="AS139" s="49"/>
      <c r="AT139" s="50"/>
      <c r="AU139" s="49"/>
      <c r="AV139" s="111" t="s">
        <v>1418</v>
      </c>
      <c r="AW139" s="111" t="s">
        <v>1418</v>
      </c>
      <c r="AX139" s="111" t="s">
        <v>1418</v>
      </c>
      <c r="AY139" s="111" t="s">
        <v>1418</v>
      </c>
      <c r="AZ139" s="2"/>
      <c r="BA139" s="3"/>
      <c r="BB139" s="3"/>
      <c r="BC139" s="3"/>
      <c r="BD139" s="3"/>
    </row>
    <row r="140" spans="1:56" ht="15">
      <c r="A140" s="68" t="s">
        <v>450</v>
      </c>
      <c r="B140" s="69"/>
      <c r="C140" s="69"/>
      <c r="D140" s="70">
        <v>68.37860190874287</v>
      </c>
      <c r="E140" s="72"/>
      <c r="F140" s="69"/>
      <c r="G140" s="69"/>
      <c r="H140" s="73" t="s">
        <v>450</v>
      </c>
      <c r="I140" s="74"/>
      <c r="J140" s="74"/>
      <c r="K140" s="73" t="s">
        <v>450</v>
      </c>
      <c r="L140" s="77">
        <v>105.30412566984677</v>
      </c>
      <c r="M140" s="78">
        <v>4505.0068359375</v>
      </c>
      <c r="N140" s="78">
        <v>2970.61572265625</v>
      </c>
      <c r="O140" s="79"/>
      <c r="P140" s="80"/>
      <c r="Q140" s="80"/>
      <c r="R140" s="85"/>
      <c r="S140" s="49">
        <v>1</v>
      </c>
      <c r="T140" s="49">
        <v>1</v>
      </c>
      <c r="U140" s="50">
        <v>388</v>
      </c>
      <c r="V140" s="50">
        <v>0.00107</v>
      </c>
      <c r="W140" s="50">
        <v>0.001559</v>
      </c>
      <c r="X140" s="50">
        <v>0.817093</v>
      </c>
      <c r="Y140" s="50">
        <v>0</v>
      </c>
      <c r="Z140" s="50">
        <v>0</v>
      </c>
      <c r="AA140" s="75">
        <v>140</v>
      </c>
      <c r="AB140" s="75"/>
      <c r="AC140" s="76"/>
      <c r="AD140" s="82" t="s">
        <v>786</v>
      </c>
      <c r="AE140" s="99" t="str">
        <f>HYPERLINK("http://en.wikipedia.org/wiki/User:Ugion")</f>
        <v>http://en.wikipedia.org/wiki/User:Ugion</v>
      </c>
      <c r="AF140" s="82" t="s">
        <v>806</v>
      </c>
      <c r="AG140" s="82"/>
      <c r="AH140" s="82"/>
      <c r="AI140" s="82">
        <v>0.2172432</v>
      </c>
      <c r="AJ140" s="82">
        <v>500</v>
      </c>
      <c r="AK140" s="82"/>
      <c r="AL140" s="82" t="str">
        <f>REPLACE(INDEX(GroupVertices[Group],MATCH(Vertices[[#This Row],[Vertex]],GroupVertices[Vertex],0)),1,1,"")</f>
        <v>6</v>
      </c>
      <c r="AM140" s="49">
        <v>0</v>
      </c>
      <c r="AN140" s="50">
        <v>0</v>
      </c>
      <c r="AO140" s="49">
        <v>0</v>
      </c>
      <c r="AP140" s="50">
        <v>0</v>
      </c>
      <c r="AQ140" s="49">
        <v>0</v>
      </c>
      <c r="AR140" s="50">
        <v>0</v>
      </c>
      <c r="AS140" s="49">
        <v>29</v>
      </c>
      <c r="AT140" s="50">
        <v>100</v>
      </c>
      <c r="AU140" s="49">
        <v>29</v>
      </c>
      <c r="AV140" s="111" t="s">
        <v>1735</v>
      </c>
      <c r="AW140" s="111" t="s">
        <v>1735</v>
      </c>
      <c r="AX140" s="111" t="s">
        <v>1747</v>
      </c>
      <c r="AY140" s="111" t="s">
        <v>1747</v>
      </c>
      <c r="AZ140" s="2"/>
      <c r="BA140" s="3"/>
      <c r="BB140" s="3"/>
      <c r="BC140" s="3"/>
      <c r="BD140" s="3"/>
    </row>
    <row r="141" spans="1:56" ht="15">
      <c r="A141" s="68" t="s">
        <v>451</v>
      </c>
      <c r="B141" s="69"/>
      <c r="C141" s="69"/>
      <c r="D141" s="70">
        <v>86.85193887887098</v>
      </c>
      <c r="E141" s="72"/>
      <c r="F141" s="69"/>
      <c r="G141" s="69"/>
      <c r="H141" s="73" t="s">
        <v>451</v>
      </c>
      <c r="I141" s="74"/>
      <c r="J141" s="74"/>
      <c r="K141" s="73" t="s">
        <v>451</v>
      </c>
      <c r="L141" s="77">
        <v>210.14590147201233</v>
      </c>
      <c r="M141" s="78">
        <v>3105.979736328125</v>
      </c>
      <c r="N141" s="78">
        <v>2449.6806640625</v>
      </c>
      <c r="O141" s="79"/>
      <c r="P141" s="80"/>
      <c r="Q141" s="80"/>
      <c r="R141" s="85"/>
      <c r="S141" s="49">
        <v>1</v>
      </c>
      <c r="T141" s="49">
        <v>1</v>
      </c>
      <c r="U141" s="50">
        <v>778</v>
      </c>
      <c r="V141" s="50">
        <v>0.001351</v>
      </c>
      <c r="W141" s="50">
        <v>0.011912</v>
      </c>
      <c r="X141" s="50">
        <v>0.738302</v>
      </c>
      <c r="Y141" s="50">
        <v>0</v>
      </c>
      <c r="Z141" s="50">
        <v>0</v>
      </c>
      <c r="AA141" s="75">
        <v>141</v>
      </c>
      <c r="AB141" s="75"/>
      <c r="AC141" s="76"/>
      <c r="AD141" s="82" t="s">
        <v>786</v>
      </c>
      <c r="AE141" s="99" t="str">
        <f>HYPERLINK("http://en.wikipedia.org/wiki/User:184.100.136.167")</f>
        <v>http://en.wikipedia.org/wiki/User:184.100.136.167</v>
      </c>
      <c r="AF141" s="82" t="s">
        <v>806</v>
      </c>
      <c r="AG141" s="82"/>
      <c r="AH141" s="82"/>
      <c r="AI141" s="82">
        <v>0</v>
      </c>
      <c r="AJ141" s="82">
        <v>3</v>
      </c>
      <c r="AK141" s="82"/>
      <c r="AL141" s="82" t="str">
        <f>REPLACE(INDEX(GroupVertices[Group],MATCH(Vertices[[#This Row],[Vertex]],GroupVertices[Vertex],0)),1,1,"")</f>
        <v>6</v>
      </c>
      <c r="AM141" s="49">
        <v>0</v>
      </c>
      <c r="AN141" s="50">
        <v>0</v>
      </c>
      <c r="AO141" s="49">
        <v>0</v>
      </c>
      <c r="AP141" s="50">
        <v>0</v>
      </c>
      <c r="AQ141" s="49">
        <v>0</v>
      </c>
      <c r="AR141" s="50">
        <v>0</v>
      </c>
      <c r="AS141" s="49">
        <v>3</v>
      </c>
      <c r="AT141" s="50">
        <v>100</v>
      </c>
      <c r="AU141" s="49">
        <v>3</v>
      </c>
      <c r="AV141" s="111" t="s">
        <v>1499</v>
      </c>
      <c r="AW141" s="111" t="s">
        <v>1499</v>
      </c>
      <c r="AX141" s="111" t="s">
        <v>1633</v>
      </c>
      <c r="AY141" s="111" t="s">
        <v>1633</v>
      </c>
      <c r="AZ141" s="2"/>
      <c r="BA141" s="3"/>
      <c r="BB141" s="3"/>
      <c r="BC141" s="3"/>
      <c r="BD141" s="3"/>
    </row>
    <row r="142" spans="1:56" ht="15">
      <c r="A142" s="68" t="s">
        <v>452</v>
      </c>
      <c r="B142" s="69"/>
      <c r="C142" s="69"/>
      <c r="D142" s="70">
        <v>115.79350013207173</v>
      </c>
      <c r="E142" s="72"/>
      <c r="F142" s="69"/>
      <c r="G142" s="69"/>
      <c r="H142" s="73" t="s">
        <v>452</v>
      </c>
      <c r="I142" s="74"/>
      <c r="J142" s="74"/>
      <c r="K142" s="73" t="s">
        <v>452</v>
      </c>
      <c r="L142" s="77">
        <v>374.398016895405</v>
      </c>
      <c r="M142" s="78">
        <v>3956.0830078125</v>
      </c>
      <c r="N142" s="78">
        <v>1468.270751953125</v>
      </c>
      <c r="O142" s="79"/>
      <c r="P142" s="80"/>
      <c r="Q142" s="80"/>
      <c r="R142" s="85"/>
      <c r="S142" s="49">
        <v>3</v>
      </c>
      <c r="T142" s="49">
        <v>3</v>
      </c>
      <c r="U142" s="50">
        <v>1389</v>
      </c>
      <c r="V142" s="50">
        <v>0.001088</v>
      </c>
      <c r="W142" s="50">
        <v>0.00194</v>
      </c>
      <c r="X142" s="50">
        <v>1.436348</v>
      </c>
      <c r="Y142" s="50">
        <v>0</v>
      </c>
      <c r="Z142" s="50">
        <v>0.3333333333333333</v>
      </c>
      <c r="AA142" s="75">
        <v>142</v>
      </c>
      <c r="AB142" s="75"/>
      <c r="AC142" s="76"/>
      <c r="AD142" s="82" t="s">
        <v>786</v>
      </c>
      <c r="AE142" s="99" t="str">
        <f>HYPERLINK("http://en.wikipedia.org/wiki/User:Clepsydrae")</f>
        <v>http://en.wikipedia.org/wiki/User:Clepsydrae</v>
      </c>
      <c r="AF142" s="82" t="s">
        <v>806</v>
      </c>
      <c r="AG142" s="82"/>
      <c r="AH142" s="82"/>
      <c r="AI142" s="82">
        <v>0.6814377</v>
      </c>
      <c r="AJ142" s="82">
        <v>467</v>
      </c>
      <c r="AK142" s="82"/>
      <c r="AL142" s="82" t="str">
        <f>REPLACE(INDEX(GroupVertices[Group],MATCH(Vertices[[#This Row],[Vertex]],GroupVertices[Vertex],0)),1,1,"")</f>
        <v>6</v>
      </c>
      <c r="AM142" s="49">
        <v>0</v>
      </c>
      <c r="AN142" s="50">
        <v>0</v>
      </c>
      <c r="AO142" s="49">
        <v>2</v>
      </c>
      <c r="AP142" s="50">
        <v>12.5</v>
      </c>
      <c r="AQ142" s="49">
        <v>0</v>
      </c>
      <c r="AR142" s="50">
        <v>0</v>
      </c>
      <c r="AS142" s="49">
        <v>14</v>
      </c>
      <c r="AT142" s="50">
        <v>87.5</v>
      </c>
      <c r="AU142" s="49">
        <v>16</v>
      </c>
      <c r="AV142" s="111" t="s">
        <v>1500</v>
      </c>
      <c r="AW142" s="111" t="s">
        <v>1500</v>
      </c>
      <c r="AX142" s="111" t="s">
        <v>1634</v>
      </c>
      <c r="AY142" s="111" t="s">
        <v>1634</v>
      </c>
      <c r="AZ142" s="2"/>
      <c r="BA142" s="3"/>
      <c r="BB142" s="3"/>
      <c r="BC142" s="3"/>
      <c r="BD142" s="3"/>
    </row>
    <row r="143" spans="1:56" ht="15">
      <c r="A143" s="68" t="s">
        <v>453</v>
      </c>
      <c r="B143" s="69"/>
      <c r="C143" s="69"/>
      <c r="D143" s="70">
        <v>50</v>
      </c>
      <c r="E143" s="72"/>
      <c r="F143" s="69"/>
      <c r="G143" s="69"/>
      <c r="H143" s="73" t="s">
        <v>453</v>
      </c>
      <c r="I143" s="74"/>
      <c r="J143" s="74"/>
      <c r="K143" s="73" t="s">
        <v>453</v>
      </c>
      <c r="L143" s="77">
        <v>1</v>
      </c>
      <c r="M143" s="78">
        <v>4654.77001953125</v>
      </c>
      <c r="N143" s="78">
        <v>597.8624877929688</v>
      </c>
      <c r="O143" s="79"/>
      <c r="P143" s="80"/>
      <c r="Q143" s="80"/>
      <c r="R143" s="85"/>
      <c r="S143" s="49">
        <v>1</v>
      </c>
      <c r="T143" s="49">
        <v>1</v>
      </c>
      <c r="U143" s="50">
        <v>0</v>
      </c>
      <c r="V143" s="50">
        <v>0.000892</v>
      </c>
      <c r="W143" s="50">
        <v>0.000249</v>
      </c>
      <c r="X143" s="50">
        <v>0.455224</v>
      </c>
      <c r="Y143" s="50">
        <v>0</v>
      </c>
      <c r="Z143" s="50">
        <v>1</v>
      </c>
      <c r="AA143" s="75">
        <v>143</v>
      </c>
      <c r="AB143" s="75"/>
      <c r="AC143" s="76"/>
      <c r="AD143" s="82" t="s">
        <v>786</v>
      </c>
      <c r="AE143" s="99" t="str">
        <f>HYPERLINK("http://en.wikipedia.org/wiki/User:Wrixan")</f>
        <v>http://en.wikipedia.org/wiki/User:Wrixan</v>
      </c>
      <c r="AF143" s="82" t="s">
        <v>806</v>
      </c>
      <c r="AG143" s="82"/>
      <c r="AH143" s="82"/>
      <c r="AI143" s="82">
        <v>0.3424317</v>
      </c>
      <c r="AJ143" s="82">
        <v>31</v>
      </c>
      <c r="AK143" s="82"/>
      <c r="AL143" s="82" t="str">
        <f>REPLACE(INDEX(GroupVertices[Group],MATCH(Vertices[[#This Row],[Vertex]],GroupVertices[Vertex],0)),1,1,"")</f>
        <v>6</v>
      </c>
      <c r="AM143" s="49">
        <v>0</v>
      </c>
      <c r="AN143" s="50">
        <v>0</v>
      </c>
      <c r="AO143" s="49">
        <v>0</v>
      </c>
      <c r="AP143" s="50">
        <v>0</v>
      </c>
      <c r="AQ143" s="49">
        <v>0</v>
      </c>
      <c r="AR143" s="50">
        <v>0</v>
      </c>
      <c r="AS143" s="49">
        <v>10</v>
      </c>
      <c r="AT143" s="50">
        <v>100</v>
      </c>
      <c r="AU143" s="49">
        <v>10</v>
      </c>
      <c r="AV143" s="111" t="s">
        <v>1501</v>
      </c>
      <c r="AW143" s="111" t="s">
        <v>1501</v>
      </c>
      <c r="AX143" s="111" t="s">
        <v>1635</v>
      </c>
      <c r="AY143" s="111" t="s">
        <v>1635</v>
      </c>
      <c r="AZ143" s="2"/>
      <c r="BA143" s="3"/>
      <c r="BB143" s="3"/>
      <c r="BC143" s="3"/>
      <c r="BD143" s="3"/>
    </row>
    <row r="144" spans="1:56" ht="15">
      <c r="A144" s="68" t="s">
        <v>454</v>
      </c>
      <c r="B144" s="69"/>
      <c r="C144" s="69"/>
      <c r="D144" s="70">
        <v>78.8941937225081</v>
      </c>
      <c r="E144" s="72"/>
      <c r="F144" s="69"/>
      <c r="G144" s="69"/>
      <c r="H144" s="73" t="s">
        <v>454</v>
      </c>
      <c r="I144" s="74"/>
      <c r="J144" s="74"/>
      <c r="K144" s="73" t="s">
        <v>454</v>
      </c>
      <c r="L144" s="77">
        <v>164.9832903572333</v>
      </c>
      <c r="M144" s="78">
        <v>4428.7314453125</v>
      </c>
      <c r="N144" s="78">
        <v>1103.451171875</v>
      </c>
      <c r="O144" s="79"/>
      <c r="P144" s="80"/>
      <c r="Q144" s="80"/>
      <c r="R144" s="85"/>
      <c r="S144" s="49">
        <v>2</v>
      </c>
      <c r="T144" s="49">
        <v>2</v>
      </c>
      <c r="U144" s="50">
        <v>610</v>
      </c>
      <c r="V144" s="50">
        <v>0.0009</v>
      </c>
      <c r="W144" s="50">
        <v>0.000291</v>
      </c>
      <c r="X144" s="50">
        <v>1.12127</v>
      </c>
      <c r="Y144" s="50">
        <v>0</v>
      </c>
      <c r="Z144" s="50">
        <v>0</v>
      </c>
      <c r="AA144" s="75">
        <v>144</v>
      </c>
      <c r="AB144" s="75"/>
      <c r="AC144" s="76"/>
      <c r="AD144" s="82" t="s">
        <v>786</v>
      </c>
      <c r="AE144" s="99" t="str">
        <f>HYPERLINK("http://en.wikipedia.org/wiki/User:Taylor.claytonn")</f>
        <v>http://en.wikipedia.org/wiki/User:Taylor.claytonn</v>
      </c>
      <c r="AF144" s="82" t="s">
        <v>806</v>
      </c>
      <c r="AG144" s="82"/>
      <c r="AH144" s="82"/>
      <c r="AI144" s="82">
        <v>0.5018314</v>
      </c>
      <c r="AJ144" s="82">
        <v>42</v>
      </c>
      <c r="AK144" s="82"/>
      <c r="AL144" s="82" t="str">
        <f>REPLACE(INDEX(GroupVertices[Group],MATCH(Vertices[[#This Row],[Vertex]],GroupVertices[Vertex],0)),1,1,"")</f>
        <v>6</v>
      </c>
      <c r="AM144" s="49">
        <v>0</v>
      </c>
      <c r="AN144" s="50">
        <v>0</v>
      </c>
      <c r="AO144" s="49">
        <v>0</v>
      </c>
      <c r="AP144" s="50">
        <v>0</v>
      </c>
      <c r="AQ144" s="49">
        <v>0</v>
      </c>
      <c r="AR144" s="50">
        <v>0</v>
      </c>
      <c r="AS144" s="49">
        <v>4</v>
      </c>
      <c r="AT144" s="50">
        <v>100</v>
      </c>
      <c r="AU144" s="49">
        <v>4</v>
      </c>
      <c r="AV144" s="111" t="s">
        <v>979</v>
      </c>
      <c r="AW144" s="111" t="s">
        <v>979</v>
      </c>
      <c r="AX144" s="111" t="s">
        <v>1418</v>
      </c>
      <c r="AY144" s="111" t="s">
        <v>1418</v>
      </c>
      <c r="AZ144" s="2"/>
      <c r="BA144" s="3"/>
      <c r="BB144" s="3"/>
      <c r="BC144" s="3"/>
      <c r="BD144" s="3"/>
    </row>
    <row r="145" spans="1:56" ht="15">
      <c r="A145" s="68" t="s">
        <v>455</v>
      </c>
      <c r="B145" s="69"/>
      <c r="C145" s="69"/>
      <c r="D145" s="70">
        <v>60.70506193653579</v>
      </c>
      <c r="E145" s="72"/>
      <c r="F145" s="69"/>
      <c r="G145" s="69"/>
      <c r="H145" s="73" t="s">
        <v>455</v>
      </c>
      <c r="I145" s="74"/>
      <c r="J145" s="74"/>
      <c r="K145" s="73" t="s">
        <v>455</v>
      </c>
      <c r="L145" s="77">
        <v>61.75446495202414</v>
      </c>
      <c r="M145" s="78">
        <v>3239.7587890625</v>
      </c>
      <c r="N145" s="78">
        <v>408.934326171875</v>
      </c>
      <c r="O145" s="79"/>
      <c r="P145" s="80"/>
      <c r="Q145" s="80"/>
      <c r="R145" s="85"/>
      <c r="S145" s="49">
        <v>1</v>
      </c>
      <c r="T145" s="49">
        <v>1</v>
      </c>
      <c r="U145" s="50">
        <v>226</v>
      </c>
      <c r="V145" s="50">
        <v>0.000767</v>
      </c>
      <c r="W145" s="50">
        <v>3.9E-05</v>
      </c>
      <c r="X145" s="50">
        <v>0.819654</v>
      </c>
      <c r="Y145" s="50">
        <v>0</v>
      </c>
      <c r="Z145" s="50">
        <v>0</v>
      </c>
      <c r="AA145" s="75">
        <v>145</v>
      </c>
      <c r="AB145" s="75"/>
      <c r="AC145" s="76"/>
      <c r="AD145" s="82" t="s">
        <v>786</v>
      </c>
      <c r="AE145" s="99" t="str">
        <f>HYPERLINK("http://en.wikipedia.org/wiki/User:Ayc8110")</f>
        <v>http://en.wikipedia.org/wiki/User:Ayc8110</v>
      </c>
      <c r="AF145" s="82" t="s">
        <v>806</v>
      </c>
      <c r="AG145" s="82"/>
      <c r="AH145" s="82"/>
      <c r="AI145" s="82">
        <v>0.5794492</v>
      </c>
      <c r="AJ145" s="82">
        <v>59</v>
      </c>
      <c r="AK145" s="82"/>
      <c r="AL145" s="82" t="str">
        <f>REPLACE(INDEX(GroupVertices[Group],MATCH(Vertices[[#This Row],[Vertex]],GroupVertices[Vertex],0)),1,1,"")</f>
        <v>6</v>
      </c>
      <c r="AM145" s="49">
        <v>0</v>
      </c>
      <c r="AN145" s="50">
        <v>0</v>
      </c>
      <c r="AO145" s="49">
        <v>0</v>
      </c>
      <c r="AP145" s="50">
        <v>0</v>
      </c>
      <c r="AQ145" s="49">
        <v>0</v>
      </c>
      <c r="AR145" s="50">
        <v>0</v>
      </c>
      <c r="AS145" s="49">
        <v>10</v>
      </c>
      <c r="AT145" s="50">
        <v>100</v>
      </c>
      <c r="AU145" s="49">
        <v>10</v>
      </c>
      <c r="AV145" s="111" t="s">
        <v>1502</v>
      </c>
      <c r="AW145" s="111" t="s">
        <v>1502</v>
      </c>
      <c r="AX145" s="111" t="s">
        <v>1636</v>
      </c>
      <c r="AY145" s="111" t="s">
        <v>1636</v>
      </c>
      <c r="AZ145" s="2"/>
      <c r="BA145" s="3"/>
      <c r="BB145" s="3"/>
      <c r="BC145" s="3"/>
      <c r="BD145" s="3"/>
    </row>
    <row r="146" spans="1:56" ht="15">
      <c r="A146" s="68" t="s">
        <v>456</v>
      </c>
      <c r="B146" s="69"/>
      <c r="C146" s="69"/>
      <c r="D146" s="70">
        <v>51.35786922897808</v>
      </c>
      <c r="E146" s="72"/>
      <c r="F146" s="69"/>
      <c r="G146" s="69"/>
      <c r="H146" s="73" t="s">
        <v>456</v>
      </c>
      <c r="I146" s="74"/>
      <c r="J146" s="74"/>
      <c r="K146" s="73" t="s">
        <v>456</v>
      </c>
      <c r="L146" s="77">
        <v>8.706318652844457</v>
      </c>
      <c r="M146" s="78">
        <v>2696.1201171875</v>
      </c>
      <c r="N146" s="78">
        <v>2139.071044921875</v>
      </c>
      <c r="O146" s="79"/>
      <c r="P146" s="80"/>
      <c r="Q146" s="80"/>
      <c r="R146" s="85"/>
      <c r="S146" s="49">
        <v>1</v>
      </c>
      <c r="T146" s="49">
        <v>1</v>
      </c>
      <c r="U146" s="50">
        <v>28.666667</v>
      </c>
      <c r="V146" s="50">
        <v>0.000669</v>
      </c>
      <c r="W146" s="50">
        <v>9E-06</v>
      </c>
      <c r="X146" s="50">
        <v>0.828145</v>
      </c>
      <c r="Y146" s="50">
        <v>0</v>
      </c>
      <c r="Z146" s="50">
        <v>0</v>
      </c>
      <c r="AA146" s="75">
        <v>146</v>
      </c>
      <c r="AB146" s="75"/>
      <c r="AC146" s="76"/>
      <c r="AD146" s="82" t="s">
        <v>786</v>
      </c>
      <c r="AE146" s="99" t="str">
        <f>HYPERLINK("http://en.wikipedia.org/wiki/User:Christopher.R.Phillips")</f>
        <v>http://en.wikipedia.org/wiki/User:Christopher.R.Phillips</v>
      </c>
      <c r="AF146" s="82" t="s">
        <v>806</v>
      </c>
      <c r="AG146" s="82"/>
      <c r="AH146" s="82"/>
      <c r="AI146" s="82">
        <v>0.3632183</v>
      </c>
      <c r="AJ146" s="82">
        <v>29</v>
      </c>
      <c r="AK146" s="82"/>
      <c r="AL146" s="82" t="str">
        <f>REPLACE(INDEX(GroupVertices[Group],MATCH(Vertices[[#This Row],[Vertex]],GroupVertices[Vertex],0)),1,1,"")</f>
        <v>6</v>
      </c>
      <c r="AM146" s="49">
        <v>0</v>
      </c>
      <c r="AN146" s="50">
        <v>0</v>
      </c>
      <c r="AO146" s="49">
        <v>0</v>
      </c>
      <c r="AP146" s="50">
        <v>0</v>
      </c>
      <c r="AQ146" s="49">
        <v>0</v>
      </c>
      <c r="AR146" s="50">
        <v>0</v>
      </c>
      <c r="AS146" s="49">
        <v>3</v>
      </c>
      <c r="AT146" s="50">
        <v>100</v>
      </c>
      <c r="AU146" s="49">
        <v>3</v>
      </c>
      <c r="AV146" s="111" t="s">
        <v>1306</v>
      </c>
      <c r="AW146" s="111" t="s">
        <v>1306</v>
      </c>
      <c r="AX146" s="111" t="s">
        <v>1416</v>
      </c>
      <c r="AY146" s="111" t="s">
        <v>1416</v>
      </c>
      <c r="AZ146" s="2"/>
      <c r="BA146" s="3"/>
      <c r="BB146" s="3"/>
      <c r="BC146" s="3"/>
      <c r="BD146" s="3"/>
    </row>
    <row r="147" spans="1:56" ht="15">
      <c r="A147" s="68" t="s">
        <v>457</v>
      </c>
      <c r="B147" s="69"/>
      <c r="C147" s="69"/>
      <c r="D147" s="70">
        <v>60.026127345730515</v>
      </c>
      <c r="E147" s="72"/>
      <c r="F147" s="69"/>
      <c r="G147" s="69"/>
      <c r="H147" s="73" t="s">
        <v>457</v>
      </c>
      <c r="I147" s="74"/>
      <c r="J147" s="74"/>
      <c r="K147" s="73" t="s">
        <v>457</v>
      </c>
      <c r="L147" s="77">
        <v>57.90130576001445</v>
      </c>
      <c r="M147" s="78">
        <v>2778.630859375</v>
      </c>
      <c r="N147" s="78">
        <v>1291.1851806640625</v>
      </c>
      <c r="O147" s="79"/>
      <c r="P147" s="80"/>
      <c r="Q147" s="80"/>
      <c r="R147" s="85"/>
      <c r="S147" s="49">
        <v>2</v>
      </c>
      <c r="T147" s="49">
        <v>2</v>
      </c>
      <c r="U147" s="50">
        <v>211.666667</v>
      </c>
      <c r="V147" s="50">
        <v>0.000762</v>
      </c>
      <c r="W147" s="50">
        <v>3.2E-05</v>
      </c>
      <c r="X147" s="50">
        <v>1.163971</v>
      </c>
      <c r="Y147" s="50">
        <v>0</v>
      </c>
      <c r="Z147" s="50">
        <v>0</v>
      </c>
      <c r="AA147" s="75">
        <v>147</v>
      </c>
      <c r="AB147" s="75"/>
      <c r="AC147" s="76"/>
      <c r="AD147" s="82" t="s">
        <v>786</v>
      </c>
      <c r="AE147" s="99" t="str">
        <f>HYPERLINK("http://en.wikipedia.org/wiki/User:Ivydellis")</f>
        <v>http://en.wikipedia.org/wiki/User:Ivydellis</v>
      </c>
      <c r="AF147" s="82" t="s">
        <v>806</v>
      </c>
      <c r="AG147" s="82"/>
      <c r="AH147" s="82"/>
      <c r="AI147" s="82">
        <v>0.4598215</v>
      </c>
      <c r="AJ147" s="82">
        <v>32</v>
      </c>
      <c r="AK147" s="82"/>
      <c r="AL147" s="82" t="str">
        <f>REPLACE(INDEX(GroupVertices[Group],MATCH(Vertices[[#This Row],[Vertex]],GroupVertices[Vertex],0)),1,1,"")</f>
        <v>6</v>
      </c>
      <c r="AM147" s="49">
        <v>0</v>
      </c>
      <c r="AN147" s="50">
        <v>0</v>
      </c>
      <c r="AO147" s="49">
        <v>0</v>
      </c>
      <c r="AP147" s="50">
        <v>0</v>
      </c>
      <c r="AQ147" s="49">
        <v>0</v>
      </c>
      <c r="AR147" s="50">
        <v>0</v>
      </c>
      <c r="AS147" s="49">
        <v>19</v>
      </c>
      <c r="AT147" s="50">
        <v>100</v>
      </c>
      <c r="AU147" s="49">
        <v>19</v>
      </c>
      <c r="AV147" s="111" t="s">
        <v>1503</v>
      </c>
      <c r="AW147" s="111" t="s">
        <v>1503</v>
      </c>
      <c r="AX147" s="111" t="s">
        <v>1637</v>
      </c>
      <c r="AY147" s="111" t="s">
        <v>1637</v>
      </c>
      <c r="AZ147" s="2"/>
      <c r="BA147" s="3"/>
      <c r="BB147" s="3"/>
      <c r="BC147" s="3"/>
      <c r="BD147" s="3"/>
    </row>
    <row r="148" spans="1:56" ht="15">
      <c r="A148" s="68" t="s">
        <v>458</v>
      </c>
      <c r="B148" s="69"/>
      <c r="C148" s="69"/>
      <c r="D148" s="70">
        <v>96.75175279363197</v>
      </c>
      <c r="E148" s="72"/>
      <c r="F148" s="69"/>
      <c r="G148" s="69"/>
      <c r="H148" s="73" t="s">
        <v>458</v>
      </c>
      <c r="I148" s="74"/>
      <c r="J148" s="74"/>
      <c r="K148" s="73" t="s">
        <v>458</v>
      </c>
      <c r="L148" s="77">
        <v>266.3303402993267</v>
      </c>
      <c r="M148" s="78">
        <v>3643.04052734375</v>
      </c>
      <c r="N148" s="78">
        <v>1746.419677734375</v>
      </c>
      <c r="O148" s="79"/>
      <c r="P148" s="80"/>
      <c r="Q148" s="80"/>
      <c r="R148" s="85"/>
      <c r="S148" s="49">
        <v>2</v>
      </c>
      <c r="T148" s="49">
        <v>2</v>
      </c>
      <c r="U148" s="50">
        <v>987</v>
      </c>
      <c r="V148" s="50">
        <v>0.000893</v>
      </c>
      <c r="W148" s="50">
        <v>0.000208</v>
      </c>
      <c r="X148" s="50">
        <v>1.172536</v>
      </c>
      <c r="Y148" s="50">
        <v>0</v>
      </c>
      <c r="Z148" s="50">
        <v>0.3333333333333333</v>
      </c>
      <c r="AA148" s="75">
        <v>148</v>
      </c>
      <c r="AB148" s="75"/>
      <c r="AC148" s="76"/>
      <c r="AD148" s="82" t="s">
        <v>786</v>
      </c>
      <c r="AE148" s="99" t="str">
        <f>HYPERLINK("http://en.wikipedia.org/wiki/User:Kamryngood")</f>
        <v>http://en.wikipedia.org/wiki/User:Kamryngood</v>
      </c>
      <c r="AF148" s="82" t="s">
        <v>806</v>
      </c>
      <c r="AG148" s="82"/>
      <c r="AH148" s="82"/>
      <c r="AI148" s="82">
        <v>0.4473684</v>
      </c>
      <c r="AJ148" s="82">
        <v>52</v>
      </c>
      <c r="AK148" s="82"/>
      <c r="AL148" s="82" t="str">
        <f>REPLACE(INDEX(GroupVertices[Group],MATCH(Vertices[[#This Row],[Vertex]],GroupVertices[Vertex],0)),1,1,"")</f>
        <v>6</v>
      </c>
      <c r="AM148" s="49">
        <v>0</v>
      </c>
      <c r="AN148" s="50">
        <v>0</v>
      </c>
      <c r="AO148" s="49">
        <v>0</v>
      </c>
      <c r="AP148" s="50">
        <v>0</v>
      </c>
      <c r="AQ148" s="49">
        <v>0</v>
      </c>
      <c r="AR148" s="50">
        <v>0</v>
      </c>
      <c r="AS148" s="49">
        <v>16</v>
      </c>
      <c r="AT148" s="50">
        <v>100</v>
      </c>
      <c r="AU148" s="49">
        <v>16</v>
      </c>
      <c r="AV148" s="111" t="s">
        <v>1504</v>
      </c>
      <c r="AW148" s="111" t="s">
        <v>1504</v>
      </c>
      <c r="AX148" s="111" t="s">
        <v>1638</v>
      </c>
      <c r="AY148" s="111" t="s">
        <v>1638</v>
      </c>
      <c r="AZ148" s="2"/>
      <c r="BA148" s="3"/>
      <c r="BB148" s="3"/>
      <c r="BC148" s="3"/>
      <c r="BD148" s="3"/>
    </row>
    <row r="149" spans="1:56" ht="15">
      <c r="A149" s="68" t="s">
        <v>459</v>
      </c>
      <c r="B149" s="69"/>
      <c r="C149" s="69"/>
      <c r="D149" s="70">
        <v>50</v>
      </c>
      <c r="E149" s="72"/>
      <c r="F149" s="69"/>
      <c r="G149" s="69"/>
      <c r="H149" s="73" t="s">
        <v>459</v>
      </c>
      <c r="I149" s="74"/>
      <c r="J149" s="74"/>
      <c r="K149" s="73" t="s">
        <v>459</v>
      </c>
      <c r="L149" s="77">
        <v>1</v>
      </c>
      <c r="M149" s="78">
        <v>3766.1064453125</v>
      </c>
      <c r="N149" s="78">
        <v>173.39659118652344</v>
      </c>
      <c r="O149" s="79"/>
      <c r="P149" s="80"/>
      <c r="Q149" s="80"/>
      <c r="R149" s="85"/>
      <c r="S149" s="49">
        <v>2</v>
      </c>
      <c r="T149" s="49">
        <v>2</v>
      </c>
      <c r="U149" s="50">
        <v>0</v>
      </c>
      <c r="V149" s="50">
        <v>0.000756</v>
      </c>
      <c r="W149" s="50">
        <v>3.1E-05</v>
      </c>
      <c r="X149" s="50">
        <v>0.83864</v>
      </c>
      <c r="Y149" s="50">
        <v>0</v>
      </c>
      <c r="Z149" s="50">
        <v>1</v>
      </c>
      <c r="AA149" s="75">
        <v>149</v>
      </c>
      <c r="AB149" s="75"/>
      <c r="AC149" s="76"/>
      <c r="AD149" s="82" t="s">
        <v>786</v>
      </c>
      <c r="AE149" s="99" t="str">
        <f>HYPERLINK("http://en.wikipedia.org/wiki/User:Addisonronk")</f>
        <v>http://en.wikipedia.org/wiki/User:Addisonronk</v>
      </c>
      <c r="AF149" s="82" t="s">
        <v>806</v>
      </c>
      <c r="AG149" s="82"/>
      <c r="AH149" s="82"/>
      <c r="AI149" s="82">
        <v>0.6097724</v>
      </c>
      <c r="AJ149" s="82">
        <v>83</v>
      </c>
      <c r="AK149" s="82"/>
      <c r="AL149" s="82" t="str">
        <f>REPLACE(INDEX(GroupVertices[Group],MATCH(Vertices[[#This Row],[Vertex]],GroupVertices[Vertex],0)),1,1,"")</f>
        <v>6</v>
      </c>
      <c r="AM149" s="49">
        <v>0</v>
      </c>
      <c r="AN149" s="50">
        <v>0</v>
      </c>
      <c r="AO149" s="49">
        <v>1</v>
      </c>
      <c r="AP149" s="50">
        <v>6.25</v>
      </c>
      <c r="AQ149" s="49">
        <v>0</v>
      </c>
      <c r="AR149" s="50">
        <v>0</v>
      </c>
      <c r="AS149" s="49">
        <v>15</v>
      </c>
      <c r="AT149" s="50">
        <v>93.75</v>
      </c>
      <c r="AU149" s="49">
        <v>16</v>
      </c>
      <c r="AV149" s="111" t="s">
        <v>1505</v>
      </c>
      <c r="AW149" s="111" t="s">
        <v>1505</v>
      </c>
      <c r="AX149" s="111" t="s">
        <v>1639</v>
      </c>
      <c r="AY149" s="111" t="s">
        <v>1639</v>
      </c>
      <c r="AZ149" s="2"/>
      <c r="BA149" s="3"/>
      <c r="BB149" s="3"/>
      <c r="BC149" s="3"/>
      <c r="BD149" s="3"/>
    </row>
    <row r="150" spans="1:56" ht="15">
      <c r="A150" s="68" t="s">
        <v>460</v>
      </c>
      <c r="B150" s="69"/>
      <c r="C150" s="69"/>
      <c r="D150" s="70">
        <v>114.41984174198528</v>
      </c>
      <c r="E150" s="72"/>
      <c r="F150" s="69"/>
      <c r="G150" s="69"/>
      <c r="H150" s="73" t="s">
        <v>460</v>
      </c>
      <c r="I150" s="74"/>
      <c r="J150" s="74"/>
      <c r="K150" s="73" t="s">
        <v>460</v>
      </c>
      <c r="L150" s="77">
        <v>366.60208997678245</v>
      </c>
      <c r="M150" s="78">
        <v>3319.8017578125</v>
      </c>
      <c r="N150" s="78">
        <v>1087.1708984375</v>
      </c>
      <c r="O150" s="79"/>
      <c r="P150" s="80"/>
      <c r="Q150" s="80"/>
      <c r="R150" s="85"/>
      <c r="S150" s="49">
        <v>1</v>
      </c>
      <c r="T150" s="49">
        <v>1</v>
      </c>
      <c r="U150" s="50">
        <v>1360</v>
      </c>
      <c r="V150" s="50">
        <v>0.001078</v>
      </c>
      <c r="W150" s="50">
        <v>0.001555</v>
      </c>
      <c r="X150" s="50">
        <v>0.791346</v>
      </c>
      <c r="Y150" s="50">
        <v>0</v>
      </c>
      <c r="Z150" s="50">
        <v>0</v>
      </c>
      <c r="AA150" s="75">
        <v>150</v>
      </c>
      <c r="AB150" s="75"/>
      <c r="AC150" s="76"/>
      <c r="AD150" s="82" t="s">
        <v>786</v>
      </c>
      <c r="AE150" s="99" t="str">
        <f>HYPERLINK("http://en.wikipedia.org/wiki/User:Drkill")</f>
        <v>http://en.wikipedia.org/wiki/User:Drkill</v>
      </c>
      <c r="AF150" s="82" t="s">
        <v>806</v>
      </c>
      <c r="AG150" s="82"/>
      <c r="AH150" s="82"/>
      <c r="AI150" s="82">
        <v>0.6846414</v>
      </c>
      <c r="AJ150" s="82">
        <v>268</v>
      </c>
      <c r="AK150" s="82"/>
      <c r="AL150" s="82" t="str">
        <f>REPLACE(INDEX(GroupVertices[Group],MATCH(Vertices[[#This Row],[Vertex]],GroupVertices[Vertex],0)),1,1,"")</f>
        <v>6</v>
      </c>
      <c r="AM150" s="49">
        <v>0</v>
      </c>
      <c r="AN150" s="50">
        <v>0</v>
      </c>
      <c r="AO150" s="49">
        <v>0</v>
      </c>
      <c r="AP150" s="50">
        <v>0</v>
      </c>
      <c r="AQ150" s="49">
        <v>0</v>
      </c>
      <c r="AR150" s="50">
        <v>0</v>
      </c>
      <c r="AS150" s="49">
        <v>10</v>
      </c>
      <c r="AT150" s="50">
        <v>100</v>
      </c>
      <c r="AU150" s="49">
        <v>10</v>
      </c>
      <c r="AV150" s="111" t="s">
        <v>1502</v>
      </c>
      <c r="AW150" s="111" t="s">
        <v>1502</v>
      </c>
      <c r="AX150" s="111" t="s">
        <v>1636</v>
      </c>
      <c r="AY150" s="111" t="s">
        <v>1636</v>
      </c>
      <c r="AZ150" s="2"/>
      <c r="BA150" s="3"/>
      <c r="BB150" s="3"/>
      <c r="BC150" s="3"/>
      <c r="BD150" s="3"/>
    </row>
    <row r="151" spans="1:56" ht="15">
      <c r="A151" s="68" t="s">
        <v>461</v>
      </c>
      <c r="B151" s="69"/>
      <c r="C151" s="69"/>
      <c r="D151" s="70">
        <v>132.60897352795757</v>
      </c>
      <c r="E151" s="72"/>
      <c r="F151" s="69"/>
      <c r="G151" s="69"/>
      <c r="H151" s="73" t="s">
        <v>461</v>
      </c>
      <c r="I151" s="74"/>
      <c r="J151" s="74"/>
      <c r="K151" s="73" t="s">
        <v>461</v>
      </c>
      <c r="L151" s="77">
        <v>469.83091538199164</v>
      </c>
      <c r="M151" s="78">
        <v>3324.82861328125</v>
      </c>
      <c r="N151" s="78">
        <v>2940.440185546875</v>
      </c>
      <c r="O151" s="79"/>
      <c r="P151" s="80"/>
      <c r="Q151" s="80"/>
      <c r="R151" s="85"/>
      <c r="S151" s="49">
        <v>1</v>
      </c>
      <c r="T151" s="49">
        <v>1</v>
      </c>
      <c r="U151" s="50">
        <v>1744</v>
      </c>
      <c r="V151" s="50">
        <v>0.001359</v>
      </c>
      <c r="W151" s="50">
        <v>0.011911</v>
      </c>
      <c r="X151" s="50">
        <v>0.72736</v>
      </c>
      <c r="Y151" s="50">
        <v>0</v>
      </c>
      <c r="Z151" s="50">
        <v>0</v>
      </c>
      <c r="AA151" s="75">
        <v>151</v>
      </c>
      <c r="AB151" s="75"/>
      <c r="AC151" s="76"/>
      <c r="AD151" s="82" t="s">
        <v>786</v>
      </c>
      <c r="AE151" s="99" t="str">
        <f>HYPERLINK("http://en.wikipedia.org/wiki/User:Kaitlin.hurley")</f>
        <v>http://en.wikipedia.org/wiki/User:Kaitlin.hurley</v>
      </c>
      <c r="AF151" s="82" t="s">
        <v>806</v>
      </c>
      <c r="AG151" s="82"/>
      <c r="AH151" s="82"/>
      <c r="AI151" s="82">
        <v>0.2916666</v>
      </c>
      <c r="AJ151" s="82">
        <v>16</v>
      </c>
      <c r="AK151" s="82"/>
      <c r="AL151" s="82" t="str">
        <f>REPLACE(INDEX(GroupVertices[Group],MATCH(Vertices[[#This Row],[Vertex]],GroupVertices[Vertex],0)),1,1,"")</f>
        <v>6</v>
      </c>
      <c r="AM151" s="49">
        <v>0</v>
      </c>
      <c r="AN151" s="50">
        <v>0</v>
      </c>
      <c r="AO151" s="49">
        <v>0</v>
      </c>
      <c r="AP151" s="50">
        <v>0</v>
      </c>
      <c r="AQ151" s="49">
        <v>0</v>
      </c>
      <c r="AR151" s="50">
        <v>0</v>
      </c>
      <c r="AS151" s="49">
        <v>8</v>
      </c>
      <c r="AT151" s="50">
        <v>100</v>
      </c>
      <c r="AU151" s="49">
        <v>8</v>
      </c>
      <c r="AV151" s="111" t="s">
        <v>1506</v>
      </c>
      <c r="AW151" s="111" t="s">
        <v>1506</v>
      </c>
      <c r="AX151" s="111" t="s">
        <v>1640</v>
      </c>
      <c r="AY151" s="111" t="s">
        <v>1640</v>
      </c>
      <c r="AZ151" s="2"/>
      <c r="BA151" s="3"/>
      <c r="BB151" s="3"/>
      <c r="BC151" s="3"/>
      <c r="BD151" s="3"/>
    </row>
    <row r="152" spans="1:56" ht="15">
      <c r="A152" s="68" t="s">
        <v>462</v>
      </c>
      <c r="B152" s="69"/>
      <c r="C152" s="69"/>
      <c r="D152" s="70">
        <v>50</v>
      </c>
      <c r="E152" s="72"/>
      <c r="F152" s="69"/>
      <c r="G152" s="69"/>
      <c r="H152" s="73" t="s">
        <v>462</v>
      </c>
      <c r="I152" s="74"/>
      <c r="J152" s="74"/>
      <c r="K152" s="73" t="s">
        <v>462</v>
      </c>
      <c r="L152" s="77">
        <v>1</v>
      </c>
      <c r="M152" s="78">
        <v>1237.839599609375</v>
      </c>
      <c r="N152" s="78">
        <v>5183.81591796875</v>
      </c>
      <c r="O152" s="79"/>
      <c r="P152" s="80"/>
      <c r="Q152" s="80"/>
      <c r="R152" s="85"/>
      <c r="S152" s="49">
        <v>1</v>
      </c>
      <c r="T152" s="49">
        <v>1</v>
      </c>
      <c r="U152" s="50">
        <v>0</v>
      </c>
      <c r="V152" s="50">
        <v>0.00134</v>
      </c>
      <c r="W152" s="50">
        <v>0.011712</v>
      </c>
      <c r="X152" s="50">
        <v>0.391038</v>
      </c>
      <c r="Y152" s="50">
        <v>0</v>
      </c>
      <c r="Z152" s="50">
        <v>1</v>
      </c>
      <c r="AA152" s="75">
        <v>152</v>
      </c>
      <c r="AB152" s="75"/>
      <c r="AC152" s="76"/>
      <c r="AD152" s="82" t="s">
        <v>786</v>
      </c>
      <c r="AE152" s="99" t="str">
        <f>HYPERLINK("http://en.wikipedia.org/wiki/User:Jtopf")</f>
        <v>http://en.wikipedia.org/wiki/User:Jtopf</v>
      </c>
      <c r="AF152" s="82" t="s">
        <v>806</v>
      </c>
      <c r="AG152" s="82"/>
      <c r="AH152" s="82"/>
      <c r="AI152" s="82">
        <v>0.4832536</v>
      </c>
      <c r="AJ152" s="82">
        <v>44</v>
      </c>
      <c r="AK152" s="82"/>
      <c r="AL152" s="82" t="str">
        <f>REPLACE(INDEX(GroupVertices[Group],MATCH(Vertices[[#This Row],[Vertex]],GroupVertices[Vertex],0)),1,1,"")</f>
        <v>1</v>
      </c>
      <c r="AM152" s="49">
        <v>0</v>
      </c>
      <c r="AN152" s="50">
        <v>0</v>
      </c>
      <c r="AO152" s="49">
        <v>0</v>
      </c>
      <c r="AP152" s="50">
        <v>0</v>
      </c>
      <c r="AQ152" s="49">
        <v>0</v>
      </c>
      <c r="AR152" s="50">
        <v>0</v>
      </c>
      <c r="AS152" s="49">
        <v>3</v>
      </c>
      <c r="AT152" s="50">
        <v>100</v>
      </c>
      <c r="AU152" s="49">
        <v>3</v>
      </c>
      <c r="AV152" s="111" t="s">
        <v>1306</v>
      </c>
      <c r="AW152" s="111" t="s">
        <v>1306</v>
      </c>
      <c r="AX152" s="111" t="s">
        <v>1416</v>
      </c>
      <c r="AY152" s="111" t="s">
        <v>1416</v>
      </c>
      <c r="AZ152" s="2"/>
      <c r="BA152" s="3"/>
      <c r="BB152" s="3"/>
      <c r="BC152" s="3"/>
      <c r="BD152" s="3"/>
    </row>
    <row r="153" spans="1:56" ht="15">
      <c r="A153" s="68" t="s">
        <v>463</v>
      </c>
      <c r="B153" s="69"/>
      <c r="C153" s="69"/>
      <c r="D153" s="70">
        <v>200</v>
      </c>
      <c r="E153" s="72"/>
      <c r="F153" s="69"/>
      <c r="G153" s="69"/>
      <c r="H153" s="73" t="s">
        <v>463</v>
      </c>
      <c r="I153" s="74"/>
      <c r="J153" s="74"/>
      <c r="K153" s="73" t="s">
        <v>463</v>
      </c>
      <c r="L153" s="77">
        <v>1954.3565377055572</v>
      </c>
      <c r="M153" s="78">
        <v>6884.54931640625</v>
      </c>
      <c r="N153" s="78">
        <v>3480.606201171875</v>
      </c>
      <c r="O153" s="79"/>
      <c r="P153" s="80"/>
      <c r="Q153" s="80"/>
      <c r="R153" s="85"/>
      <c r="S153" s="49">
        <v>1</v>
      </c>
      <c r="T153" s="49">
        <v>1</v>
      </c>
      <c r="U153" s="50">
        <v>7266.27381</v>
      </c>
      <c r="V153" s="50">
        <v>0.00142</v>
      </c>
      <c r="W153" s="50">
        <v>0.011947</v>
      </c>
      <c r="X153" s="50">
        <v>0.657445</v>
      </c>
      <c r="Y153" s="50">
        <v>0</v>
      </c>
      <c r="Z153" s="50">
        <v>0</v>
      </c>
      <c r="AA153" s="75">
        <v>153</v>
      </c>
      <c r="AB153" s="75"/>
      <c r="AC153" s="76"/>
      <c r="AD153" s="82" t="s">
        <v>786</v>
      </c>
      <c r="AE153" s="99" t="str">
        <f>HYPERLINK("http://en.wikipedia.org/wiki/User:Kayleyrushin")</f>
        <v>http://en.wikipedia.org/wiki/User:Kayleyrushin</v>
      </c>
      <c r="AF153" s="82" t="s">
        <v>806</v>
      </c>
      <c r="AG153" s="82"/>
      <c r="AH153" s="82"/>
      <c r="AI153" s="82">
        <v>0.3076923</v>
      </c>
      <c r="AJ153" s="82">
        <v>13</v>
      </c>
      <c r="AK153" s="82"/>
      <c r="AL153" s="82" t="str">
        <f>REPLACE(INDEX(GroupVertices[Group],MATCH(Vertices[[#This Row],[Vertex]],GroupVertices[Vertex],0)),1,1,"")</f>
        <v>7</v>
      </c>
      <c r="AM153" s="49">
        <v>0</v>
      </c>
      <c r="AN153" s="50">
        <v>0</v>
      </c>
      <c r="AO153" s="49">
        <v>0</v>
      </c>
      <c r="AP153" s="50">
        <v>0</v>
      </c>
      <c r="AQ153" s="49">
        <v>0</v>
      </c>
      <c r="AR153" s="50">
        <v>0</v>
      </c>
      <c r="AS153" s="49">
        <v>4</v>
      </c>
      <c r="AT153" s="50">
        <v>100</v>
      </c>
      <c r="AU153" s="49">
        <v>4</v>
      </c>
      <c r="AV153" s="111" t="s">
        <v>1077</v>
      </c>
      <c r="AW153" s="111" t="s">
        <v>1077</v>
      </c>
      <c r="AX153" s="111" t="s">
        <v>1418</v>
      </c>
      <c r="AY153" s="111" t="s">
        <v>1418</v>
      </c>
      <c r="AZ153" s="2"/>
      <c r="BA153" s="3"/>
      <c r="BB153" s="3"/>
      <c r="BC153" s="3"/>
      <c r="BD153" s="3"/>
    </row>
    <row r="154" spans="1:56" ht="15">
      <c r="A154" s="68" t="s">
        <v>464</v>
      </c>
      <c r="B154" s="69"/>
      <c r="C154" s="69"/>
      <c r="D154" s="70">
        <v>200</v>
      </c>
      <c r="E154" s="72"/>
      <c r="F154" s="69"/>
      <c r="G154" s="69"/>
      <c r="H154" s="73" t="s">
        <v>464</v>
      </c>
      <c r="I154" s="74"/>
      <c r="J154" s="74"/>
      <c r="K154" s="73" t="s">
        <v>464</v>
      </c>
      <c r="L154" s="77">
        <v>1873.6194093231345</v>
      </c>
      <c r="M154" s="78">
        <v>7103.47412109375</v>
      </c>
      <c r="N154" s="78">
        <v>3690.72216796875</v>
      </c>
      <c r="O154" s="79"/>
      <c r="P154" s="80"/>
      <c r="Q154" s="80"/>
      <c r="R154" s="85"/>
      <c r="S154" s="49">
        <v>3</v>
      </c>
      <c r="T154" s="49">
        <v>3</v>
      </c>
      <c r="U154" s="50">
        <v>6965.940476</v>
      </c>
      <c r="V154" s="50">
        <v>0.001157</v>
      </c>
      <c r="W154" s="50">
        <v>0.001836</v>
      </c>
      <c r="X154" s="50">
        <v>1.25368</v>
      </c>
      <c r="Y154" s="50">
        <v>0</v>
      </c>
      <c r="Z154" s="50">
        <v>0.3333333333333333</v>
      </c>
      <c r="AA154" s="75">
        <v>154</v>
      </c>
      <c r="AB154" s="75"/>
      <c r="AC154" s="76"/>
      <c r="AD154" s="82" t="s">
        <v>786</v>
      </c>
      <c r="AE154" s="99" t="str">
        <f>HYPERLINK("http://en.wikipedia.org/wiki/User:Romhilde")</f>
        <v>http://en.wikipedia.org/wiki/User:Romhilde</v>
      </c>
      <c r="AF154" s="82" t="s">
        <v>806</v>
      </c>
      <c r="AG154" s="82"/>
      <c r="AH154" s="82"/>
      <c r="AI154" s="82">
        <v>0.4555831</v>
      </c>
      <c r="AJ154" s="82">
        <v>303</v>
      </c>
      <c r="AK154" s="82"/>
      <c r="AL154" s="82" t="str">
        <f>REPLACE(INDEX(GroupVertices[Group],MATCH(Vertices[[#This Row],[Vertex]],GroupVertices[Vertex],0)),1,1,"")</f>
        <v>7</v>
      </c>
      <c r="AM154" s="49">
        <v>0</v>
      </c>
      <c r="AN154" s="50">
        <v>0</v>
      </c>
      <c r="AO154" s="49">
        <v>1</v>
      </c>
      <c r="AP154" s="50">
        <v>4.545454545454546</v>
      </c>
      <c r="AQ154" s="49">
        <v>0</v>
      </c>
      <c r="AR154" s="50">
        <v>0</v>
      </c>
      <c r="AS154" s="49">
        <v>21</v>
      </c>
      <c r="AT154" s="50">
        <v>95.45454545454545</v>
      </c>
      <c r="AU154" s="49">
        <v>22</v>
      </c>
      <c r="AV154" s="111" t="s">
        <v>1507</v>
      </c>
      <c r="AW154" s="111" t="s">
        <v>1507</v>
      </c>
      <c r="AX154" s="111" t="s">
        <v>1641</v>
      </c>
      <c r="AY154" s="111" t="s">
        <v>1641</v>
      </c>
      <c r="AZ154" s="2"/>
      <c r="BA154" s="3"/>
      <c r="BB154" s="3"/>
      <c r="BC154" s="3"/>
      <c r="BD154" s="3"/>
    </row>
    <row r="155" spans="1:56" ht="15">
      <c r="A155" s="68" t="s">
        <v>465</v>
      </c>
      <c r="B155" s="69"/>
      <c r="C155" s="69"/>
      <c r="D155" s="70">
        <v>153.3401628102239</v>
      </c>
      <c r="E155" s="72"/>
      <c r="F155" s="69"/>
      <c r="G155" s="69"/>
      <c r="H155" s="73" t="s">
        <v>465</v>
      </c>
      <c r="I155" s="74"/>
      <c r="J155" s="74"/>
      <c r="K155" s="73" t="s">
        <v>465</v>
      </c>
      <c r="L155" s="77">
        <v>587.4866860940302</v>
      </c>
      <c r="M155" s="78">
        <v>5828.62109375</v>
      </c>
      <c r="N155" s="78">
        <v>4533.28857421875</v>
      </c>
      <c r="O155" s="79"/>
      <c r="P155" s="80"/>
      <c r="Q155" s="80"/>
      <c r="R155" s="85"/>
      <c r="S155" s="49">
        <v>3</v>
      </c>
      <c r="T155" s="49">
        <v>3</v>
      </c>
      <c r="U155" s="50">
        <v>2181.666667</v>
      </c>
      <c r="V155" s="50">
        <v>0.000958</v>
      </c>
      <c r="W155" s="50">
        <v>0.000285</v>
      </c>
      <c r="X155" s="50">
        <v>1.195816</v>
      </c>
      <c r="Y155" s="50">
        <v>0.3333333333333333</v>
      </c>
      <c r="Z155" s="50">
        <v>0.3333333333333333</v>
      </c>
      <c r="AA155" s="75">
        <v>155</v>
      </c>
      <c r="AB155" s="75"/>
      <c r="AC155" s="76"/>
      <c r="AD155" s="82" t="s">
        <v>786</v>
      </c>
      <c r="AE155" s="99" t="str">
        <f>HYPERLINK("http://en.wikipedia.org/wiki/User:Corriebertus")</f>
        <v>http://en.wikipedia.org/wiki/User:Corriebertus</v>
      </c>
      <c r="AF155" s="82" t="s">
        <v>806</v>
      </c>
      <c r="AG155" s="82"/>
      <c r="AH155" s="82"/>
      <c r="AI155" s="82">
        <v>0.627296</v>
      </c>
      <c r="AJ155" s="82">
        <v>500</v>
      </c>
      <c r="AK155" s="82"/>
      <c r="AL155" s="82" t="str">
        <f>REPLACE(INDEX(GroupVertices[Group],MATCH(Vertices[[#This Row],[Vertex]],GroupVertices[Vertex],0)),1,1,"")</f>
        <v>7</v>
      </c>
      <c r="AM155" s="49">
        <v>0</v>
      </c>
      <c r="AN155" s="50">
        <v>0</v>
      </c>
      <c r="AO155" s="49">
        <v>0</v>
      </c>
      <c r="AP155" s="50">
        <v>0</v>
      </c>
      <c r="AQ155" s="49">
        <v>0</v>
      </c>
      <c r="AR155" s="50">
        <v>0</v>
      </c>
      <c r="AS155" s="49">
        <v>21</v>
      </c>
      <c r="AT155" s="50">
        <v>100</v>
      </c>
      <c r="AU155" s="49">
        <v>21</v>
      </c>
      <c r="AV155" s="111" t="s">
        <v>1508</v>
      </c>
      <c r="AW155" s="111" t="s">
        <v>1508</v>
      </c>
      <c r="AX155" s="111" t="s">
        <v>1642</v>
      </c>
      <c r="AY155" s="111" t="s">
        <v>1642</v>
      </c>
      <c r="AZ155" s="2"/>
      <c r="BA155" s="3"/>
      <c r="BB155" s="3"/>
      <c r="BC155" s="3"/>
      <c r="BD155" s="3"/>
    </row>
    <row r="156" spans="1:56" ht="15">
      <c r="A156" s="68" t="s">
        <v>466</v>
      </c>
      <c r="B156" s="69"/>
      <c r="C156" s="69"/>
      <c r="D156" s="70">
        <v>200</v>
      </c>
      <c r="E156" s="72"/>
      <c r="F156" s="69"/>
      <c r="G156" s="69"/>
      <c r="H156" s="73" t="s">
        <v>466</v>
      </c>
      <c r="I156" s="74"/>
      <c r="J156" s="74"/>
      <c r="K156" s="73" t="s">
        <v>466</v>
      </c>
      <c r="L156" s="77">
        <v>1103.4355947764566</v>
      </c>
      <c r="M156" s="78">
        <v>7850.03466796875</v>
      </c>
      <c r="N156" s="78">
        <v>5055.44921875</v>
      </c>
      <c r="O156" s="79"/>
      <c r="P156" s="80"/>
      <c r="Q156" s="80"/>
      <c r="R156" s="85"/>
      <c r="S156" s="49">
        <v>1</v>
      </c>
      <c r="T156" s="49">
        <v>1</v>
      </c>
      <c r="U156" s="50">
        <v>4100.940476</v>
      </c>
      <c r="V156" s="50">
        <v>0.000965</v>
      </c>
      <c r="W156" s="50">
        <v>0.00024</v>
      </c>
      <c r="X156" s="50">
        <v>0.714704</v>
      </c>
      <c r="Y156" s="50">
        <v>0</v>
      </c>
      <c r="Z156" s="50">
        <v>0</v>
      </c>
      <c r="AA156" s="75">
        <v>156</v>
      </c>
      <c r="AB156" s="75"/>
      <c r="AC156" s="76"/>
      <c r="AD156" s="82" t="s">
        <v>786</v>
      </c>
      <c r="AE156" s="99" t="str">
        <f>HYPERLINK("http://en.wikipedia.org/wiki/User:Hannahnorred")</f>
        <v>http://en.wikipedia.org/wiki/User:Hannahnorred</v>
      </c>
      <c r="AF156" s="82" t="s">
        <v>806</v>
      </c>
      <c r="AG156" s="82"/>
      <c r="AH156" s="82"/>
      <c r="AI156" s="82">
        <v>0.3514493</v>
      </c>
      <c r="AJ156" s="82">
        <v>23</v>
      </c>
      <c r="AK156" s="82"/>
      <c r="AL156" s="82" t="str">
        <f>REPLACE(INDEX(GroupVertices[Group],MATCH(Vertices[[#This Row],[Vertex]],GroupVertices[Vertex],0)),1,1,"")</f>
        <v>7</v>
      </c>
      <c r="AM156" s="49">
        <v>0</v>
      </c>
      <c r="AN156" s="50">
        <v>0</v>
      </c>
      <c r="AO156" s="49">
        <v>0</v>
      </c>
      <c r="AP156" s="50">
        <v>0</v>
      </c>
      <c r="AQ156" s="49">
        <v>0</v>
      </c>
      <c r="AR156" s="50">
        <v>0</v>
      </c>
      <c r="AS156" s="49">
        <v>13</v>
      </c>
      <c r="AT156" s="50">
        <v>100</v>
      </c>
      <c r="AU156" s="49">
        <v>13</v>
      </c>
      <c r="AV156" s="111" t="s">
        <v>1509</v>
      </c>
      <c r="AW156" s="111" t="s">
        <v>1509</v>
      </c>
      <c r="AX156" s="111" t="s">
        <v>1643</v>
      </c>
      <c r="AY156" s="111" t="s">
        <v>1643</v>
      </c>
      <c r="AZ156" s="2"/>
      <c r="BA156" s="3"/>
      <c r="BB156" s="3"/>
      <c r="BC156" s="3"/>
      <c r="BD156" s="3"/>
    </row>
    <row r="157" spans="1:56" ht="15">
      <c r="A157" s="68" t="s">
        <v>467</v>
      </c>
      <c r="B157" s="69"/>
      <c r="C157" s="69"/>
      <c r="D157" s="70">
        <v>200</v>
      </c>
      <c r="E157" s="72"/>
      <c r="F157" s="69"/>
      <c r="G157" s="69"/>
      <c r="H157" s="73" t="s">
        <v>467</v>
      </c>
      <c r="I157" s="74"/>
      <c r="J157" s="74"/>
      <c r="K157" s="73" t="s">
        <v>467</v>
      </c>
      <c r="L157" s="77">
        <v>1038.5591455662634</v>
      </c>
      <c r="M157" s="78">
        <v>6576.2861328125</v>
      </c>
      <c r="N157" s="78">
        <v>4660.03564453125</v>
      </c>
      <c r="O157" s="79"/>
      <c r="P157" s="80"/>
      <c r="Q157" s="80"/>
      <c r="R157" s="85"/>
      <c r="S157" s="49">
        <v>2</v>
      </c>
      <c r="T157" s="49">
        <v>2</v>
      </c>
      <c r="U157" s="50">
        <v>3859.607143</v>
      </c>
      <c r="V157" s="50">
        <v>0.000831</v>
      </c>
      <c r="W157" s="50">
        <v>3.3E-05</v>
      </c>
      <c r="X157" s="50">
        <v>1.403749</v>
      </c>
      <c r="Y157" s="50">
        <v>0.08333333333333333</v>
      </c>
      <c r="Z157" s="50">
        <v>0</v>
      </c>
      <c r="AA157" s="75">
        <v>157</v>
      </c>
      <c r="AB157" s="75"/>
      <c r="AC157" s="76"/>
      <c r="AD157" s="82" t="s">
        <v>786</v>
      </c>
      <c r="AE157" s="82" t="s">
        <v>801</v>
      </c>
      <c r="AF157" s="82" t="s">
        <v>806</v>
      </c>
      <c r="AG157" s="82"/>
      <c r="AH157" s="82"/>
      <c r="AI157" s="82">
        <v>0.2630589</v>
      </c>
      <c r="AJ157" s="82">
        <v>500</v>
      </c>
      <c r="AK157" s="82"/>
      <c r="AL157" s="82" t="str">
        <f>REPLACE(INDEX(GroupVertices[Group],MATCH(Vertices[[#This Row],[Vertex]],GroupVertices[Vertex],0)),1,1,"")</f>
        <v>7</v>
      </c>
      <c r="AM157" s="49">
        <v>0</v>
      </c>
      <c r="AN157" s="50">
        <v>0</v>
      </c>
      <c r="AO157" s="49">
        <v>0</v>
      </c>
      <c r="AP157" s="50">
        <v>0</v>
      </c>
      <c r="AQ157" s="49">
        <v>0</v>
      </c>
      <c r="AR157" s="50">
        <v>0</v>
      </c>
      <c r="AS157" s="49">
        <v>10</v>
      </c>
      <c r="AT157" s="50">
        <v>100</v>
      </c>
      <c r="AU157" s="49">
        <v>10</v>
      </c>
      <c r="AV157" s="111" t="s">
        <v>1510</v>
      </c>
      <c r="AW157" s="111" t="s">
        <v>1510</v>
      </c>
      <c r="AX157" s="111" t="s">
        <v>1644</v>
      </c>
      <c r="AY157" s="111" t="s">
        <v>1644</v>
      </c>
      <c r="AZ157" s="2"/>
      <c r="BA157" s="3"/>
      <c r="BB157" s="3"/>
      <c r="BC157" s="3"/>
      <c r="BD157" s="3"/>
    </row>
    <row r="158" spans="1:56" ht="15">
      <c r="A158" s="68" t="s">
        <v>468</v>
      </c>
      <c r="B158" s="69"/>
      <c r="C158" s="69"/>
      <c r="D158" s="70">
        <v>87.90981371521735</v>
      </c>
      <c r="E158" s="72"/>
      <c r="F158" s="69"/>
      <c r="G158" s="69"/>
      <c r="H158" s="73" t="s">
        <v>468</v>
      </c>
      <c r="I158" s="74"/>
      <c r="J158" s="74"/>
      <c r="K158" s="73" t="s">
        <v>468</v>
      </c>
      <c r="L158" s="77">
        <v>216.14966119329722</v>
      </c>
      <c r="M158" s="78">
        <v>7183.64453125</v>
      </c>
      <c r="N158" s="78">
        <v>6077.5029296875</v>
      </c>
      <c r="O158" s="79"/>
      <c r="P158" s="80"/>
      <c r="Q158" s="80"/>
      <c r="R158" s="85"/>
      <c r="S158" s="49">
        <v>1</v>
      </c>
      <c r="T158" s="49">
        <v>1</v>
      </c>
      <c r="U158" s="50">
        <v>800.333333</v>
      </c>
      <c r="V158" s="50">
        <v>0.000716</v>
      </c>
      <c r="W158" s="50">
        <v>4E-06</v>
      </c>
      <c r="X158" s="50">
        <v>0.819686</v>
      </c>
      <c r="Y158" s="50">
        <v>0</v>
      </c>
      <c r="Z158" s="50">
        <v>0</v>
      </c>
      <c r="AA158" s="75">
        <v>158</v>
      </c>
      <c r="AB158" s="75"/>
      <c r="AC158" s="76"/>
      <c r="AD158" s="82" t="s">
        <v>786</v>
      </c>
      <c r="AE158" s="99" t="str">
        <f>HYPERLINK("http://en.wikipedia.org/wiki/User:Eabenoit")</f>
        <v>http://en.wikipedia.org/wiki/User:Eabenoit</v>
      </c>
      <c r="AF158" s="82" t="s">
        <v>806</v>
      </c>
      <c r="AG158" s="82"/>
      <c r="AH158" s="82"/>
      <c r="AI158" s="82">
        <v>0.6770637</v>
      </c>
      <c r="AJ158" s="82">
        <v>369</v>
      </c>
      <c r="AK158" s="82"/>
      <c r="AL158" s="82" t="str">
        <f>REPLACE(INDEX(GroupVertices[Group],MATCH(Vertices[[#This Row],[Vertex]],GroupVertices[Vertex],0)),1,1,"")</f>
        <v>7</v>
      </c>
      <c r="AM158" s="49">
        <v>0</v>
      </c>
      <c r="AN158" s="50">
        <v>0</v>
      </c>
      <c r="AO158" s="49">
        <v>0</v>
      </c>
      <c r="AP158" s="50">
        <v>0</v>
      </c>
      <c r="AQ158" s="49">
        <v>0</v>
      </c>
      <c r="AR158" s="50">
        <v>0</v>
      </c>
      <c r="AS158" s="49">
        <v>13</v>
      </c>
      <c r="AT158" s="50">
        <v>100</v>
      </c>
      <c r="AU158" s="49">
        <v>13</v>
      </c>
      <c r="AV158" s="111" t="s">
        <v>1509</v>
      </c>
      <c r="AW158" s="111" t="s">
        <v>1509</v>
      </c>
      <c r="AX158" s="111" t="s">
        <v>1643</v>
      </c>
      <c r="AY158" s="111" t="s">
        <v>1643</v>
      </c>
      <c r="AZ158" s="2"/>
      <c r="BA158" s="3"/>
      <c r="BB158" s="3"/>
      <c r="BC158" s="3"/>
      <c r="BD158" s="3"/>
    </row>
    <row r="159" spans="1:56" ht="15">
      <c r="A159" s="68" t="s">
        <v>469</v>
      </c>
      <c r="B159" s="69"/>
      <c r="C159" s="69"/>
      <c r="D159" s="70">
        <v>69.56279017605877</v>
      </c>
      <c r="E159" s="72"/>
      <c r="F159" s="69"/>
      <c r="G159" s="69"/>
      <c r="H159" s="73" t="s">
        <v>469</v>
      </c>
      <c r="I159" s="74"/>
      <c r="J159" s="74"/>
      <c r="K159" s="73" t="s">
        <v>469</v>
      </c>
      <c r="L159" s="77">
        <v>112.02475232383173</v>
      </c>
      <c r="M159" s="78">
        <v>6016.6953125</v>
      </c>
      <c r="N159" s="78">
        <v>5677.453125</v>
      </c>
      <c r="O159" s="79"/>
      <c r="P159" s="80"/>
      <c r="Q159" s="80"/>
      <c r="R159" s="85"/>
      <c r="S159" s="49">
        <v>1</v>
      </c>
      <c r="T159" s="49">
        <v>1</v>
      </c>
      <c r="U159" s="50">
        <v>413</v>
      </c>
      <c r="V159" s="50">
        <v>0.000629</v>
      </c>
      <c r="W159" s="50">
        <v>1E-06</v>
      </c>
      <c r="X159" s="50">
        <v>0.873857</v>
      </c>
      <c r="Y159" s="50">
        <v>0</v>
      </c>
      <c r="Z159" s="50">
        <v>0</v>
      </c>
      <c r="AA159" s="75">
        <v>159</v>
      </c>
      <c r="AB159" s="75"/>
      <c r="AC159" s="76"/>
      <c r="AD159" s="82" t="s">
        <v>786</v>
      </c>
      <c r="AE159" s="99" t="str">
        <f>HYPERLINK("http://en.wikipedia.org/wiki/User:148.253.179.58")</f>
        <v>http://en.wikipedia.org/wiki/User:148.253.179.58</v>
      </c>
      <c r="AF159" s="82" t="s">
        <v>806</v>
      </c>
      <c r="AG159" s="82"/>
      <c r="AH159" s="82"/>
      <c r="AI159" s="82">
        <v>0.1333333</v>
      </c>
      <c r="AJ159" s="82">
        <v>6</v>
      </c>
      <c r="AK159" s="82"/>
      <c r="AL159" s="82" t="str">
        <f>REPLACE(INDEX(GroupVertices[Group],MATCH(Vertices[[#This Row],[Vertex]],GroupVertices[Vertex],0)),1,1,"")</f>
        <v>7</v>
      </c>
      <c r="AM159" s="49">
        <v>0</v>
      </c>
      <c r="AN159" s="50">
        <v>0</v>
      </c>
      <c r="AO159" s="49">
        <v>0</v>
      </c>
      <c r="AP159" s="50">
        <v>0</v>
      </c>
      <c r="AQ159" s="49">
        <v>0</v>
      </c>
      <c r="AR159" s="50">
        <v>0</v>
      </c>
      <c r="AS159" s="49">
        <v>6</v>
      </c>
      <c r="AT159" s="50">
        <v>100</v>
      </c>
      <c r="AU159" s="49">
        <v>6</v>
      </c>
      <c r="AV159" s="111" t="s">
        <v>1736</v>
      </c>
      <c r="AW159" s="111" t="s">
        <v>1736</v>
      </c>
      <c r="AX159" s="111" t="s">
        <v>1748</v>
      </c>
      <c r="AY159" s="111" t="s">
        <v>1748</v>
      </c>
      <c r="AZ159" s="2"/>
      <c r="BA159" s="3"/>
      <c r="BB159" s="3"/>
      <c r="BC159" s="3"/>
      <c r="BD159" s="3"/>
    </row>
    <row r="160" spans="1:56" ht="15">
      <c r="A160" s="68" t="s">
        <v>470</v>
      </c>
      <c r="B160" s="69"/>
      <c r="C160" s="69"/>
      <c r="D160" s="70">
        <v>51.40523675967072</v>
      </c>
      <c r="E160" s="72"/>
      <c r="F160" s="69"/>
      <c r="G160" s="69"/>
      <c r="H160" s="73" t="s">
        <v>470</v>
      </c>
      <c r="I160" s="74"/>
      <c r="J160" s="74"/>
      <c r="K160" s="73" t="s">
        <v>470</v>
      </c>
      <c r="L160" s="77">
        <v>8.975143719003857</v>
      </c>
      <c r="M160" s="78">
        <v>7876.06640625</v>
      </c>
      <c r="N160" s="78">
        <v>5917.6171875</v>
      </c>
      <c r="O160" s="79"/>
      <c r="P160" s="80"/>
      <c r="Q160" s="80"/>
      <c r="R160" s="85"/>
      <c r="S160" s="49">
        <v>1</v>
      </c>
      <c r="T160" s="49">
        <v>1</v>
      </c>
      <c r="U160" s="50">
        <v>29.666667</v>
      </c>
      <c r="V160" s="50">
        <v>0.000561</v>
      </c>
      <c r="W160" s="50">
        <v>0</v>
      </c>
      <c r="X160" s="50">
        <v>0.883508</v>
      </c>
      <c r="Y160" s="50">
        <v>0</v>
      </c>
      <c r="Z160" s="50">
        <v>0</v>
      </c>
      <c r="AA160" s="75">
        <v>160</v>
      </c>
      <c r="AB160" s="75"/>
      <c r="AC160" s="76"/>
      <c r="AD160" s="82" t="s">
        <v>786</v>
      </c>
      <c r="AE160" s="99" t="str">
        <f>HYPERLINK("http://en.wikipedia.org/wiki/User:RHcosm")</f>
        <v>http://en.wikipedia.org/wiki/User:RHcosm</v>
      </c>
      <c r="AF160" s="82" t="s">
        <v>806</v>
      </c>
      <c r="AG160" s="82"/>
      <c r="AH160" s="82"/>
      <c r="AI160" s="82">
        <v>0.158</v>
      </c>
      <c r="AJ160" s="82">
        <v>500</v>
      </c>
      <c r="AK160" s="82"/>
      <c r="AL160" s="82" t="str">
        <f>REPLACE(INDEX(GroupVertices[Group],MATCH(Vertices[[#This Row],[Vertex]],GroupVertices[Vertex],0)),1,1,"")</f>
        <v>7</v>
      </c>
      <c r="AM160" s="49">
        <v>0</v>
      </c>
      <c r="AN160" s="50">
        <v>0</v>
      </c>
      <c r="AO160" s="49">
        <v>0</v>
      </c>
      <c r="AP160" s="50">
        <v>0</v>
      </c>
      <c r="AQ160" s="49">
        <v>0</v>
      </c>
      <c r="AR160" s="50">
        <v>0</v>
      </c>
      <c r="AS160" s="49">
        <v>25</v>
      </c>
      <c r="AT160" s="50">
        <v>100</v>
      </c>
      <c r="AU160" s="49">
        <v>25</v>
      </c>
      <c r="AV160" s="111" t="s">
        <v>1511</v>
      </c>
      <c r="AW160" s="111" t="s">
        <v>1511</v>
      </c>
      <c r="AX160" s="111" t="s">
        <v>1645</v>
      </c>
      <c r="AY160" s="111" t="s">
        <v>1645</v>
      </c>
      <c r="AZ160" s="2"/>
      <c r="BA160" s="3"/>
      <c r="BB160" s="3"/>
      <c r="BC160" s="3"/>
      <c r="BD160" s="3"/>
    </row>
    <row r="161" spans="1:56" ht="15">
      <c r="A161" s="68" t="s">
        <v>471</v>
      </c>
      <c r="B161" s="69"/>
      <c r="C161" s="69"/>
      <c r="D161" s="70">
        <v>50.978928983436994</v>
      </c>
      <c r="E161" s="72"/>
      <c r="F161" s="69"/>
      <c r="G161" s="69"/>
      <c r="H161" s="73" t="s">
        <v>471</v>
      </c>
      <c r="I161" s="74"/>
      <c r="J161" s="74"/>
      <c r="K161" s="73" t="s">
        <v>471</v>
      </c>
      <c r="L161" s="77">
        <v>6.555718123569266</v>
      </c>
      <c r="M161" s="78">
        <v>7676.98876953125</v>
      </c>
      <c r="N161" s="78">
        <v>4063.221435546875</v>
      </c>
      <c r="O161" s="79"/>
      <c r="P161" s="80"/>
      <c r="Q161" s="80"/>
      <c r="R161" s="85"/>
      <c r="S161" s="49">
        <v>1</v>
      </c>
      <c r="T161" s="49">
        <v>1</v>
      </c>
      <c r="U161" s="50">
        <v>20.666667</v>
      </c>
      <c r="V161" s="50">
        <v>0.000558</v>
      </c>
      <c r="W161" s="50">
        <v>0</v>
      </c>
      <c r="X161" s="50">
        <v>0.852044</v>
      </c>
      <c r="Y161" s="50">
        <v>0</v>
      </c>
      <c r="Z161" s="50">
        <v>0</v>
      </c>
      <c r="AA161" s="75">
        <v>161</v>
      </c>
      <c r="AB161" s="75"/>
      <c r="AC161" s="76"/>
      <c r="AD161" s="82" t="s">
        <v>786</v>
      </c>
      <c r="AE161" s="99" t="str">
        <f>HYPERLINK("http://en.wikipedia.org/wiki/User:Kmcdavi")</f>
        <v>http://en.wikipedia.org/wiki/User:Kmcdavi</v>
      </c>
      <c r="AF161" s="82" t="s">
        <v>806</v>
      </c>
      <c r="AG161" s="82"/>
      <c r="AH161" s="82"/>
      <c r="AI161" s="82">
        <v>0.3636364</v>
      </c>
      <c r="AJ161" s="82">
        <v>22</v>
      </c>
      <c r="AK161" s="82"/>
      <c r="AL161" s="82" t="str">
        <f>REPLACE(INDEX(GroupVertices[Group],MATCH(Vertices[[#This Row],[Vertex]],GroupVertices[Vertex],0)),1,1,"")</f>
        <v>7</v>
      </c>
      <c r="AM161" s="49">
        <v>0</v>
      </c>
      <c r="AN161" s="50">
        <v>0</v>
      </c>
      <c r="AO161" s="49">
        <v>0</v>
      </c>
      <c r="AP161" s="50">
        <v>0</v>
      </c>
      <c r="AQ161" s="49">
        <v>0</v>
      </c>
      <c r="AR161" s="50">
        <v>0</v>
      </c>
      <c r="AS161" s="49">
        <v>13</v>
      </c>
      <c r="AT161" s="50">
        <v>100</v>
      </c>
      <c r="AU161" s="49">
        <v>13</v>
      </c>
      <c r="AV161" s="111" t="s">
        <v>1512</v>
      </c>
      <c r="AW161" s="111" t="s">
        <v>1512</v>
      </c>
      <c r="AX161" s="111" t="s">
        <v>1646</v>
      </c>
      <c r="AY161" s="111" t="s">
        <v>1646</v>
      </c>
      <c r="AZ161" s="2"/>
      <c r="BA161" s="3"/>
      <c r="BB161" s="3"/>
      <c r="BC161" s="3"/>
      <c r="BD161" s="3"/>
    </row>
    <row r="162" spans="1:56" ht="15">
      <c r="A162" s="68" t="s">
        <v>472</v>
      </c>
      <c r="B162" s="69"/>
      <c r="C162" s="69"/>
      <c r="D162" s="70">
        <v>68.74175299317558</v>
      </c>
      <c r="E162" s="72"/>
      <c r="F162" s="69"/>
      <c r="G162" s="69"/>
      <c r="H162" s="73" t="s">
        <v>472</v>
      </c>
      <c r="I162" s="74"/>
      <c r="J162" s="74"/>
      <c r="K162" s="73" t="s">
        <v>472</v>
      </c>
      <c r="L162" s="77">
        <v>107.36511793334384</v>
      </c>
      <c r="M162" s="78">
        <v>6034.9267578125</v>
      </c>
      <c r="N162" s="78">
        <v>4261.08349609375</v>
      </c>
      <c r="O162" s="79"/>
      <c r="P162" s="80"/>
      <c r="Q162" s="80"/>
      <c r="R162" s="85"/>
      <c r="S162" s="49">
        <v>2</v>
      </c>
      <c r="T162" s="49">
        <v>2</v>
      </c>
      <c r="U162" s="50">
        <v>395.666667</v>
      </c>
      <c r="V162" s="50">
        <v>0.000625</v>
      </c>
      <c r="W162" s="50">
        <v>1E-06</v>
      </c>
      <c r="X162" s="50">
        <v>1.152543</v>
      </c>
      <c r="Y162" s="50">
        <v>0</v>
      </c>
      <c r="Z162" s="50">
        <v>0</v>
      </c>
      <c r="AA162" s="75">
        <v>162</v>
      </c>
      <c r="AB162" s="75"/>
      <c r="AC162" s="76"/>
      <c r="AD162" s="82" t="s">
        <v>786</v>
      </c>
      <c r="AE162" s="99" t="str">
        <f>HYPERLINK("http://en.wikipedia.org/wiki/User:Kseruntine")</f>
        <v>http://en.wikipedia.org/wiki/User:Kseruntine</v>
      </c>
      <c r="AF162" s="82" t="s">
        <v>806</v>
      </c>
      <c r="AG162" s="82"/>
      <c r="AH162" s="82"/>
      <c r="AI162" s="82">
        <v>0.4142857</v>
      </c>
      <c r="AJ162" s="82">
        <v>35</v>
      </c>
      <c r="AK162" s="82"/>
      <c r="AL162" s="82" t="str">
        <f>REPLACE(INDEX(GroupVertices[Group],MATCH(Vertices[[#This Row],[Vertex]],GroupVertices[Vertex],0)),1,1,"")</f>
        <v>7</v>
      </c>
      <c r="AM162" s="49">
        <v>0</v>
      </c>
      <c r="AN162" s="50">
        <v>0</v>
      </c>
      <c r="AO162" s="49">
        <v>0</v>
      </c>
      <c r="AP162" s="50">
        <v>0</v>
      </c>
      <c r="AQ162" s="49">
        <v>0</v>
      </c>
      <c r="AR162" s="50">
        <v>0</v>
      </c>
      <c r="AS162" s="49">
        <v>26</v>
      </c>
      <c r="AT162" s="50">
        <v>100</v>
      </c>
      <c r="AU162" s="49">
        <v>26</v>
      </c>
      <c r="AV162" s="111" t="s">
        <v>1509</v>
      </c>
      <c r="AW162" s="111" t="s">
        <v>1509</v>
      </c>
      <c r="AX162" s="111" t="s">
        <v>1643</v>
      </c>
      <c r="AY162" s="111" t="s">
        <v>1643</v>
      </c>
      <c r="AZ162" s="2"/>
      <c r="BA162" s="3"/>
      <c r="BB162" s="3"/>
      <c r="BC162" s="3"/>
      <c r="BD162" s="3"/>
    </row>
    <row r="163" spans="1:56" ht="15">
      <c r="A163" s="68" t="s">
        <v>473</v>
      </c>
      <c r="B163" s="69"/>
      <c r="C163" s="69"/>
      <c r="D163" s="70">
        <v>87.12035490191843</v>
      </c>
      <c r="E163" s="72"/>
      <c r="F163" s="69"/>
      <c r="G163" s="69"/>
      <c r="H163" s="73" t="s">
        <v>473</v>
      </c>
      <c r="I163" s="74"/>
      <c r="J163" s="74"/>
      <c r="K163" s="73" t="s">
        <v>473</v>
      </c>
      <c r="L163" s="77">
        <v>211.6692436031906</v>
      </c>
      <c r="M163" s="78">
        <v>7254.583984375</v>
      </c>
      <c r="N163" s="78">
        <v>4485.083984375</v>
      </c>
      <c r="O163" s="79"/>
      <c r="P163" s="80"/>
      <c r="Q163" s="80"/>
      <c r="R163" s="85"/>
      <c r="S163" s="49">
        <v>1</v>
      </c>
      <c r="T163" s="49">
        <v>1</v>
      </c>
      <c r="U163" s="50">
        <v>783.666667</v>
      </c>
      <c r="V163" s="50">
        <v>0.000712</v>
      </c>
      <c r="W163" s="50">
        <v>7E-06</v>
      </c>
      <c r="X163" s="50">
        <v>0.73852</v>
      </c>
      <c r="Y163" s="50">
        <v>0</v>
      </c>
      <c r="Z163" s="50">
        <v>0</v>
      </c>
      <c r="AA163" s="75">
        <v>163</v>
      </c>
      <c r="AB163" s="75"/>
      <c r="AC163" s="76"/>
      <c r="AD163" s="82" t="s">
        <v>786</v>
      </c>
      <c r="AE163" s="99" t="str">
        <f>HYPERLINK("http://en.wikipedia.org/wiki/User:Professorcravens")</f>
        <v>http://en.wikipedia.org/wiki/User:Professorcravens</v>
      </c>
      <c r="AF163" s="82" t="s">
        <v>806</v>
      </c>
      <c r="AG163" s="82"/>
      <c r="AH163" s="82"/>
      <c r="AI163" s="82">
        <v>0.6149901</v>
      </c>
      <c r="AJ163" s="82">
        <v>260</v>
      </c>
      <c r="AK163" s="82"/>
      <c r="AL163" s="82" t="str">
        <f>REPLACE(INDEX(GroupVertices[Group],MATCH(Vertices[[#This Row],[Vertex]],GroupVertices[Vertex],0)),1,1,"")</f>
        <v>7</v>
      </c>
      <c r="AM163" s="49">
        <v>0</v>
      </c>
      <c r="AN163" s="50">
        <v>0</v>
      </c>
      <c r="AO163" s="49">
        <v>0</v>
      </c>
      <c r="AP163" s="50">
        <v>0</v>
      </c>
      <c r="AQ163" s="49">
        <v>0</v>
      </c>
      <c r="AR163" s="50">
        <v>0</v>
      </c>
      <c r="AS163" s="49">
        <v>13</v>
      </c>
      <c r="AT163" s="50">
        <v>100</v>
      </c>
      <c r="AU163" s="49">
        <v>13</v>
      </c>
      <c r="AV163" s="111" t="s">
        <v>1512</v>
      </c>
      <c r="AW163" s="111" t="s">
        <v>1512</v>
      </c>
      <c r="AX163" s="111" t="s">
        <v>1646</v>
      </c>
      <c r="AY163" s="111" t="s">
        <v>1646</v>
      </c>
      <c r="AZ163" s="2"/>
      <c r="BA163" s="3"/>
      <c r="BB163" s="3"/>
      <c r="BC163" s="3"/>
      <c r="BD163" s="3"/>
    </row>
    <row r="164" spans="1:56" ht="15">
      <c r="A164" s="68" t="s">
        <v>474</v>
      </c>
      <c r="B164" s="69"/>
      <c r="C164" s="69"/>
      <c r="D164" s="70">
        <v>124.76175259408835</v>
      </c>
      <c r="E164" s="72"/>
      <c r="F164" s="69"/>
      <c r="G164" s="69"/>
      <c r="H164" s="73" t="s">
        <v>474</v>
      </c>
      <c r="I164" s="74"/>
      <c r="J164" s="74"/>
      <c r="K164" s="73" t="s">
        <v>474</v>
      </c>
      <c r="L164" s="77">
        <v>425.29556266530955</v>
      </c>
      <c r="M164" s="78">
        <v>5551.45849609375</v>
      </c>
      <c r="N164" s="78">
        <v>3970.210693359375</v>
      </c>
      <c r="O164" s="79"/>
      <c r="P164" s="80"/>
      <c r="Q164" s="80"/>
      <c r="R164" s="85"/>
      <c r="S164" s="49">
        <v>3</v>
      </c>
      <c r="T164" s="49">
        <v>4</v>
      </c>
      <c r="U164" s="50">
        <v>1578.333333</v>
      </c>
      <c r="V164" s="50">
        <v>0.000826</v>
      </c>
      <c r="W164" s="50">
        <v>5.1E-05</v>
      </c>
      <c r="X164" s="50">
        <v>1.540976</v>
      </c>
      <c r="Y164" s="50">
        <v>0.08333333333333333</v>
      </c>
      <c r="Z164" s="50">
        <v>0.25</v>
      </c>
      <c r="AA164" s="75">
        <v>164</v>
      </c>
      <c r="AB164" s="75"/>
      <c r="AC164" s="76"/>
      <c r="AD164" s="82" t="s">
        <v>786</v>
      </c>
      <c r="AE164" s="99" t="str">
        <f>HYPERLINK("http://en.wikipedia.org/wiki/User:SoMeGuRu")</f>
        <v>http://en.wikipedia.org/wiki/User:SoMeGuRu</v>
      </c>
      <c r="AF164" s="82" t="s">
        <v>806</v>
      </c>
      <c r="AG164" s="82"/>
      <c r="AH164" s="82"/>
      <c r="AI164" s="82">
        <v>0.3363636</v>
      </c>
      <c r="AJ164" s="82">
        <v>22</v>
      </c>
      <c r="AK164" s="82"/>
      <c r="AL164" s="82" t="str">
        <f>REPLACE(INDEX(GroupVertices[Group],MATCH(Vertices[[#This Row],[Vertex]],GroupVertices[Vertex],0)),1,1,"")</f>
        <v>7</v>
      </c>
      <c r="AM164" s="49">
        <v>0</v>
      </c>
      <c r="AN164" s="50">
        <v>0</v>
      </c>
      <c r="AO164" s="49">
        <v>0</v>
      </c>
      <c r="AP164" s="50">
        <v>0</v>
      </c>
      <c r="AQ164" s="49">
        <v>0</v>
      </c>
      <c r="AR164" s="50">
        <v>0</v>
      </c>
      <c r="AS164" s="49">
        <v>13</v>
      </c>
      <c r="AT164" s="50">
        <v>100</v>
      </c>
      <c r="AU164" s="49">
        <v>13</v>
      </c>
      <c r="AV164" s="111" t="s">
        <v>1513</v>
      </c>
      <c r="AW164" s="111" t="s">
        <v>1513</v>
      </c>
      <c r="AX164" s="111" t="s">
        <v>1647</v>
      </c>
      <c r="AY164" s="111" t="s">
        <v>1647</v>
      </c>
      <c r="AZ164" s="2"/>
      <c r="BA164" s="3"/>
      <c r="BB164" s="3"/>
      <c r="BC164" s="3"/>
      <c r="BD164" s="3"/>
    </row>
    <row r="165" spans="1:56" ht="15">
      <c r="A165" s="68" t="s">
        <v>475</v>
      </c>
      <c r="B165" s="69"/>
      <c r="C165" s="69"/>
      <c r="D165" s="70">
        <v>50</v>
      </c>
      <c r="E165" s="72"/>
      <c r="F165" s="69"/>
      <c r="G165" s="69"/>
      <c r="H165" s="73" t="s">
        <v>475</v>
      </c>
      <c r="I165" s="74"/>
      <c r="J165" s="74"/>
      <c r="K165" s="73" t="s">
        <v>475</v>
      </c>
      <c r="L165" s="77">
        <v>1</v>
      </c>
      <c r="M165" s="78">
        <v>5905.3427734375</v>
      </c>
      <c r="N165" s="78">
        <v>3333.341796875</v>
      </c>
      <c r="O165" s="79"/>
      <c r="P165" s="80"/>
      <c r="Q165" s="80"/>
      <c r="R165" s="85"/>
      <c r="S165" s="49">
        <v>3</v>
      </c>
      <c r="T165" s="49">
        <v>2</v>
      </c>
      <c r="U165" s="50">
        <v>0</v>
      </c>
      <c r="V165" s="50">
        <v>0.000813</v>
      </c>
      <c r="W165" s="50">
        <v>5E-05</v>
      </c>
      <c r="X165" s="50">
        <v>0.929409</v>
      </c>
      <c r="Y165" s="50">
        <v>0.5</v>
      </c>
      <c r="Z165" s="50">
        <v>0.5</v>
      </c>
      <c r="AA165" s="75">
        <v>165</v>
      </c>
      <c r="AB165" s="75"/>
      <c r="AC165" s="76"/>
      <c r="AD165" s="82" t="s">
        <v>786</v>
      </c>
      <c r="AE165" s="99" t="str">
        <f>HYPERLINK("http://en.wikipedia.org/wiki/User:Spintendo")</f>
        <v>http://en.wikipedia.org/wiki/User:Spintendo</v>
      </c>
      <c r="AF165" s="82" t="s">
        <v>806</v>
      </c>
      <c r="AG165" s="82"/>
      <c r="AH165" s="82"/>
      <c r="AI165" s="82">
        <v>0.4204119</v>
      </c>
      <c r="AJ165" s="82">
        <v>500</v>
      </c>
      <c r="AK165" s="82"/>
      <c r="AL165" s="82" t="str">
        <f>REPLACE(INDEX(GroupVertices[Group],MATCH(Vertices[[#This Row],[Vertex]],GroupVertices[Vertex],0)),1,1,"")</f>
        <v>7</v>
      </c>
      <c r="AM165" s="49">
        <v>0</v>
      </c>
      <c r="AN165" s="50">
        <v>0</v>
      </c>
      <c r="AO165" s="49">
        <v>0</v>
      </c>
      <c r="AP165" s="50">
        <v>0</v>
      </c>
      <c r="AQ165" s="49">
        <v>0</v>
      </c>
      <c r="AR165" s="50">
        <v>0</v>
      </c>
      <c r="AS165" s="49">
        <v>8</v>
      </c>
      <c r="AT165" s="50">
        <v>100</v>
      </c>
      <c r="AU165" s="49">
        <v>8</v>
      </c>
      <c r="AV165" s="111" t="s">
        <v>1514</v>
      </c>
      <c r="AW165" s="111" t="s">
        <v>1514</v>
      </c>
      <c r="AX165" s="111" t="s">
        <v>1648</v>
      </c>
      <c r="AY165" s="111" t="s">
        <v>1648</v>
      </c>
      <c r="AZ165" s="2"/>
      <c r="BA165" s="3"/>
      <c r="BB165" s="3"/>
      <c r="BC165" s="3"/>
      <c r="BD165" s="3"/>
    </row>
    <row r="166" spans="1:56" ht="15">
      <c r="A166" s="68" t="s">
        <v>476</v>
      </c>
      <c r="B166" s="69"/>
      <c r="C166" s="69"/>
      <c r="D166" s="70">
        <v>56.04725476754907</v>
      </c>
      <c r="E166" s="72"/>
      <c r="F166" s="69"/>
      <c r="G166" s="69"/>
      <c r="H166" s="73" t="s">
        <v>476</v>
      </c>
      <c r="I166" s="74"/>
      <c r="J166" s="74"/>
      <c r="K166" s="73" t="s">
        <v>476</v>
      </c>
      <c r="L166" s="77">
        <v>35.320000202624946</v>
      </c>
      <c r="M166" s="78">
        <v>6360.279296875</v>
      </c>
      <c r="N166" s="78">
        <v>3164.426025390625</v>
      </c>
      <c r="O166" s="79"/>
      <c r="P166" s="80"/>
      <c r="Q166" s="80"/>
      <c r="R166" s="85"/>
      <c r="S166" s="49">
        <v>1</v>
      </c>
      <c r="T166" s="49">
        <v>1</v>
      </c>
      <c r="U166" s="50">
        <v>127.666667</v>
      </c>
      <c r="V166" s="50">
        <v>0.000723</v>
      </c>
      <c r="W166" s="50">
        <v>7E-06</v>
      </c>
      <c r="X166" s="50">
        <v>0.700463</v>
      </c>
      <c r="Y166" s="50">
        <v>0</v>
      </c>
      <c r="Z166" s="50">
        <v>0</v>
      </c>
      <c r="AA166" s="75">
        <v>166</v>
      </c>
      <c r="AB166" s="75"/>
      <c r="AC166" s="76"/>
      <c r="AD166" s="82" t="s">
        <v>786</v>
      </c>
      <c r="AE166" s="99" t="str">
        <f>HYPERLINK("http://en.wikipedia.org/wiki/User:Psaltele")</f>
        <v>http://en.wikipedia.org/wiki/User:Psaltele</v>
      </c>
      <c r="AF166" s="82" t="s">
        <v>806</v>
      </c>
      <c r="AG166" s="82"/>
      <c r="AH166" s="82"/>
      <c r="AI166" s="82">
        <v>0.4828572</v>
      </c>
      <c r="AJ166" s="82">
        <v>50</v>
      </c>
      <c r="AK166" s="82"/>
      <c r="AL166" s="82" t="str">
        <f>REPLACE(INDEX(GroupVertices[Group],MATCH(Vertices[[#This Row],[Vertex]],GroupVertices[Vertex],0)),1,1,"")</f>
        <v>7</v>
      </c>
      <c r="AM166" s="49">
        <v>0</v>
      </c>
      <c r="AN166" s="50">
        <v>0</v>
      </c>
      <c r="AO166" s="49">
        <v>1</v>
      </c>
      <c r="AP166" s="50">
        <v>7.6923076923076925</v>
      </c>
      <c r="AQ166" s="49">
        <v>0</v>
      </c>
      <c r="AR166" s="50">
        <v>0</v>
      </c>
      <c r="AS166" s="49">
        <v>12</v>
      </c>
      <c r="AT166" s="50">
        <v>92.3076923076923</v>
      </c>
      <c r="AU166" s="49">
        <v>13</v>
      </c>
      <c r="AV166" s="111" t="s">
        <v>1515</v>
      </c>
      <c r="AW166" s="111" t="s">
        <v>1515</v>
      </c>
      <c r="AX166" s="111" t="s">
        <v>1649</v>
      </c>
      <c r="AY166" s="111" t="s">
        <v>1649</v>
      </c>
      <c r="AZ166" s="2"/>
      <c r="BA166" s="3"/>
      <c r="BB166" s="3"/>
      <c r="BC166" s="3"/>
      <c r="BD166" s="3"/>
    </row>
    <row r="167" spans="1:56" ht="15">
      <c r="A167" s="68" t="s">
        <v>477</v>
      </c>
      <c r="B167" s="69"/>
      <c r="C167" s="69"/>
      <c r="D167" s="70">
        <v>154.11101295751752</v>
      </c>
      <c r="E167" s="72"/>
      <c r="F167" s="69"/>
      <c r="G167" s="69"/>
      <c r="H167" s="73" t="s">
        <v>477</v>
      </c>
      <c r="I167" s="74"/>
      <c r="J167" s="74"/>
      <c r="K167" s="73" t="s">
        <v>477</v>
      </c>
      <c r="L167" s="77">
        <v>591.8614938751207</v>
      </c>
      <c r="M167" s="78">
        <v>6068.306640625</v>
      </c>
      <c r="N167" s="78">
        <v>6083.208984375</v>
      </c>
      <c r="O167" s="79"/>
      <c r="P167" s="80"/>
      <c r="Q167" s="80"/>
      <c r="R167" s="85"/>
      <c r="S167" s="49">
        <v>3</v>
      </c>
      <c r="T167" s="49">
        <v>3</v>
      </c>
      <c r="U167" s="50">
        <v>2197.940476</v>
      </c>
      <c r="V167" s="50">
        <v>0.000728</v>
      </c>
      <c r="W167" s="50">
        <v>7E-06</v>
      </c>
      <c r="X167" s="50">
        <v>1.697042</v>
      </c>
      <c r="Y167" s="50">
        <v>0.08333333333333333</v>
      </c>
      <c r="Z167" s="50">
        <v>0</v>
      </c>
      <c r="AA167" s="75">
        <v>167</v>
      </c>
      <c r="AB167" s="75"/>
      <c r="AC167" s="76"/>
      <c r="AD167" s="82" t="s">
        <v>786</v>
      </c>
      <c r="AE167" s="99" t="str">
        <f>HYPERLINK("http://en.wikipedia.org/wiki/User:Masonbeck17")</f>
        <v>http://en.wikipedia.org/wiki/User:Masonbeck17</v>
      </c>
      <c r="AF167" s="82" t="s">
        <v>806</v>
      </c>
      <c r="AG167" s="82"/>
      <c r="AH167" s="82"/>
      <c r="AI167" s="82">
        <v>0.3174603</v>
      </c>
      <c r="AJ167" s="82">
        <v>21</v>
      </c>
      <c r="AK167" s="82"/>
      <c r="AL167" s="82" t="str">
        <f>REPLACE(INDEX(GroupVertices[Group],MATCH(Vertices[[#This Row],[Vertex]],GroupVertices[Vertex],0)),1,1,"")</f>
        <v>7</v>
      </c>
      <c r="AM167" s="49">
        <v>0</v>
      </c>
      <c r="AN167" s="50">
        <v>0</v>
      </c>
      <c r="AO167" s="49">
        <v>0</v>
      </c>
      <c r="AP167" s="50">
        <v>0</v>
      </c>
      <c r="AQ167" s="49">
        <v>0</v>
      </c>
      <c r="AR167" s="50">
        <v>0</v>
      </c>
      <c r="AS167" s="49">
        <v>18</v>
      </c>
      <c r="AT167" s="50">
        <v>100</v>
      </c>
      <c r="AU167" s="49">
        <v>18</v>
      </c>
      <c r="AV167" s="111" t="s">
        <v>1516</v>
      </c>
      <c r="AW167" s="111" t="s">
        <v>1555</v>
      </c>
      <c r="AX167" s="111" t="s">
        <v>1650</v>
      </c>
      <c r="AY167" s="111" t="s">
        <v>1687</v>
      </c>
      <c r="AZ167" s="2"/>
      <c r="BA167" s="3"/>
      <c r="BB167" s="3"/>
      <c r="BC167" s="3"/>
      <c r="BD167" s="3"/>
    </row>
    <row r="168" spans="1:56" ht="15">
      <c r="A168" s="68" t="s">
        <v>478</v>
      </c>
      <c r="B168" s="69"/>
      <c r="C168" s="69"/>
      <c r="D168" s="70">
        <v>50</v>
      </c>
      <c r="E168" s="72"/>
      <c r="F168" s="69"/>
      <c r="G168" s="69"/>
      <c r="H168" s="73" t="s">
        <v>478</v>
      </c>
      <c r="I168" s="74"/>
      <c r="J168" s="74"/>
      <c r="K168" s="73" t="s">
        <v>478</v>
      </c>
      <c r="L168" s="77">
        <v>1</v>
      </c>
      <c r="M168" s="78">
        <v>6826.9375</v>
      </c>
      <c r="N168" s="78">
        <v>5655.26806640625</v>
      </c>
      <c r="O168" s="79"/>
      <c r="P168" s="80"/>
      <c r="Q168" s="80"/>
      <c r="R168" s="85"/>
      <c r="S168" s="49">
        <v>1</v>
      </c>
      <c r="T168" s="49">
        <v>1</v>
      </c>
      <c r="U168" s="50">
        <v>0</v>
      </c>
      <c r="V168" s="50">
        <v>0.00072</v>
      </c>
      <c r="W168" s="50">
        <v>5E-06</v>
      </c>
      <c r="X168" s="50">
        <v>0.736794</v>
      </c>
      <c r="Y168" s="50">
        <v>0.5</v>
      </c>
      <c r="Z168" s="50">
        <v>0</v>
      </c>
      <c r="AA168" s="75">
        <v>168</v>
      </c>
      <c r="AB168" s="75"/>
      <c r="AC168" s="76"/>
      <c r="AD168" s="82" t="s">
        <v>786</v>
      </c>
      <c r="AE168" s="99" t="str">
        <f>HYPERLINK("http://en.wikipedia.org/wiki/User:Jmiragha")</f>
        <v>http://en.wikipedia.org/wiki/User:Jmiragha</v>
      </c>
      <c r="AF168" s="82" t="s">
        <v>806</v>
      </c>
      <c r="AG168" s="82"/>
      <c r="AH168" s="82"/>
      <c r="AI168" s="82">
        <v>0.4727272</v>
      </c>
      <c r="AJ168" s="82">
        <v>33</v>
      </c>
      <c r="AK168" s="82"/>
      <c r="AL168" s="82" t="str">
        <f>REPLACE(INDEX(GroupVertices[Group],MATCH(Vertices[[#This Row],[Vertex]],GroupVertices[Vertex],0)),1,1,"")</f>
        <v>7</v>
      </c>
      <c r="AM168" s="49">
        <v>0</v>
      </c>
      <c r="AN168" s="50">
        <v>0</v>
      </c>
      <c r="AO168" s="49">
        <v>1</v>
      </c>
      <c r="AP168" s="50">
        <v>7.6923076923076925</v>
      </c>
      <c r="AQ168" s="49">
        <v>0</v>
      </c>
      <c r="AR168" s="50">
        <v>0</v>
      </c>
      <c r="AS168" s="49">
        <v>12</v>
      </c>
      <c r="AT168" s="50">
        <v>92.3076923076923</v>
      </c>
      <c r="AU168" s="49">
        <v>13</v>
      </c>
      <c r="AV168" s="111" t="s">
        <v>1515</v>
      </c>
      <c r="AW168" s="111" t="s">
        <v>1515</v>
      </c>
      <c r="AX168" s="111" t="s">
        <v>1649</v>
      </c>
      <c r="AY168" s="111" t="s">
        <v>1649</v>
      </c>
      <c r="AZ168" s="2"/>
      <c r="BA168" s="3"/>
      <c r="BB168" s="3"/>
      <c r="BC168" s="3"/>
      <c r="BD168" s="3"/>
    </row>
    <row r="169" spans="1:56" ht="15">
      <c r="A169" s="68" t="s">
        <v>479</v>
      </c>
      <c r="B169" s="69"/>
      <c r="C169" s="69"/>
      <c r="D169" s="70">
        <v>135.36926001170943</v>
      </c>
      <c r="E169" s="72"/>
      <c r="F169" s="69"/>
      <c r="G169" s="69"/>
      <c r="H169" s="73" t="s">
        <v>479</v>
      </c>
      <c r="I169" s="74"/>
      <c r="J169" s="74"/>
      <c r="K169" s="73" t="s">
        <v>479</v>
      </c>
      <c r="L169" s="77">
        <v>485.49637621060185</v>
      </c>
      <c r="M169" s="78">
        <v>3841.157958984375</v>
      </c>
      <c r="N169" s="78">
        <v>5597.330078125</v>
      </c>
      <c r="O169" s="79"/>
      <c r="P169" s="80"/>
      <c r="Q169" s="80"/>
      <c r="R169" s="85"/>
      <c r="S169" s="49">
        <v>1</v>
      </c>
      <c r="T169" s="49">
        <v>1</v>
      </c>
      <c r="U169" s="50">
        <v>1802.27381</v>
      </c>
      <c r="V169" s="50">
        <v>0.000643</v>
      </c>
      <c r="W169" s="50">
        <v>1E-06</v>
      </c>
      <c r="X169" s="50">
        <v>0.822153</v>
      </c>
      <c r="Y169" s="50">
        <v>0</v>
      </c>
      <c r="Z169" s="50">
        <v>0</v>
      </c>
      <c r="AA169" s="75">
        <v>169</v>
      </c>
      <c r="AB169" s="75"/>
      <c r="AC169" s="76"/>
      <c r="AD169" s="82" t="s">
        <v>786</v>
      </c>
      <c r="AE169" s="99" t="str">
        <f>HYPERLINK("http://en.wikipedia.org/wiki/User:Kyaw.tony")</f>
        <v>http://en.wikipedia.org/wiki/User:Kyaw.tony</v>
      </c>
      <c r="AF169" s="82" t="s">
        <v>806</v>
      </c>
      <c r="AG169" s="82"/>
      <c r="AH169" s="82"/>
      <c r="AI169" s="82">
        <v>0.1333333</v>
      </c>
      <c r="AJ169" s="82">
        <v>12</v>
      </c>
      <c r="AK169" s="82"/>
      <c r="AL169" s="82" t="str">
        <f>REPLACE(INDEX(GroupVertices[Group],MATCH(Vertices[[#This Row],[Vertex]],GroupVertices[Vertex],0)),1,1,"")</f>
        <v>3</v>
      </c>
      <c r="AM169" s="49">
        <v>0</v>
      </c>
      <c r="AN169" s="50">
        <v>0</v>
      </c>
      <c r="AO169" s="49">
        <v>0</v>
      </c>
      <c r="AP169" s="50">
        <v>0</v>
      </c>
      <c r="AQ169" s="49">
        <v>0</v>
      </c>
      <c r="AR169" s="50">
        <v>0</v>
      </c>
      <c r="AS169" s="49">
        <v>12</v>
      </c>
      <c r="AT169" s="50">
        <v>100</v>
      </c>
      <c r="AU169" s="49">
        <v>12</v>
      </c>
      <c r="AV169" s="111" t="s">
        <v>1517</v>
      </c>
      <c r="AW169" s="111" t="s">
        <v>1517</v>
      </c>
      <c r="AX169" s="111" t="s">
        <v>1651</v>
      </c>
      <c r="AY169" s="111" t="s">
        <v>1651</v>
      </c>
      <c r="AZ169" s="2"/>
      <c r="BA169" s="3"/>
      <c r="BB169" s="3"/>
      <c r="BC169" s="3"/>
      <c r="BD169" s="3"/>
    </row>
    <row r="170" spans="1:56" ht="15">
      <c r="A170" s="68" t="s">
        <v>480</v>
      </c>
      <c r="B170" s="69"/>
      <c r="C170" s="69"/>
      <c r="D170" s="70">
        <v>119.2169320455205</v>
      </c>
      <c r="E170" s="72"/>
      <c r="F170" s="69"/>
      <c r="G170" s="69"/>
      <c r="H170" s="73" t="s">
        <v>480</v>
      </c>
      <c r="I170" s="74"/>
      <c r="J170" s="74"/>
      <c r="K170" s="73" t="s">
        <v>480</v>
      </c>
      <c r="L170" s="77">
        <v>393.82702865024686</v>
      </c>
      <c r="M170" s="78">
        <v>5342.9423828125</v>
      </c>
      <c r="N170" s="78">
        <v>4772.9384765625</v>
      </c>
      <c r="O170" s="79"/>
      <c r="P170" s="80"/>
      <c r="Q170" s="80"/>
      <c r="R170" s="85"/>
      <c r="S170" s="49">
        <v>2</v>
      </c>
      <c r="T170" s="49">
        <v>2</v>
      </c>
      <c r="U170" s="50">
        <v>1461.27381</v>
      </c>
      <c r="V170" s="50">
        <v>0.000576</v>
      </c>
      <c r="W170" s="50">
        <v>0</v>
      </c>
      <c r="X170" s="50">
        <v>1.354082</v>
      </c>
      <c r="Y170" s="50">
        <v>0</v>
      </c>
      <c r="Z170" s="50">
        <v>0.3333333333333333</v>
      </c>
      <c r="AA170" s="75">
        <v>170</v>
      </c>
      <c r="AB170" s="75"/>
      <c r="AC170" s="76"/>
      <c r="AD170" s="82" t="s">
        <v>786</v>
      </c>
      <c r="AE170" s="82" t="s">
        <v>802</v>
      </c>
      <c r="AF170" s="82" t="s">
        <v>806</v>
      </c>
      <c r="AG170" s="82"/>
      <c r="AH170" s="82"/>
      <c r="AI170" s="82">
        <v>0.738125</v>
      </c>
      <c r="AJ170" s="82">
        <v>500</v>
      </c>
      <c r="AK170" s="82"/>
      <c r="AL170" s="82" t="str">
        <f>REPLACE(INDEX(GroupVertices[Group],MATCH(Vertices[[#This Row],[Vertex]],GroupVertices[Vertex],0)),1,1,"")</f>
        <v>3</v>
      </c>
      <c r="AM170" s="49">
        <v>0</v>
      </c>
      <c r="AN170" s="50">
        <v>0</v>
      </c>
      <c r="AO170" s="49">
        <v>0</v>
      </c>
      <c r="AP170" s="50">
        <v>0</v>
      </c>
      <c r="AQ170" s="49">
        <v>0</v>
      </c>
      <c r="AR170" s="50">
        <v>0</v>
      </c>
      <c r="AS170" s="49">
        <v>11</v>
      </c>
      <c r="AT170" s="50">
        <v>100</v>
      </c>
      <c r="AU170" s="49">
        <v>11</v>
      </c>
      <c r="AV170" s="111" t="s">
        <v>1518</v>
      </c>
      <c r="AW170" s="111" t="s">
        <v>1518</v>
      </c>
      <c r="AX170" s="111" t="s">
        <v>1652</v>
      </c>
      <c r="AY170" s="111" t="s">
        <v>1652</v>
      </c>
      <c r="AZ170" s="2"/>
      <c r="BA170" s="3"/>
      <c r="BB170" s="3"/>
      <c r="BC170" s="3"/>
      <c r="BD170" s="3"/>
    </row>
    <row r="171" spans="1:56" ht="15">
      <c r="A171" s="68" t="s">
        <v>481</v>
      </c>
      <c r="B171" s="69"/>
      <c r="C171" s="69"/>
      <c r="D171" s="70">
        <v>50</v>
      </c>
      <c r="E171" s="72"/>
      <c r="F171" s="69"/>
      <c r="G171" s="69"/>
      <c r="H171" s="73" t="s">
        <v>481</v>
      </c>
      <c r="I171" s="74"/>
      <c r="J171" s="74"/>
      <c r="K171" s="73" t="s">
        <v>481</v>
      </c>
      <c r="L171" s="77">
        <v>1</v>
      </c>
      <c r="M171" s="78">
        <v>5129.6416015625</v>
      </c>
      <c r="N171" s="78">
        <v>6151.5830078125</v>
      </c>
      <c r="O171" s="79"/>
      <c r="P171" s="80"/>
      <c r="Q171" s="80"/>
      <c r="R171" s="85"/>
      <c r="S171" s="49">
        <v>1</v>
      </c>
      <c r="T171" s="49">
        <v>1</v>
      </c>
      <c r="U171" s="50">
        <v>0</v>
      </c>
      <c r="V171" s="50">
        <v>0.000516</v>
      </c>
      <c r="W171" s="50">
        <v>0</v>
      </c>
      <c r="X171" s="50">
        <v>0.533656</v>
      </c>
      <c r="Y171" s="50">
        <v>0</v>
      </c>
      <c r="Z171" s="50">
        <v>1</v>
      </c>
      <c r="AA171" s="75">
        <v>171</v>
      </c>
      <c r="AB171" s="75"/>
      <c r="AC171" s="76"/>
      <c r="AD171" s="82" t="s">
        <v>786</v>
      </c>
      <c r="AE171" s="99" t="str">
        <f>HYPERLINK("http://en.wikipedia.org/wiki/User:Jarble")</f>
        <v>http://en.wikipedia.org/wiki/User:Jarble</v>
      </c>
      <c r="AF171" s="82" t="s">
        <v>806</v>
      </c>
      <c r="AG171" s="82"/>
      <c r="AH171" s="82"/>
      <c r="AI171" s="82">
        <v>0.0887965</v>
      </c>
      <c r="AJ171" s="82">
        <v>500</v>
      </c>
      <c r="AK171" s="82"/>
      <c r="AL171" s="82" t="str">
        <f>REPLACE(INDEX(GroupVertices[Group],MATCH(Vertices[[#This Row],[Vertex]],GroupVertices[Vertex],0)),1,1,"")</f>
        <v>3</v>
      </c>
      <c r="AM171" s="49">
        <v>0</v>
      </c>
      <c r="AN171" s="50">
        <v>0</v>
      </c>
      <c r="AO171" s="49">
        <v>0</v>
      </c>
      <c r="AP171" s="50">
        <v>0</v>
      </c>
      <c r="AQ171" s="49">
        <v>0</v>
      </c>
      <c r="AR171" s="50">
        <v>0</v>
      </c>
      <c r="AS171" s="49">
        <v>7</v>
      </c>
      <c r="AT171" s="50">
        <v>100</v>
      </c>
      <c r="AU171" s="49">
        <v>7</v>
      </c>
      <c r="AV171" s="111" t="s">
        <v>1518</v>
      </c>
      <c r="AW171" s="111" t="s">
        <v>1518</v>
      </c>
      <c r="AX171" s="111" t="s">
        <v>1652</v>
      </c>
      <c r="AY171" s="111" t="s">
        <v>1652</v>
      </c>
      <c r="AZ171" s="2"/>
      <c r="BA171" s="3"/>
      <c r="BB171" s="3"/>
      <c r="BC171" s="3"/>
      <c r="BD171" s="3"/>
    </row>
    <row r="172" spans="1:56" ht="15">
      <c r="A172" s="68" t="s">
        <v>482</v>
      </c>
      <c r="B172" s="69"/>
      <c r="C172" s="69"/>
      <c r="D172" s="70">
        <v>83.95970000172323</v>
      </c>
      <c r="E172" s="72"/>
      <c r="F172" s="69"/>
      <c r="G172" s="69"/>
      <c r="H172" s="73" t="s">
        <v>482</v>
      </c>
      <c r="I172" s="74"/>
      <c r="J172" s="74"/>
      <c r="K172" s="73" t="s">
        <v>482</v>
      </c>
      <c r="L172" s="77">
        <v>193.73157089305093</v>
      </c>
      <c r="M172" s="78">
        <v>4421.08203125</v>
      </c>
      <c r="N172" s="78">
        <v>6487.791015625</v>
      </c>
      <c r="O172" s="79"/>
      <c r="P172" s="80"/>
      <c r="Q172" s="80"/>
      <c r="R172" s="85"/>
      <c r="S172" s="49">
        <v>1</v>
      </c>
      <c r="T172" s="49">
        <v>1</v>
      </c>
      <c r="U172" s="50">
        <v>716.940476</v>
      </c>
      <c r="V172" s="50">
        <v>0.000522</v>
      </c>
      <c r="W172" s="50">
        <v>0</v>
      </c>
      <c r="X172" s="50">
        <v>0.943668</v>
      </c>
      <c r="Y172" s="50">
        <v>0</v>
      </c>
      <c r="Z172" s="50">
        <v>0</v>
      </c>
      <c r="AA172" s="75">
        <v>172</v>
      </c>
      <c r="AB172" s="75"/>
      <c r="AC172" s="76"/>
      <c r="AD172" s="82" t="s">
        <v>786</v>
      </c>
      <c r="AE172" s="99" t="str">
        <f>HYPERLINK("http://en.wikipedia.org/wiki/User:Tomeijam")</f>
        <v>http://en.wikipedia.org/wiki/User:Tomeijam</v>
      </c>
      <c r="AF172" s="82" t="s">
        <v>806</v>
      </c>
      <c r="AG172" s="82"/>
      <c r="AH172" s="82"/>
      <c r="AI172" s="82">
        <v>0.620875</v>
      </c>
      <c r="AJ172" s="82">
        <v>500</v>
      </c>
      <c r="AK172" s="82"/>
      <c r="AL172" s="82" t="str">
        <f>REPLACE(INDEX(GroupVertices[Group],MATCH(Vertices[[#This Row],[Vertex]],GroupVertices[Vertex],0)),1,1,"")</f>
        <v>3</v>
      </c>
      <c r="AM172" s="49">
        <v>0</v>
      </c>
      <c r="AN172" s="50">
        <v>0</v>
      </c>
      <c r="AO172" s="49">
        <v>0</v>
      </c>
      <c r="AP172" s="50">
        <v>0</v>
      </c>
      <c r="AQ172" s="49">
        <v>0</v>
      </c>
      <c r="AR172" s="50">
        <v>0</v>
      </c>
      <c r="AS172" s="49">
        <v>11</v>
      </c>
      <c r="AT172" s="50">
        <v>100</v>
      </c>
      <c r="AU172" s="49">
        <v>11</v>
      </c>
      <c r="AV172" s="111" t="s">
        <v>1519</v>
      </c>
      <c r="AW172" s="111" t="s">
        <v>1519</v>
      </c>
      <c r="AX172" s="111" t="s">
        <v>1653</v>
      </c>
      <c r="AY172" s="111" t="s">
        <v>1653</v>
      </c>
      <c r="AZ172" s="2"/>
      <c r="BA172" s="3"/>
      <c r="BB172" s="3"/>
      <c r="BC172" s="3"/>
      <c r="BD172" s="3"/>
    </row>
    <row r="173" spans="1:56" ht="15">
      <c r="A173" s="68" t="s">
        <v>483</v>
      </c>
      <c r="B173" s="69"/>
      <c r="C173" s="69"/>
      <c r="D173" s="70">
        <v>67.08106991403636</v>
      </c>
      <c r="E173" s="72"/>
      <c r="F173" s="69"/>
      <c r="G173" s="69"/>
      <c r="H173" s="73" t="s">
        <v>483</v>
      </c>
      <c r="I173" s="74"/>
      <c r="J173" s="74"/>
      <c r="K173" s="73" t="s">
        <v>483</v>
      </c>
      <c r="L173" s="77">
        <v>97.94023907452681</v>
      </c>
      <c r="M173" s="78">
        <v>4425.10400390625</v>
      </c>
      <c r="N173" s="78">
        <v>3644.420166015625</v>
      </c>
      <c r="O173" s="79"/>
      <c r="P173" s="80"/>
      <c r="Q173" s="80"/>
      <c r="R173" s="85"/>
      <c r="S173" s="49">
        <v>1</v>
      </c>
      <c r="T173" s="49">
        <v>1</v>
      </c>
      <c r="U173" s="50">
        <v>360.607143</v>
      </c>
      <c r="V173" s="50">
        <v>0.000477</v>
      </c>
      <c r="W173" s="50">
        <v>0</v>
      </c>
      <c r="X173" s="50">
        <v>0.964734</v>
      </c>
      <c r="Y173" s="50">
        <v>0</v>
      </c>
      <c r="Z173" s="50">
        <v>0</v>
      </c>
      <c r="AA173" s="75">
        <v>173</v>
      </c>
      <c r="AB173" s="75"/>
      <c r="AC173" s="76"/>
      <c r="AD173" s="82" t="s">
        <v>786</v>
      </c>
      <c r="AE173" s="99" t="str">
        <f>HYPERLINK("http://en.wikipedia.org/wiki/User:Shenshi0603")</f>
        <v>http://en.wikipedia.org/wiki/User:Shenshi0603</v>
      </c>
      <c r="AF173" s="82" t="s">
        <v>806</v>
      </c>
      <c r="AG173" s="82"/>
      <c r="AH173" s="82"/>
      <c r="AI173" s="82">
        <v>0.4810457</v>
      </c>
      <c r="AJ173" s="82">
        <v>45</v>
      </c>
      <c r="AK173" s="82"/>
      <c r="AL173" s="82" t="str">
        <f>REPLACE(INDEX(GroupVertices[Group],MATCH(Vertices[[#This Row],[Vertex]],GroupVertices[Vertex],0)),1,1,"")</f>
        <v>3</v>
      </c>
      <c r="AM173" s="49">
        <v>0</v>
      </c>
      <c r="AN173" s="50">
        <v>0</v>
      </c>
      <c r="AO173" s="49">
        <v>0</v>
      </c>
      <c r="AP173" s="50">
        <v>0</v>
      </c>
      <c r="AQ173" s="49">
        <v>0</v>
      </c>
      <c r="AR173" s="50">
        <v>0</v>
      </c>
      <c r="AS173" s="49">
        <v>17</v>
      </c>
      <c r="AT173" s="50">
        <v>100</v>
      </c>
      <c r="AU173" s="49">
        <v>17</v>
      </c>
      <c r="AV173" s="111" t="s">
        <v>1520</v>
      </c>
      <c r="AW173" s="111" t="s">
        <v>1520</v>
      </c>
      <c r="AX173" s="111" t="s">
        <v>1654</v>
      </c>
      <c r="AY173" s="111" t="s">
        <v>1654</v>
      </c>
      <c r="AZ173" s="2"/>
      <c r="BA173" s="3"/>
      <c r="BB173" s="3"/>
      <c r="BC173" s="3"/>
      <c r="BD173" s="3"/>
    </row>
    <row r="174" spans="1:56" ht="15">
      <c r="A174" s="68" t="s">
        <v>484</v>
      </c>
      <c r="B174" s="69"/>
      <c r="C174" s="69"/>
      <c r="D174" s="70">
        <v>58.51036636356615</v>
      </c>
      <c r="E174" s="72"/>
      <c r="F174" s="69"/>
      <c r="G174" s="69"/>
      <c r="H174" s="73" t="s">
        <v>484</v>
      </c>
      <c r="I174" s="74"/>
      <c r="J174" s="74"/>
      <c r="K174" s="73" t="s">
        <v>484</v>
      </c>
      <c r="L174" s="77">
        <v>49.29890364291368</v>
      </c>
      <c r="M174" s="78">
        <v>4972.15966796875</v>
      </c>
      <c r="N174" s="78">
        <v>3448.869873046875</v>
      </c>
      <c r="O174" s="79"/>
      <c r="P174" s="80"/>
      <c r="Q174" s="80"/>
      <c r="R174" s="85"/>
      <c r="S174" s="49">
        <v>1</v>
      </c>
      <c r="T174" s="49">
        <v>1</v>
      </c>
      <c r="U174" s="50">
        <v>179.666667</v>
      </c>
      <c r="V174" s="50">
        <v>0.000441</v>
      </c>
      <c r="W174" s="50">
        <v>0</v>
      </c>
      <c r="X174" s="50">
        <v>0.973354</v>
      </c>
      <c r="Y174" s="50">
        <v>0</v>
      </c>
      <c r="Z174" s="50">
        <v>0</v>
      </c>
      <c r="AA174" s="75">
        <v>174</v>
      </c>
      <c r="AB174" s="75"/>
      <c r="AC174" s="76"/>
      <c r="AD174" s="82" t="s">
        <v>786</v>
      </c>
      <c r="AE174" s="99" t="str">
        <f>HYPERLINK("http://en.wikipedia.org/wiki/User:Ishumemon")</f>
        <v>http://en.wikipedia.org/wiki/User:Ishumemon</v>
      </c>
      <c r="AF174" s="82" t="s">
        <v>806</v>
      </c>
      <c r="AG174" s="82"/>
      <c r="AH174" s="82"/>
      <c r="AI174" s="82">
        <v>0.1071428</v>
      </c>
      <c r="AJ174" s="82">
        <v>8</v>
      </c>
      <c r="AK174" s="82"/>
      <c r="AL174" s="82" t="str">
        <f>REPLACE(INDEX(GroupVertices[Group],MATCH(Vertices[[#This Row],[Vertex]],GroupVertices[Vertex],0)),1,1,"")</f>
        <v>3</v>
      </c>
      <c r="AM174" s="49">
        <v>0</v>
      </c>
      <c r="AN174" s="50">
        <v>0</v>
      </c>
      <c r="AO174" s="49">
        <v>0</v>
      </c>
      <c r="AP174" s="50">
        <v>0</v>
      </c>
      <c r="AQ174" s="49">
        <v>0</v>
      </c>
      <c r="AR174" s="50">
        <v>0</v>
      </c>
      <c r="AS174" s="49">
        <v>5</v>
      </c>
      <c r="AT174" s="50">
        <v>100</v>
      </c>
      <c r="AU174" s="49">
        <v>5</v>
      </c>
      <c r="AV174" s="111" t="s">
        <v>1521</v>
      </c>
      <c r="AW174" s="111" t="s">
        <v>1521</v>
      </c>
      <c r="AX174" s="111" t="s">
        <v>1655</v>
      </c>
      <c r="AY174" s="111" t="s">
        <v>1655</v>
      </c>
      <c r="AZ174" s="2"/>
      <c r="BA174" s="3"/>
      <c r="BB174" s="3"/>
      <c r="BC174" s="3"/>
      <c r="BD174" s="3"/>
    </row>
    <row r="175" spans="1:56" ht="15">
      <c r="A175" s="68" t="s">
        <v>485</v>
      </c>
      <c r="B175" s="69"/>
      <c r="C175" s="69"/>
      <c r="D175" s="70">
        <v>65.90252060914682</v>
      </c>
      <c r="E175" s="72"/>
      <c r="F175" s="69"/>
      <c r="G175" s="69"/>
      <c r="H175" s="73" t="s">
        <v>485</v>
      </c>
      <c r="I175" s="74"/>
      <c r="J175" s="74"/>
      <c r="K175" s="73" t="s">
        <v>485</v>
      </c>
      <c r="L175" s="77">
        <v>91.25161523819291</v>
      </c>
      <c r="M175" s="78">
        <v>5242.37158203125</v>
      </c>
      <c r="N175" s="78">
        <v>5140.93701171875</v>
      </c>
      <c r="O175" s="79"/>
      <c r="P175" s="80"/>
      <c r="Q175" s="80"/>
      <c r="R175" s="85"/>
      <c r="S175" s="49">
        <v>1</v>
      </c>
      <c r="T175" s="49">
        <v>1</v>
      </c>
      <c r="U175" s="50">
        <v>335.72619</v>
      </c>
      <c r="V175" s="50">
        <v>0.000474</v>
      </c>
      <c r="W175" s="50">
        <v>0</v>
      </c>
      <c r="X175" s="50">
        <v>0.97257</v>
      </c>
      <c r="Y175" s="50">
        <v>0</v>
      </c>
      <c r="Z175" s="50">
        <v>0</v>
      </c>
      <c r="AA175" s="75">
        <v>175</v>
      </c>
      <c r="AB175" s="75"/>
      <c r="AC175" s="76"/>
      <c r="AD175" s="82" t="s">
        <v>786</v>
      </c>
      <c r="AE175" s="99" t="str">
        <f>HYPERLINK("http://en.wikipedia.org/wiki/User:2601:188:180:1481:65F5:930C:B0B2:CD63")</f>
        <v>http://en.wikipedia.org/wiki/User:2601:188:180:1481:65F5:930C:B0B2:CD63</v>
      </c>
      <c r="AF175" s="82" t="s">
        <v>806</v>
      </c>
      <c r="AG175" s="82"/>
      <c r="AH175" s="82"/>
      <c r="AI175" s="82">
        <v>0.381628</v>
      </c>
      <c r="AJ175" s="82">
        <v>500</v>
      </c>
      <c r="AK175" s="82"/>
      <c r="AL175" s="82" t="str">
        <f>REPLACE(INDEX(GroupVertices[Group],MATCH(Vertices[[#This Row],[Vertex]],GroupVertices[Vertex],0)),1,1,"")</f>
        <v>3</v>
      </c>
      <c r="AM175" s="49">
        <v>0</v>
      </c>
      <c r="AN175" s="50">
        <v>0</v>
      </c>
      <c r="AO175" s="49">
        <v>1</v>
      </c>
      <c r="AP175" s="50">
        <v>8.333333333333334</v>
      </c>
      <c r="AQ175" s="49">
        <v>0</v>
      </c>
      <c r="AR175" s="50">
        <v>0</v>
      </c>
      <c r="AS175" s="49">
        <v>11</v>
      </c>
      <c r="AT175" s="50">
        <v>91.66666666666667</v>
      </c>
      <c r="AU175" s="49">
        <v>12</v>
      </c>
      <c r="AV175" s="111" t="s">
        <v>1522</v>
      </c>
      <c r="AW175" s="111" t="s">
        <v>1522</v>
      </c>
      <c r="AX175" s="111" t="s">
        <v>1656</v>
      </c>
      <c r="AY175" s="111" t="s">
        <v>1656</v>
      </c>
      <c r="AZ175" s="2"/>
      <c r="BA175" s="3"/>
      <c r="BB175" s="3"/>
      <c r="BC175" s="3"/>
      <c r="BD175" s="3"/>
    </row>
    <row r="176" spans="1:56" ht="15">
      <c r="A176" s="68" t="s">
        <v>486</v>
      </c>
      <c r="B176" s="69"/>
      <c r="C176" s="69"/>
      <c r="D176" s="70">
        <v>81.06013043079042</v>
      </c>
      <c r="E176" s="72"/>
      <c r="F176" s="69"/>
      <c r="G176" s="69"/>
      <c r="H176" s="73" t="s">
        <v>486</v>
      </c>
      <c r="I176" s="74"/>
      <c r="J176" s="74"/>
      <c r="K176" s="73" t="s">
        <v>486</v>
      </c>
      <c r="L176" s="77">
        <v>177.27563640920056</v>
      </c>
      <c r="M176" s="78">
        <v>4611.8916015625</v>
      </c>
      <c r="N176" s="78">
        <v>6299.46533203125</v>
      </c>
      <c r="O176" s="79"/>
      <c r="P176" s="80"/>
      <c r="Q176" s="80"/>
      <c r="R176" s="85"/>
      <c r="S176" s="49">
        <v>1</v>
      </c>
      <c r="T176" s="49">
        <v>1</v>
      </c>
      <c r="U176" s="50">
        <v>655.72619</v>
      </c>
      <c r="V176" s="50">
        <v>0.000513</v>
      </c>
      <c r="W176" s="50">
        <v>0</v>
      </c>
      <c r="X176" s="50">
        <v>0.962106</v>
      </c>
      <c r="Y176" s="50">
        <v>0</v>
      </c>
      <c r="Z176" s="50">
        <v>0</v>
      </c>
      <c r="AA176" s="75">
        <v>176</v>
      </c>
      <c r="AB176" s="75"/>
      <c r="AC176" s="76"/>
      <c r="AD176" s="82" t="s">
        <v>786</v>
      </c>
      <c r="AE176" s="99" t="str">
        <f>HYPERLINK("http://en.wikipedia.org/wiki/User:Alexisgoldye")</f>
        <v>http://en.wikipedia.org/wiki/User:Alexisgoldye</v>
      </c>
      <c r="AF176" s="82" t="s">
        <v>806</v>
      </c>
      <c r="AG176" s="82"/>
      <c r="AH176" s="82"/>
      <c r="AI176" s="82">
        <v>0.1666667</v>
      </c>
      <c r="AJ176" s="82">
        <v>9</v>
      </c>
      <c r="AK176" s="82"/>
      <c r="AL176" s="82" t="str">
        <f>REPLACE(INDEX(GroupVertices[Group],MATCH(Vertices[[#This Row],[Vertex]],GroupVertices[Vertex],0)),1,1,"")</f>
        <v>3</v>
      </c>
      <c r="AM176" s="49">
        <v>0</v>
      </c>
      <c r="AN176" s="50">
        <v>0</v>
      </c>
      <c r="AO176" s="49">
        <v>0</v>
      </c>
      <c r="AP176" s="50">
        <v>0</v>
      </c>
      <c r="AQ176" s="49">
        <v>0</v>
      </c>
      <c r="AR176" s="50">
        <v>0</v>
      </c>
      <c r="AS176" s="49">
        <v>13</v>
      </c>
      <c r="AT176" s="50">
        <v>100</v>
      </c>
      <c r="AU176" s="49">
        <v>13</v>
      </c>
      <c r="AV176" s="111" t="s">
        <v>1523</v>
      </c>
      <c r="AW176" s="111" t="s">
        <v>1523</v>
      </c>
      <c r="AX176" s="111" t="s">
        <v>1657</v>
      </c>
      <c r="AY176" s="111" t="s">
        <v>1657</v>
      </c>
      <c r="AZ176" s="2"/>
      <c r="BA176" s="3"/>
      <c r="BB176" s="3"/>
      <c r="BC176" s="3"/>
      <c r="BD176" s="3"/>
    </row>
    <row r="177" spans="1:56" ht="15">
      <c r="A177" s="68" t="s">
        <v>487</v>
      </c>
      <c r="B177" s="69"/>
      <c r="C177" s="69"/>
      <c r="D177" s="70">
        <v>96.35984284451192</v>
      </c>
      <c r="E177" s="72"/>
      <c r="F177" s="69"/>
      <c r="G177" s="69"/>
      <c r="H177" s="73" t="s">
        <v>487</v>
      </c>
      <c r="I177" s="74"/>
      <c r="J177" s="74"/>
      <c r="K177" s="73" t="s">
        <v>487</v>
      </c>
      <c r="L177" s="77">
        <v>264.10613277868634</v>
      </c>
      <c r="M177" s="78">
        <v>3374.895263671875</v>
      </c>
      <c r="N177" s="78">
        <v>5854.5830078125</v>
      </c>
      <c r="O177" s="79"/>
      <c r="P177" s="80"/>
      <c r="Q177" s="80"/>
      <c r="R177" s="85"/>
      <c r="S177" s="49">
        <v>1</v>
      </c>
      <c r="T177" s="49">
        <v>1</v>
      </c>
      <c r="U177" s="50">
        <v>978.72619</v>
      </c>
      <c r="V177" s="50">
        <v>0.000559</v>
      </c>
      <c r="W177" s="50">
        <v>0</v>
      </c>
      <c r="X177" s="50">
        <v>0.938268</v>
      </c>
      <c r="Y177" s="50">
        <v>0</v>
      </c>
      <c r="Z177" s="50">
        <v>0</v>
      </c>
      <c r="AA177" s="75">
        <v>177</v>
      </c>
      <c r="AB177" s="75"/>
      <c r="AC177" s="76"/>
      <c r="AD177" s="82" t="s">
        <v>786</v>
      </c>
      <c r="AE177" s="99" t="str">
        <f>HYPERLINK("http://en.wikipedia.org/wiki/User:KateKeWu")</f>
        <v>http://en.wikipedia.org/wiki/User:KateKeWu</v>
      </c>
      <c r="AF177" s="82" t="s">
        <v>806</v>
      </c>
      <c r="AG177" s="82"/>
      <c r="AH177" s="82"/>
      <c r="AI177" s="82">
        <v>0.4962963</v>
      </c>
      <c r="AJ177" s="82">
        <v>54</v>
      </c>
      <c r="AK177" s="82"/>
      <c r="AL177" s="82" t="str">
        <f>REPLACE(INDEX(GroupVertices[Group],MATCH(Vertices[[#This Row],[Vertex]],GroupVertices[Vertex],0)),1,1,"")</f>
        <v>3</v>
      </c>
      <c r="AM177" s="49">
        <v>0</v>
      </c>
      <c r="AN177" s="50">
        <v>0</v>
      </c>
      <c r="AO177" s="49">
        <v>0</v>
      </c>
      <c r="AP177" s="50">
        <v>0</v>
      </c>
      <c r="AQ177" s="49">
        <v>0</v>
      </c>
      <c r="AR177" s="50">
        <v>0</v>
      </c>
      <c r="AS177" s="49">
        <v>17</v>
      </c>
      <c r="AT177" s="50">
        <v>100</v>
      </c>
      <c r="AU177" s="49">
        <v>17</v>
      </c>
      <c r="AV177" s="111" t="s">
        <v>1524</v>
      </c>
      <c r="AW177" s="111" t="s">
        <v>1524</v>
      </c>
      <c r="AX177" s="111" t="s">
        <v>1658</v>
      </c>
      <c r="AY177" s="111" t="s">
        <v>1658</v>
      </c>
      <c r="AZ177" s="2"/>
      <c r="BA177" s="3"/>
      <c r="BB177" s="3"/>
      <c r="BC177" s="3"/>
      <c r="BD177" s="3"/>
    </row>
    <row r="178" spans="1:56" ht="15">
      <c r="A178" s="68" t="s">
        <v>488</v>
      </c>
      <c r="B178" s="69"/>
      <c r="C178" s="69"/>
      <c r="D178" s="70">
        <v>112.37006821862298</v>
      </c>
      <c r="E178" s="72"/>
      <c r="F178" s="69"/>
      <c r="G178" s="69"/>
      <c r="H178" s="73" t="s">
        <v>488</v>
      </c>
      <c r="I178" s="74"/>
      <c r="J178" s="74"/>
      <c r="K178" s="73" t="s">
        <v>488</v>
      </c>
      <c r="L178" s="77">
        <v>354.96900514056324</v>
      </c>
      <c r="M178" s="78">
        <v>5424.0849609375</v>
      </c>
      <c r="N178" s="78">
        <v>5803.5693359375</v>
      </c>
      <c r="O178" s="79"/>
      <c r="P178" s="80"/>
      <c r="Q178" s="80"/>
      <c r="R178" s="85"/>
      <c r="S178" s="49">
        <v>1</v>
      </c>
      <c r="T178" s="49">
        <v>1</v>
      </c>
      <c r="U178" s="50">
        <v>1316.72619</v>
      </c>
      <c r="V178" s="50">
        <v>0.000617</v>
      </c>
      <c r="W178" s="50">
        <v>1E-06</v>
      </c>
      <c r="X178" s="50">
        <v>0.892644</v>
      </c>
      <c r="Y178" s="50">
        <v>0</v>
      </c>
      <c r="Z178" s="50">
        <v>0</v>
      </c>
      <c r="AA178" s="75">
        <v>178</v>
      </c>
      <c r="AB178" s="75"/>
      <c r="AC178" s="76"/>
      <c r="AD178" s="82" t="s">
        <v>786</v>
      </c>
      <c r="AE178" s="99" t="str">
        <f>HYPERLINK("http://en.wikipedia.org/wiki/User:FULBERT")</f>
        <v>http://en.wikipedia.org/wiki/User:FULBERT</v>
      </c>
      <c r="AF178" s="82" t="s">
        <v>806</v>
      </c>
      <c r="AG178" s="82"/>
      <c r="AH178" s="82"/>
      <c r="AI178" s="82">
        <v>0.5663333</v>
      </c>
      <c r="AJ178" s="82">
        <v>500</v>
      </c>
      <c r="AK178" s="82"/>
      <c r="AL178" s="82" t="str">
        <f>REPLACE(INDEX(GroupVertices[Group],MATCH(Vertices[[#This Row],[Vertex]],GroupVertices[Vertex],0)),1,1,"")</f>
        <v>3</v>
      </c>
      <c r="AM178" s="49">
        <v>0</v>
      </c>
      <c r="AN178" s="50">
        <v>0</v>
      </c>
      <c r="AO178" s="49">
        <v>0</v>
      </c>
      <c r="AP178" s="50">
        <v>0</v>
      </c>
      <c r="AQ178" s="49">
        <v>0</v>
      </c>
      <c r="AR178" s="50">
        <v>0</v>
      </c>
      <c r="AS178" s="49">
        <v>17</v>
      </c>
      <c r="AT178" s="50">
        <v>100</v>
      </c>
      <c r="AU178" s="49">
        <v>17</v>
      </c>
      <c r="AV178" s="111" t="s">
        <v>1524</v>
      </c>
      <c r="AW178" s="111" t="s">
        <v>1524</v>
      </c>
      <c r="AX178" s="111" t="s">
        <v>1658</v>
      </c>
      <c r="AY178" s="111" t="s">
        <v>1658</v>
      </c>
      <c r="AZ178" s="2"/>
      <c r="BA178" s="3"/>
      <c r="BB178" s="3"/>
      <c r="BC178" s="3"/>
      <c r="BD178" s="3"/>
    </row>
    <row r="179" spans="1:56" ht="15">
      <c r="A179" s="68" t="s">
        <v>489</v>
      </c>
      <c r="B179" s="69"/>
      <c r="C179" s="69"/>
      <c r="D179" s="70">
        <v>129.28027667589413</v>
      </c>
      <c r="E179" s="72"/>
      <c r="F179" s="69"/>
      <c r="G179" s="69"/>
      <c r="H179" s="73" t="s">
        <v>489</v>
      </c>
      <c r="I179" s="74"/>
      <c r="J179" s="74"/>
      <c r="K179" s="73" t="s">
        <v>489</v>
      </c>
      <c r="L179" s="77">
        <v>450.93955375946865</v>
      </c>
      <c r="M179" s="78">
        <v>4990.78076171875</v>
      </c>
      <c r="N179" s="78">
        <v>4048.844970703125</v>
      </c>
      <c r="O179" s="79"/>
      <c r="P179" s="80"/>
      <c r="Q179" s="80"/>
      <c r="R179" s="85"/>
      <c r="S179" s="49">
        <v>2</v>
      </c>
      <c r="T179" s="49">
        <v>2</v>
      </c>
      <c r="U179" s="50">
        <v>1673.72619</v>
      </c>
      <c r="V179" s="50">
        <v>0.000694</v>
      </c>
      <c r="W179" s="50">
        <v>5E-06</v>
      </c>
      <c r="X179" s="50">
        <v>1.213694</v>
      </c>
      <c r="Y179" s="50">
        <v>0</v>
      </c>
      <c r="Z179" s="50">
        <v>0</v>
      </c>
      <c r="AA179" s="75">
        <v>179</v>
      </c>
      <c r="AB179" s="75"/>
      <c r="AC179" s="76"/>
      <c r="AD179" s="82" t="s">
        <v>786</v>
      </c>
      <c r="AE179" s="82" t="s">
        <v>803</v>
      </c>
      <c r="AF179" s="82" t="s">
        <v>806</v>
      </c>
      <c r="AG179" s="82"/>
      <c r="AH179" s="82"/>
      <c r="AI179" s="82">
        <v>0.4829932</v>
      </c>
      <c r="AJ179" s="82">
        <v>42</v>
      </c>
      <c r="AK179" s="82"/>
      <c r="AL179" s="82" t="str">
        <f>REPLACE(INDEX(GroupVertices[Group],MATCH(Vertices[[#This Row],[Vertex]],GroupVertices[Vertex],0)),1,1,"")</f>
        <v>3</v>
      </c>
      <c r="AM179" s="49">
        <v>0</v>
      </c>
      <c r="AN179" s="50">
        <v>0</v>
      </c>
      <c r="AO179" s="49">
        <v>0</v>
      </c>
      <c r="AP179" s="50">
        <v>0</v>
      </c>
      <c r="AQ179" s="49">
        <v>0</v>
      </c>
      <c r="AR179" s="50">
        <v>0</v>
      </c>
      <c r="AS179" s="49">
        <v>28</v>
      </c>
      <c r="AT179" s="50">
        <v>100</v>
      </c>
      <c r="AU179" s="49">
        <v>28</v>
      </c>
      <c r="AV179" s="111" t="s">
        <v>1525</v>
      </c>
      <c r="AW179" s="111" t="s">
        <v>1525</v>
      </c>
      <c r="AX179" s="111" t="s">
        <v>1659</v>
      </c>
      <c r="AY179" s="111" t="s">
        <v>1659</v>
      </c>
      <c r="AZ179" s="2"/>
      <c r="BA179" s="3"/>
      <c r="BB179" s="3"/>
      <c r="BC179" s="3"/>
      <c r="BD179" s="3"/>
    </row>
    <row r="180" spans="1:56" ht="15">
      <c r="A180" s="68" t="s">
        <v>490</v>
      </c>
      <c r="B180" s="69"/>
      <c r="C180" s="69"/>
      <c r="D180" s="70">
        <v>146.5220578480137</v>
      </c>
      <c r="E180" s="72"/>
      <c r="F180" s="69"/>
      <c r="G180" s="69"/>
      <c r="H180" s="73" t="s">
        <v>490</v>
      </c>
      <c r="I180" s="74"/>
      <c r="J180" s="74"/>
      <c r="K180" s="73" t="s">
        <v>490</v>
      </c>
      <c r="L180" s="77">
        <v>548.7918778414898</v>
      </c>
      <c r="M180" s="78">
        <v>3023.145751953125</v>
      </c>
      <c r="N180" s="78">
        <v>4307.61474609375</v>
      </c>
      <c r="O180" s="79"/>
      <c r="P180" s="80"/>
      <c r="Q180" s="80"/>
      <c r="R180" s="85"/>
      <c r="S180" s="49">
        <v>1</v>
      </c>
      <c r="T180" s="49">
        <v>1</v>
      </c>
      <c r="U180" s="50">
        <v>2037.72619</v>
      </c>
      <c r="V180" s="50">
        <v>0.000794</v>
      </c>
      <c r="W180" s="50">
        <v>3.5E-05</v>
      </c>
      <c r="X180" s="50">
        <v>0.801038</v>
      </c>
      <c r="Y180" s="50">
        <v>0</v>
      </c>
      <c r="Z180" s="50">
        <v>0</v>
      </c>
      <c r="AA180" s="75">
        <v>180</v>
      </c>
      <c r="AB180" s="75"/>
      <c r="AC180" s="76"/>
      <c r="AD180" s="82" t="s">
        <v>786</v>
      </c>
      <c r="AE180" s="82" t="s">
        <v>804</v>
      </c>
      <c r="AF180" s="82" t="s">
        <v>806</v>
      </c>
      <c r="AG180" s="82"/>
      <c r="AH180" s="82"/>
      <c r="AI180" s="82">
        <v>0.2923871</v>
      </c>
      <c r="AJ180" s="82">
        <v>500</v>
      </c>
      <c r="AK180" s="82"/>
      <c r="AL180" s="82" t="str">
        <f>REPLACE(INDEX(GroupVertices[Group],MATCH(Vertices[[#This Row],[Vertex]],GroupVertices[Vertex],0)),1,1,"")</f>
        <v>3</v>
      </c>
      <c r="AM180" s="49">
        <v>0</v>
      </c>
      <c r="AN180" s="50">
        <v>0</v>
      </c>
      <c r="AO180" s="49">
        <v>0</v>
      </c>
      <c r="AP180" s="50">
        <v>0</v>
      </c>
      <c r="AQ180" s="49">
        <v>0</v>
      </c>
      <c r="AR180" s="50">
        <v>0</v>
      </c>
      <c r="AS180" s="49">
        <v>32</v>
      </c>
      <c r="AT180" s="50">
        <v>100</v>
      </c>
      <c r="AU180" s="49">
        <v>32</v>
      </c>
      <c r="AV180" s="111" t="s">
        <v>1737</v>
      </c>
      <c r="AW180" s="111" t="s">
        <v>1737</v>
      </c>
      <c r="AX180" s="111" t="s">
        <v>1749</v>
      </c>
      <c r="AY180" s="111" t="s">
        <v>1749</v>
      </c>
      <c r="AZ180" s="2"/>
      <c r="BA180" s="3"/>
      <c r="BB180" s="3"/>
      <c r="BC180" s="3"/>
      <c r="BD180" s="3"/>
    </row>
    <row r="181" spans="1:56" ht="15">
      <c r="A181" s="68" t="s">
        <v>491</v>
      </c>
      <c r="B181" s="69"/>
      <c r="C181" s="69"/>
      <c r="D181" s="70">
        <v>200</v>
      </c>
      <c r="E181" s="72"/>
      <c r="F181" s="69"/>
      <c r="G181" s="69"/>
      <c r="H181" s="73" t="s">
        <v>491</v>
      </c>
      <c r="I181" s="74"/>
      <c r="J181" s="74"/>
      <c r="K181" s="73" t="s">
        <v>491</v>
      </c>
      <c r="L181" s="77">
        <v>852.295377535451</v>
      </c>
      <c r="M181" s="78">
        <v>2696.119873046875</v>
      </c>
      <c r="N181" s="78">
        <v>4991.93701171875</v>
      </c>
      <c r="O181" s="79"/>
      <c r="P181" s="80"/>
      <c r="Q181" s="80"/>
      <c r="R181" s="85"/>
      <c r="S181" s="49">
        <v>2</v>
      </c>
      <c r="T181" s="49">
        <v>2</v>
      </c>
      <c r="U181" s="50">
        <v>3166.72619</v>
      </c>
      <c r="V181" s="50">
        <v>0.000929</v>
      </c>
      <c r="W181" s="50">
        <v>0.000267</v>
      </c>
      <c r="X181" s="50">
        <v>1.44545</v>
      </c>
      <c r="Y181" s="50">
        <v>0.08333333333333333</v>
      </c>
      <c r="Z181" s="50">
        <v>0</v>
      </c>
      <c r="AA181" s="75">
        <v>181</v>
      </c>
      <c r="AB181" s="75"/>
      <c r="AC181" s="76"/>
      <c r="AD181" s="82" t="s">
        <v>786</v>
      </c>
      <c r="AE181" s="99" t="str">
        <f>HYPERLINK("http://en.wikipedia.org/wiki/User:Pcprice28")</f>
        <v>http://en.wikipedia.org/wiki/User:Pcprice28</v>
      </c>
      <c r="AF181" s="82" t="s">
        <v>806</v>
      </c>
      <c r="AG181" s="82"/>
      <c r="AH181" s="82"/>
      <c r="AI181" s="82">
        <v>0.4746666</v>
      </c>
      <c r="AJ181" s="82">
        <v>50</v>
      </c>
      <c r="AK181" s="82"/>
      <c r="AL181" s="82" t="str">
        <f>REPLACE(INDEX(GroupVertices[Group],MATCH(Vertices[[#This Row],[Vertex]],GroupVertices[Vertex],0)),1,1,"")</f>
        <v>3</v>
      </c>
      <c r="AM181" s="49">
        <v>0</v>
      </c>
      <c r="AN181" s="50">
        <v>0</v>
      </c>
      <c r="AO181" s="49">
        <v>0</v>
      </c>
      <c r="AP181" s="50">
        <v>0</v>
      </c>
      <c r="AQ181" s="49">
        <v>0</v>
      </c>
      <c r="AR181" s="50">
        <v>0</v>
      </c>
      <c r="AS181" s="49">
        <v>28</v>
      </c>
      <c r="AT181" s="50">
        <v>100</v>
      </c>
      <c r="AU181" s="49">
        <v>28</v>
      </c>
      <c r="AV181" s="111" t="s">
        <v>1526</v>
      </c>
      <c r="AW181" s="111" t="s">
        <v>1526</v>
      </c>
      <c r="AX181" s="111" t="s">
        <v>1660</v>
      </c>
      <c r="AY181" s="111" t="s">
        <v>1660</v>
      </c>
      <c r="AZ181" s="2"/>
      <c r="BA181" s="3"/>
      <c r="BB181" s="3"/>
      <c r="BC181" s="3"/>
      <c r="BD181" s="3"/>
    </row>
    <row r="182" spans="1:56" ht="15">
      <c r="A182" s="68" t="s">
        <v>492</v>
      </c>
      <c r="B182" s="69"/>
      <c r="C182" s="69"/>
      <c r="D182" s="70">
        <v>50</v>
      </c>
      <c r="E182" s="72"/>
      <c r="F182" s="69"/>
      <c r="G182" s="69"/>
      <c r="H182" s="73" t="s">
        <v>492</v>
      </c>
      <c r="I182" s="74"/>
      <c r="J182" s="74"/>
      <c r="K182" s="73" t="s">
        <v>492</v>
      </c>
      <c r="L182" s="77">
        <v>1</v>
      </c>
      <c r="M182" s="78">
        <v>4210.93310546875</v>
      </c>
      <c r="N182" s="78">
        <v>4436.3046875</v>
      </c>
      <c r="O182" s="79"/>
      <c r="P182" s="80"/>
      <c r="Q182" s="80"/>
      <c r="R182" s="85"/>
      <c r="S182" s="49">
        <v>1</v>
      </c>
      <c r="T182" s="49">
        <v>1</v>
      </c>
      <c r="U182" s="50">
        <v>0</v>
      </c>
      <c r="V182" s="50">
        <v>0.000782</v>
      </c>
      <c r="W182" s="50">
        <v>3.9E-05</v>
      </c>
      <c r="X182" s="50">
        <v>0.795057</v>
      </c>
      <c r="Y182" s="50">
        <v>0.5</v>
      </c>
      <c r="Z182" s="50">
        <v>0</v>
      </c>
      <c r="AA182" s="75">
        <v>182</v>
      </c>
      <c r="AB182" s="75"/>
      <c r="AC182" s="76"/>
      <c r="AD182" s="82" t="s">
        <v>786</v>
      </c>
      <c r="AE182" s="99" t="str">
        <f>HYPERLINK("http://en.wikipedia.org/wiki/User:SLS03")</f>
        <v>http://en.wikipedia.org/wiki/User:SLS03</v>
      </c>
      <c r="AF182" s="82" t="s">
        <v>806</v>
      </c>
      <c r="AG182" s="82"/>
      <c r="AH182" s="82"/>
      <c r="AI182" s="82">
        <v>0.1704545</v>
      </c>
      <c r="AJ182" s="82">
        <v>11</v>
      </c>
      <c r="AK182" s="82"/>
      <c r="AL182" s="82" t="str">
        <f>REPLACE(INDEX(GroupVertices[Group],MATCH(Vertices[[#This Row],[Vertex]],GroupVertices[Vertex],0)),1,1,"")</f>
        <v>3</v>
      </c>
      <c r="AM182" s="49">
        <v>0</v>
      </c>
      <c r="AN182" s="50">
        <v>0</v>
      </c>
      <c r="AO182" s="49">
        <v>0</v>
      </c>
      <c r="AP182" s="50">
        <v>0</v>
      </c>
      <c r="AQ182" s="49">
        <v>0</v>
      </c>
      <c r="AR182" s="50">
        <v>0</v>
      </c>
      <c r="AS182" s="49">
        <v>14</v>
      </c>
      <c r="AT182" s="50">
        <v>100</v>
      </c>
      <c r="AU182" s="49">
        <v>14</v>
      </c>
      <c r="AV182" s="111" t="s">
        <v>1526</v>
      </c>
      <c r="AW182" s="111" t="s">
        <v>1526</v>
      </c>
      <c r="AX182" s="111" t="s">
        <v>1660</v>
      </c>
      <c r="AY182" s="111" t="s">
        <v>1660</v>
      </c>
      <c r="AZ182" s="2"/>
      <c r="BA182" s="3"/>
      <c r="BB182" s="3"/>
      <c r="BC182" s="3"/>
      <c r="BD182" s="3"/>
    </row>
    <row r="183" spans="1:56" ht="15">
      <c r="A183" s="68" t="s">
        <v>493</v>
      </c>
      <c r="B183" s="69"/>
      <c r="C183" s="69"/>
      <c r="D183" s="70">
        <v>50</v>
      </c>
      <c r="E183" s="72"/>
      <c r="F183" s="69"/>
      <c r="G183" s="69"/>
      <c r="H183" s="73" t="s">
        <v>493</v>
      </c>
      <c r="I183" s="74"/>
      <c r="J183" s="74"/>
      <c r="K183" s="73" t="s">
        <v>493</v>
      </c>
      <c r="L183" s="77">
        <v>1</v>
      </c>
      <c r="M183" s="78">
        <v>3193.286865234375</v>
      </c>
      <c r="N183" s="78">
        <v>3428.033935546875</v>
      </c>
      <c r="O183" s="79"/>
      <c r="P183" s="80"/>
      <c r="Q183" s="80"/>
      <c r="R183" s="85"/>
      <c r="S183" s="49">
        <v>1</v>
      </c>
      <c r="T183" s="49">
        <v>1</v>
      </c>
      <c r="U183" s="50">
        <v>0</v>
      </c>
      <c r="V183" s="50">
        <v>0.000782</v>
      </c>
      <c r="W183" s="50">
        <v>3.9E-05</v>
      </c>
      <c r="X183" s="50">
        <v>0.795057</v>
      </c>
      <c r="Y183" s="50">
        <v>0.5</v>
      </c>
      <c r="Z183" s="50">
        <v>0</v>
      </c>
      <c r="AA183" s="75">
        <v>183</v>
      </c>
      <c r="AB183" s="75"/>
      <c r="AC183" s="76"/>
      <c r="AD183" s="82" t="s">
        <v>786</v>
      </c>
      <c r="AE183" s="99" t="str">
        <f>HYPERLINK("http://en.wikipedia.org/wiki/User:Amsberry37")</f>
        <v>http://en.wikipedia.org/wiki/User:Amsberry37</v>
      </c>
      <c r="AF183" s="82" t="s">
        <v>806</v>
      </c>
      <c r="AG183" s="82"/>
      <c r="AH183" s="82"/>
      <c r="AI183" s="82">
        <v>0.3755655</v>
      </c>
      <c r="AJ183" s="82">
        <v>34</v>
      </c>
      <c r="AK183" s="82"/>
      <c r="AL183" s="82" t="str">
        <f>REPLACE(INDEX(GroupVertices[Group],MATCH(Vertices[[#This Row],[Vertex]],GroupVertices[Vertex],0)),1,1,"")</f>
        <v>3</v>
      </c>
      <c r="AM183" s="49">
        <v>0</v>
      </c>
      <c r="AN183" s="50">
        <v>0</v>
      </c>
      <c r="AO183" s="49">
        <v>0</v>
      </c>
      <c r="AP183" s="50">
        <v>0</v>
      </c>
      <c r="AQ183" s="49">
        <v>0</v>
      </c>
      <c r="AR183" s="50">
        <v>0</v>
      </c>
      <c r="AS183" s="49">
        <v>14</v>
      </c>
      <c r="AT183" s="50">
        <v>100</v>
      </c>
      <c r="AU183" s="49">
        <v>14</v>
      </c>
      <c r="AV183" s="111" t="s">
        <v>1526</v>
      </c>
      <c r="AW183" s="111" t="s">
        <v>1526</v>
      </c>
      <c r="AX183" s="111" t="s">
        <v>1660</v>
      </c>
      <c r="AY183" s="111" t="s">
        <v>1660</v>
      </c>
      <c r="AZ183" s="2"/>
      <c r="BA183" s="3"/>
      <c r="BB183" s="3"/>
      <c r="BC183" s="3"/>
      <c r="BD183" s="3"/>
    </row>
    <row r="184" spans="1:56" ht="15">
      <c r="A184" s="68" t="s">
        <v>494</v>
      </c>
      <c r="B184" s="69"/>
      <c r="C184" s="69"/>
      <c r="D184" s="70">
        <v>200</v>
      </c>
      <c r="E184" s="72"/>
      <c r="F184" s="69"/>
      <c r="G184" s="69"/>
      <c r="H184" s="73" t="s">
        <v>494</v>
      </c>
      <c r="I184" s="74"/>
      <c r="J184" s="74"/>
      <c r="K184" s="73" t="s">
        <v>494</v>
      </c>
      <c r="L184" s="77">
        <v>984.9874301917305</v>
      </c>
      <c r="M184" s="78">
        <v>3492.585693359375</v>
      </c>
      <c r="N184" s="78">
        <v>3337.818359375</v>
      </c>
      <c r="O184" s="79"/>
      <c r="P184" s="80"/>
      <c r="Q184" s="80"/>
      <c r="R184" s="85"/>
      <c r="S184" s="49">
        <v>2</v>
      </c>
      <c r="T184" s="49">
        <v>2</v>
      </c>
      <c r="U184" s="50">
        <v>3660.32619</v>
      </c>
      <c r="V184" s="50">
        <v>0.001115</v>
      </c>
      <c r="W184" s="50">
        <v>0.001966</v>
      </c>
      <c r="X184" s="50">
        <v>0.98545</v>
      </c>
      <c r="Y184" s="50">
        <v>0</v>
      </c>
      <c r="Z184" s="50">
        <v>0.3333333333333333</v>
      </c>
      <c r="AA184" s="75">
        <v>184</v>
      </c>
      <c r="AB184" s="75"/>
      <c r="AC184" s="76"/>
      <c r="AD184" s="82" t="s">
        <v>786</v>
      </c>
      <c r="AE184" s="99" t="str">
        <f>HYPERLINK("http://en.wikipedia.org/wiki/User:Ahuet2019")</f>
        <v>http://en.wikipedia.org/wiki/User:Ahuet2019</v>
      </c>
      <c r="AF184" s="82" t="s">
        <v>806</v>
      </c>
      <c r="AG184" s="82"/>
      <c r="AH184" s="82"/>
      <c r="AI184" s="82">
        <v>0.5008818</v>
      </c>
      <c r="AJ184" s="82">
        <v>54</v>
      </c>
      <c r="AK184" s="82"/>
      <c r="AL184" s="82" t="str">
        <f>REPLACE(INDEX(GroupVertices[Group],MATCH(Vertices[[#This Row],[Vertex]],GroupVertices[Vertex],0)),1,1,"")</f>
        <v>3</v>
      </c>
      <c r="AM184" s="49">
        <v>0</v>
      </c>
      <c r="AN184" s="50">
        <v>0</v>
      </c>
      <c r="AO184" s="49">
        <v>0</v>
      </c>
      <c r="AP184" s="50">
        <v>0</v>
      </c>
      <c r="AQ184" s="49">
        <v>0</v>
      </c>
      <c r="AR184" s="50">
        <v>0</v>
      </c>
      <c r="AS184" s="49">
        <v>26</v>
      </c>
      <c r="AT184" s="50">
        <v>100</v>
      </c>
      <c r="AU184" s="49">
        <v>26</v>
      </c>
      <c r="AV184" s="111" t="s">
        <v>1527</v>
      </c>
      <c r="AW184" s="111" t="s">
        <v>1527</v>
      </c>
      <c r="AX184" s="111" t="s">
        <v>1661</v>
      </c>
      <c r="AY184" s="111" t="s">
        <v>1661</v>
      </c>
      <c r="AZ184" s="2"/>
      <c r="BA184" s="3"/>
      <c r="BB184" s="3"/>
      <c r="BC184" s="3"/>
      <c r="BD184" s="3"/>
    </row>
    <row r="185" spans="1:56" ht="15">
      <c r="A185" s="68" t="s">
        <v>495</v>
      </c>
      <c r="B185" s="69"/>
      <c r="C185" s="69"/>
      <c r="D185" s="70">
        <v>200</v>
      </c>
      <c r="E185" s="72"/>
      <c r="F185" s="69"/>
      <c r="G185" s="69"/>
      <c r="H185" s="73" t="s">
        <v>495</v>
      </c>
      <c r="I185" s="74"/>
      <c r="J185" s="74"/>
      <c r="K185" s="73" t="s">
        <v>495</v>
      </c>
      <c r="L185" s="77">
        <v>1068.4128092357473</v>
      </c>
      <c r="M185" s="78">
        <v>2713.421630859375</v>
      </c>
      <c r="N185" s="78">
        <v>4317.1181640625</v>
      </c>
      <c r="O185" s="79"/>
      <c r="P185" s="80"/>
      <c r="Q185" s="80"/>
      <c r="R185" s="85"/>
      <c r="S185" s="49">
        <v>2</v>
      </c>
      <c r="T185" s="49">
        <v>2</v>
      </c>
      <c r="U185" s="50">
        <v>3970.659524</v>
      </c>
      <c r="V185" s="50">
        <v>0.001389</v>
      </c>
      <c r="W185" s="50">
        <v>0.014346</v>
      </c>
      <c r="X185" s="50">
        <v>0.903877</v>
      </c>
      <c r="Y185" s="50">
        <v>0.16666666666666666</v>
      </c>
      <c r="Z185" s="50">
        <v>0.3333333333333333</v>
      </c>
      <c r="AA185" s="75">
        <v>185</v>
      </c>
      <c r="AB185" s="75"/>
      <c r="AC185" s="76"/>
      <c r="AD185" s="82" t="s">
        <v>786</v>
      </c>
      <c r="AE185" s="99" t="str">
        <f>HYPERLINK("http://en.wikipedia.org/wiki/User:Avimanyu786")</f>
        <v>http://en.wikipedia.org/wiki/User:Avimanyu786</v>
      </c>
      <c r="AF185" s="82" t="s">
        <v>806</v>
      </c>
      <c r="AG185" s="82"/>
      <c r="AH185" s="82"/>
      <c r="AI185" s="82">
        <v>0.2139037</v>
      </c>
      <c r="AJ185" s="82">
        <v>17</v>
      </c>
      <c r="AK185" s="82"/>
      <c r="AL185" s="82" t="str">
        <f>REPLACE(INDEX(GroupVertices[Group],MATCH(Vertices[[#This Row],[Vertex]],GroupVertices[Vertex],0)),1,1,"")</f>
        <v>3</v>
      </c>
      <c r="AM185" s="49">
        <v>0</v>
      </c>
      <c r="AN185" s="50">
        <v>0</v>
      </c>
      <c r="AO185" s="49">
        <v>0</v>
      </c>
      <c r="AP185" s="50">
        <v>0</v>
      </c>
      <c r="AQ185" s="49">
        <v>0</v>
      </c>
      <c r="AR185" s="50">
        <v>0</v>
      </c>
      <c r="AS185" s="49">
        <v>18</v>
      </c>
      <c r="AT185" s="50">
        <v>100</v>
      </c>
      <c r="AU185" s="49">
        <v>18</v>
      </c>
      <c r="AV185" s="111" t="s">
        <v>1528</v>
      </c>
      <c r="AW185" s="111" t="s">
        <v>1528</v>
      </c>
      <c r="AX185" s="111" t="s">
        <v>1662</v>
      </c>
      <c r="AY185" s="111" t="s">
        <v>1662</v>
      </c>
      <c r="AZ185" s="2"/>
      <c r="BA185" s="3"/>
      <c r="BB185" s="3"/>
      <c r="BC185" s="3"/>
      <c r="BD185" s="3"/>
    </row>
    <row r="186" spans="1:56" ht="15">
      <c r="A186" s="68" t="s">
        <v>498</v>
      </c>
      <c r="B186" s="69"/>
      <c r="C186" s="69"/>
      <c r="D186" s="70">
        <v>82.86449505127565</v>
      </c>
      <c r="E186" s="72"/>
      <c r="F186" s="69"/>
      <c r="G186" s="69"/>
      <c r="H186" s="73" t="s">
        <v>498</v>
      </c>
      <c r="I186" s="74"/>
      <c r="J186" s="74"/>
      <c r="K186" s="73" t="s">
        <v>498</v>
      </c>
      <c r="L186" s="77">
        <v>187.51595148125114</v>
      </c>
      <c r="M186" s="78">
        <v>3163.90966796875</v>
      </c>
      <c r="N186" s="78">
        <v>6168.3251953125</v>
      </c>
      <c r="O186" s="79"/>
      <c r="P186" s="80"/>
      <c r="Q186" s="80"/>
      <c r="R186" s="85"/>
      <c r="S186" s="49">
        <v>3</v>
      </c>
      <c r="T186" s="49">
        <v>3</v>
      </c>
      <c r="U186" s="50">
        <v>693.819048</v>
      </c>
      <c r="V186" s="50">
        <v>0.001393</v>
      </c>
      <c r="W186" s="50">
        <v>0.01857</v>
      </c>
      <c r="X186" s="50">
        <v>1.37429</v>
      </c>
      <c r="Y186" s="50">
        <v>0.16666666666666666</v>
      </c>
      <c r="Z186" s="50">
        <v>0</v>
      </c>
      <c r="AA186" s="75">
        <v>186</v>
      </c>
      <c r="AB186" s="75"/>
      <c r="AC186" s="76"/>
      <c r="AD186" s="82" t="s">
        <v>786</v>
      </c>
      <c r="AE186" s="99" t="str">
        <f>HYPERLINK("http://en.wikipedia.org/wiki/User:GermanJoe")</f>
        <v>http://en.wikipedia.org/wiki/User:GermanJoe</v>
      </c>
      <c r="AF186" s="82" t="s">
        <v>806</v>
      </c>
      <c r="AG186" s="82"/>
      <c r="AH186" s="82"/>
      <c r="AI186" s="82">
        <v>0.2608373</v>
      </c>
      <c r="AJ186" s="82">
        <v>500</v>
      </c>
      <c r="AK186" s="82"/>
      <c r="AL186" s="82" t="str">
        <f>REPLACE(INDEX(GroupVertices[Group],MATCH(Vertices[[#This Row],[Vertex]],GroupVertices[Vertex],0)),1,1,"")</f>
        <v>3</v>
      </c>
      <c r="AM186" s="49">
        <v>1</v>
      </c>
      <c r="AN186" s="50">
        <v>2.7027027027027026</v>
      </c>
      <c r="AO186" s="49">
        <v>0</v>
      </c>
      <c r="AP186" s="50">
        <v>0</v>
      </c>
      <c r="AQ186" s="49">
        <v>0</v>
      </c>
      <c r="AR186" s="50">
        <v>0</v>
      </c>
      <c r="AS186" s="49">
        <v>36</v>
      </c>
      <c r="AT186" s="50">
        <v>97.29729729729729</v>
      </c>
      <c r="AU186" s="49">
        <v>37</v>
      </c>
      <c r="AV186" s="111" t="s">
        <v>1529</v>
      </c>
      <c r="AW186" s="111" t="s">
        <v>1529</v>
      </c>
      <c r="AX186" s="111" t="s">
        <v>1663</v>
      </c>
      <c r="AY186" s="111" t="s">
        <v>1663</v>
      </c>
      <c r="AZ186" s="2"/>
      <c r="BA186" s="3"/>
      <c r="BB186" s="3"/>
      <c r="BC186" s="3"/>
      <c r="BD186" s="3"/>
    </row>
    <row r="187" spans="1:56" ht="15">
      <c r="A187" s="68" t="s">
        <v>496</v>
      </c>
      <c r="B187" s="69"/>
      <c r="C187" s="69"/>
      <c r="D187" s="70">
        <v>51.08945320593063</v>
      </c>
      <c r="E187" s="72"/>
      <c r="F187" s="69"/>
      <c r="G187" s="69"/>
      <c r="H187" s="73" t="s">
        <v>496</v>
      </c>
      <c r="I187" s="74"/>
      <c r="J187" s="74"/>
      <c r="K187" s="73" t="s">
        <v>496</v>
      </c>
      <c r="L187" s="77">
        <v>7.182976521666174</v>
      </c>
      <c r="M187" s="78">
        <v>4012.58251953125</v>
      </c>
      <c r="N187" s="78">
        <v>4944.5146484375</v>
      </c>
      <c r="O187" s="79"/>
      <c r="P187" s="80"/>
      <c r="Q187" s="80"/>
      <c r="R187" s="85"/>
      <c r="S187" s="49">
        <v>2</v>
      </c>
      <c r="T187" s="49">
        <v>2</v>
      </c>
      <c r="U187" s="50">
        <v>23</v>
      </c>
      <c r="V187" s="50">
        <v>0.000923</v>
      </c>
      <c r="W187" s="50">
        <v>0.000707</v>
      </c>
      <c r="X187" s="50">
        <v>0.960682</v>
      </c>
      <c r="Y187" s="50">
        <v>0</v>
      </c>
      <c r="Z187" s="50">
        <v>0</v>
      </c>
      <c r="AA187" s="75">
        <v>187</v>
      </c>
      <c r="AB187" s="75"/>
      <c r="AC187" s="76"/>
      <c r="AD187" s="82" t="s">
        <v>786</v>
      </c>
      <c r="AE187" s="99" t="str">
        <f>HYPERLINK("http://en.wikipedia.org/wiki/User:Mensk123")</f>
        <v>http://en.wikipedia.org/wiki/User:Mensk123</v>
      </c>
      <c r="AF187" s="82" t="s">
        <v>806</v>
      </c>
      <c r="AG187" s="82"/>
      <c r="AH187" s="82"/>
      <c r="AI187" s="82">
        <v>0.4173789</v>
      </c>
      <c r="AJ187" s="82">
        <v>39</v>
      </c>
      <c r="AK187" s="82"/>
      <c r="AL187" s="82" t="str">
        <f>REPLACE(INDEX(GroupVertices[Group],MATCH(Vertices[[#This Row],[Vertex]],GroupVertices[Vertex],0)),1,1,"")</f>
        <v>3</v>
      </c>
      <c r="AM187" s="49">
        <v>0</v>
      </c>
      <c r="AN187" s="50">
        <v>0</v>
      </c>
      <c r="AO187" s="49">
        <v>2</v>
      </c>
      <c r="AP187" s="50">
        <v>6.25</v>
      </c>
      <c r="AQ187" s="49">
        <v>0</v>
      </c>
      <c r="AR187" s="50">
        <v>0</v>
      </c>
      <c r="AS187" s="49">
        <v>30</v>
      </c>
      <c r="AT187" s="50">
        <v>93.75</v>
      </c>
      <c r="AU187" s="49">
        <v>32</v>
      </c>
      <c r="AV187" s="111" t="s">
        <v>1530</v>
      </c>
      <c r="AW187" s="111" t="s">
        <v>1530</v>
      </c>
      <c r="AX187" s="111" t="s">
        <v>1664</v>
      </c>
      <c r="AY187" s="111" t="s">
        <v>1664</v>
      </c>
      <c r="AZ187" s="2"/>
      <c r="BA187" s="3"/>
      <c r="BB187" s="3"/>
      <c r="BC187" s="3"/>
      <c r="BD187" s="3"/>
    </row>
    <row r="188" spans="1:56" ht="15">
      <c r="A188" s="68" t="s">
        <v>497</v>
      </c>
      <c r="B188" s="69"/>
      <c r="C188" s="69"/>
      <c r="D188" s="70">
        <v>59.69771243468321</v>
      </c>
      <c r="E188" s="72"/>
      <c r="F188" s="69"/>
      <c r="G188" s="69"/>
      <c r="H188" s="73" t="s">
        <v>497</v>
      </c>
      <c r="I188" s="74"/>
      <c r="J188" s="74"/>
      <c r="K188" s="73" t="s">
        <v>497</v>
      </c>
      <c r="L188" s="77">
        <v>56.037451788759235</v>
      </c>
      <c r="M188" s="78">
        <v>3340.84765625</v>
      </c>
      <c r="N188" s="78">
        <v>4291.21484375</v>
      </c>
      <c r="O188" s="79"/>
      <c r="P188" s="80"/>
      <c r="Q188" s="80"/>
      <c r="R188" s="85"/>
      <c r="S188" s="49">
        <v>2</v>
      </c>
      <c r="T188" s="49">
        <v>2</v>
      </c>
      <c r="U188" s="50">
        <v>204.733333</v>
      </c>
      <c r="V188" s="50">
        <v>0.001103</v>
      </c>
      <c r="W188" s="50">
        <v>0.002837</v>
      </c>
      <c r="X188" s="50">
        <v>0.915101</v>
      </c>
      <c r="Y188" s="50">
        <v>0</v>
      </c>
      <c r="Z188" s="50">
        <v>0</v>
      </c>
      <c r="AA188" s="75">
        <v>188</v>
      </c>
      <c r="AB188" s="75"/>
      <c r="AC188" s="76"/>
      <c r="AD188" s="82" t="s">
        <v>786</v>
      </c>
      <c r="AE188" s="99" t="str">
        <f>HYPERLINK("http://en.wikipedia.org/wiki/User:Patriciagardener")</f>
        <v>http://en.wikipedia.org/wiki/User:Patriciagardener</v>
      </c>
      <c r="AF188" s="82" t="s">
        <v>806</v>
      </c>
      <c r="AG188" s="82"/>
      <c r="AH188" s="82"/>
      <c r="AI188" s="82">
        <v>0</v>
      </c>
      <c r="AJ188" s="82">
        <v>4</v>
      </c>
      <c r="AK188" s="82"/>
      <c r="AL188" s="82" t="str">
        <f>REPLACE(INDEX(GroupVertices[Group],MATCH(Vertices[[#This Row],[Vertex]],GroupVertices[Vertex],0)),1,1,"")</f>
        <v>3</v>
      </c>
      <c r="AM188" s="49">
        <v>0</v>
      </c>
      <c r="AN188" s="50">
        <v>0</v>
      </c>
      <c r="AO188" s="49">
        <v>0</v>
      </c>
      <c r="AP188" s="50">
        <v>0</v>
      </c>
      <c r="AQ188" s="49">
        <v>0</v>
      </c>
      <c r="AR188" s="50">
        <v>0</v>
      </c>
      <c r="AS188" s="49">
        <v>10</v>
      </c>
      <c r="AT188" s="50">
        <v>100</v>
      </c>
      <c r="AU188" s="49">
        <v>10</v>
      </c>
      <c r="AV188" s="111" t="s">
        <v>1521</v>
      </c>
      <c r="AW188" s="111" t="s">
        <v>1521</v>
      </c>
      <c r="AX188" s="111" t="s">
        <v>1655</v>
      </c>
      <c r="AY188" s="111" t="s">
        <v>1655</v>
      </c>
      <c r="AZ188" s="2"/>
      <c r="BA188" s="3"/>
      <c r="BB188" s="3"/>
      <c r="BC188" s="3"/>
      <c r="BD188" s="3"/>
    </row>
    <row r="189" spans="1:56" ht="15">
      <c r="A189" s="68" t="s">
        <v>499</v>
      </c>
      <c r="B189" s="69"/>
      <c r="C189" s="69"/>
      <c r="D189" s="70">
        <v>188.3806319863733</v>
      </c>
      <c r="E189" s="72"/>
      <c r="F189" s="69"/>
      <c r="G189" s="69"/>
      <c r="H189" s="73" t="s">
        <v>499</v>
      </c>
      <c r="I189" s="74"/>
      <c r="J189" s="74"/>
      <c r="K189" s="73" t="s">
        <v>499</v>
      </c>
      <c r="L189" s="77">
        <v>786.3519490028931</v>
      </c>
      <c r="M189" s="78">
        <v>6927.2275390625</v>
      </c>
      <c r="N189" s="78">
        <v>8473.44140625</v>
      </c>
      <c r="O189" s="79"/>
      <c r="P189" s="80"/>
      <c r="Q189" s="80"/>
      <c r="R189" s="85"/>
      <c r="S189" s="49">
        <v>3</v>
      </c>
      <c r="T189" s="49">
        <v>4</v>
      </c>
      <c r="U189" s="50">
        <v>2921.42381</v>
      </c>
      <c r="V189" s="50">
        <v>0.001406</v>
      </c>
      <c r="W189" s="50">
        <v>0.0177</v>
      </c>
      <c r="X189" s="50">
        <v>1.653507</v>
      </c>
      <c r="Y189" s="50">
        <v>0.1</v>
      </c>
      <c r="Z189" s="50">
        <v>0.16666666666666666</v>
      </c>
      <c r="AA189" s="75">
        <v>189</v>
      </c>
      <c r="AB189" s="75"/>
      <c r="AC189" s="76"/>
      <c r="AD189" s="82" t="s">
        <v>786</v>
      </c>
      <c r="AE189" s="82" t="s">
        <v>805</v>
      </c>
      <c r="AF189" s="82" t="s">
        <v>806</v>
      </c>
      <c r="AG189" s="82"/>
      <c r="AH189" s="82"/>
      <c r="AI189" s="82">
        <v>0</v>
      </c>
      <c r="AJ189" s="82">
        <v>500</v>
      </c>
      <c r="AK189" s="82"/>
      <c r="AL189" s="82" t="str">
        <f>REPLACE(INDEX(GroupVertices[Group],MATCH(Vertices[[#This Row],[Vertex]],GroupVertices[Vertex],0)),1,1,"")</f>
        <v>5</v>
      </c>
      <c r="AM189" s="49">
        <v>1</v>
      </c>
      <c r="AN189" s="50">
        <v>0.78125</v>
      </c>
      <c r="AO189" s="49">
        <v>1</v>
      </c>
      <c r="AP189" s="50">
        <v>0.78125</v>
      </c>
      <c r="AQ189" s="49">
        <v>0</v>
      </c>
      <c r="AR189" s="50">
        <v>0</v>
      </c>
      <c r="AS189" s="49">
        <v>126</v>
      </c>
      <c r="AT189" s="50">
        <v>98.4375</v>
      </c>
      <c r="AU189" s="49">
        <v>128</v>
      </c>
      <c r="AV189" s="111" t="s">
        <v>1531</v>
      </c>
      <c r="AW189" s="111" t="s">
        <v>1556</v>
      </c>
      <c r="AX189" s="111" t="s">
        <v>1665</v>
      </c>
      <c r="AY189" s="111" t="s">
        <v>1688</v>
      </c>
      <c r="AZ189" s="2"/>
      <c r="BA189" s="3"/>
      <c r="BB189" s="3"/>
      <c r="BC189" s="3"/>
      <c r="BD189" s="3"/>
    </row>
    <row r="190" spans="1:56" ht="15">
      <c r="A190" s="68" t="s">
        <v>500</v>
      </c>
      <c r="B190" s="69"/>
      <c r="C190" s="69"/>
      <c r="D190" s="70">
        <v>70.32067066714094</v>
      </c>
      <c r="E190" s="72"/>
      <c r="F190" s="69"/>
      <c r="G190" s="69"/>
      <c r="H190" s="73" t="s">
        <v>500</v>
      </c>
      <c r="I190" s="74"/>
      <c r="J190" s="74"/>
      <c r="K190" s="73" t="s">
        <v>500</v>
      </c>
      <c r="L190" s="77">
        <v>116.32595338238211</v>
      </c>
      <c r="M190" s="78">
        <v>7480.99951171875</v>
      </c>
      <c r="N190" s="78">
        <v>9591.716796875</v>
      </c>
      <c r="O190" s="79"/>
      <c r="P190" s="80"/>
      <c r="Q190" s="80"/>
      <c r="R190" s="85"/>
      <c r="S190" s="49">
        <v>3</v>
      </c>
      <c r="T190" s="49">
        <v>2</v>
      </c>
      <c r="U190" s="50">
        <v>429</v>
      </c>
      <c r="V190" s="50">
        <v>0.001101</v>
      </c>
      <c r="W190" s="50">
        <v>0.00266</v>
      </c>
      <c r="X190" s="50">
        <v>1.003543</v>
      </c>
      <c r="Y190" s="50">
        <v>0</v>
      </c>
      <c r="Z190" s="50">
        <v>0.5</v>
      </c>
      <c r="AA190" s="75">
        <v>190</v>
      </c>
      <c r="AB190" s="75"/>
      <c r="AC190" s="76"/>
      <c r="AD190" s="82" t="s">
        <v>786</v>
      </c>
      <c r="AE190" s="99" t="str">
        <f>HYPERLINK("http://en.wikipedia.org/wiki/User:Grayfell")</f>
        <v>http://en.wikipedia.org/wiki/User:Grayfell</v>
      </c>
      <c r="AF190" s="82" t="s">
        <v>806</v>
      </c>
      <c r="AG190" s="82"/>
      <c r="AH190" s="82"/>
      <c r="AI190" s="82">
        <v>0.4238189</v>
      </c>
      <c r="AJ190" s="82">
        <v>500</v>
      </c>
      <c r="AK190" s="82"/>
      <c r="AL190" s="82" t="str">
        <f>REPLACE(INDEX(GroupVertices[Group],MATCH(Vertices[[#This Row],[Vertex]],GroupVertices[Vertex],0)),1,1,"")</f>
        <v>5</v>
      </c>
      <c r="AM190" s="49">
        <v>0</v>
      </c>
      <c r="AN190" s="50">
        <v>0</v>
      </c>
      <c r="AO190" s="49">
        <v>0</v>
      </c>
      <c r="AP190" s="50">
        <v>0</v>
      </c>
      <c r="AQ190" s="49">
        <v>0</v>
      </c>
      <c r="AR190" s="50">
        <v>0</v>
      </c>
      <c r="AS190" s="49">
        <v>45</v>
      </c>
      <c r="AT190" s="50">
        <v>100</v>
      </c>
      <c r="AU190" s="49">
        <v>45</v>
      </c>
      <c r="AV190" s="111" t="s">
        <v>1532</v>
      </c>
      <c r="AW190" s="111" t="s">
        <v>1557</v>
      </c>
      <c r="AX190" s="111" t="s">
        <v>1666</v>
      </c>
      <c r="AY190" s="111" t="s">
        <v>1689</v>
      </c>
      <c r="AZ190" s="2"/>
      <c r="BA190" s="3"/>
      <c r="BB190" s="3"/>
      <c r="BC190" s="3"/>
      <c r="BD190" s="3"/>
    </row>
    <row r="191" spans="1:56" ht="15">
      <c r="A191" s="68" t="s">
        <v>501</v>
      </c>
      <c r="B191" s="69"/>
      <c r="C191" s="69"/>
      <c r="D191" s="70">
        <v>51.65786357424227</v>
      </c>
      <c r="E191" s="72"/>
      <c r="F191" s="69"/>
      <c r="G191" s="69"/>
      <c r="H191" s="73" t="s">
        <v>501</v>
      </c>
      <c r="I191" s="74"/>
      <c r="J191" s="74"/>
      <c r="K191" s="73" t="s">
        <v>501</v>
      </c>
      <c r="L191" s="77">
        <v>10.40887731557896</v>
      </c>
      <c r="M191" s="78">
        <v>7833.609375</v>
      </c>
      <c r="N191" s="78">
        <v>7560.9443359375</v>
      </c>
      <c r="O191" s="79"/>
      <c r="P191" s="80"/>
      <c r="Q191" s="80"/>
      <c r="R191" s="85"/>
      <c r="S191" s="49">
        <v>1</v>
      </c>
      <c r="T191" s="49">
        <v>1</v>
      </c>
      <c r="U191" s="50">
        <v>35</v>
      </c>
      <c r="V191" s="50">
        <v>0.000905</v>
      </c>
      <c r="W191" s="50">
        <v>0.000373</v>
      </c>
      <c r="X191" s="50">
        <v>0.788139</v>
      </c>
      <c r="Y191" s="50">
        <v>0</v>
      </c>
      <c r="Z191" s="50">
        <v>0</v>
      </c>
      <c r="AA191" s="75">
        <v>191</v>
      </c>
      <c r="AB191" s="75"/>
      <c r="AC191" s="76"/>
      <c r="AD191" s="82" t="s">
        <v>786</v>
      </c>
      <c r="AE191" s="99" t="str">
        <f>HYPERLINK("http://en.wikipedia.org/wiki/User:Sdkb")</f>
        <v>http://en.wikipedia.org/wiki/User:Sdkb</v>
      </c>
      <c r="AF191" s="82" t="s">
        <v>806</v>
      </c>
      <c r="AG191" s="82"/>
      <c r="AH191" s="82"/>
      <c r="AI191" s="82">
        <v>0.4022038</v>
      </c>
      <c r="AJ191" s="82">
        <v>500</v>
      </c>
      <c r="AK191" s="82"/>
      <c r="AL191" s="82" t="str">
        <f>REPLACE(INDEX(GroupVertices[Group],MATCH(Vertices[[#This Row],[Vertex]],GroupVertices[Vertex],0)),1,1,"")</f>
        <v>5</v>
      </c>
      <c r="AM191" s="49">
        <v>0</v>
      </c>
      <c r="AN191" s="50">
        <v>0</v>
      </c>
      <c r="AO191" s="49">
        <v>0</v>
      </c>
      <c r="AP191" s="50">
        <v>0</v>
      </c>
      <c r="AQ191" s="49">
        <v>0</v>
      </c>
      <c r="AR191" s="50">
        <v>0</v>
      </c>
      <c r="AS191" s="49">
        <v>5</v>
      </c>
      <c r="AT191" s="50">
        <v>100</v>
      </c>
      <c r="AU191" s="49">
        <v>5</v>
      </c>
      <c r="AV191" s="111" t="s">
        <v>1533</v>
      </c>
      <c r="AW191" s="111" t="s">
        <v>1533</v>
      </c>
      <c r="AX191" s="111" t="s">
        <v>1667</v>
      </c>
      <c r="AY191" s="111" t="s">
        <v>1667</v>
      </c>
      <c r="AZ191" s="2"/>
      <c r="BA191" s="3"/>
      <c r="BB191" s="3"/>
      <c r="BC191" s="3"/>
      <c r="BD191" s="3"/>
    </row>
    <row r="192" spans="1:56" ht="15">
      <c r="A192" s="68" t="s">
        <v>502</v>
      </c>
      <c r="B192" s="69"/>
      <c r="C192" s="69"/>
      <c r="D192" s="70">
        <v>50.284205184155816</v>
      </c>
      <c r="E192" s="72"/>
      <c r="F192" s="69"/>
      <c r="G192" s="69"/>
      <c r="H192" s="73" t="s">
        <v>502</v>
      </c>
      <c r="I192" s="74"/>
      <c r="J192" s="74"/>
      <c r="K192" s="73" t="s">
        <v>502</v>
      </c>
      <c r="L192" s="77">
        <v>2.612950396956393</v>
      </c>
      <c r="M192" s="78">
        <v>6862.50244140625</v>
      </c>
      <c r="N192" s="78">
        <v>9825.607421875</v>
      </c>
      <c r="O192" s="79"/>
      <c r="P192" s="80"/>
      <c r="Q192" s="80"/>
      <c r="R192" s="85"/>
      <c r="S192" s="49">
        <v>1</v>
      </c>
      <c r="T192" s="49">
        <v>1</v>
      </c>
      <c r="U192" s="50">
        <v>6</v>
      </c>
      <c r="V192" s="50">
        <v>0.000888</v>
      </c>
      <c r="W192" s="50">
        <v>0.000248</v>
      </c>
      <c r="X192" s="50">
        <v>0.832476</v>
      </c>
      <c r="Y192" s="50">
        <v>0</v>
      </c>
      <c r="Z192" s="50">
        <v>0</v>
      </c>
      <c r="AA192" s="75">
        <v>192</v>
      </c>
      <c r="AB192" s="75"/>
      <c r="AC192" s="76"/>
      <c r="AD192" s="82" t="s">
        <v>786</v>
      </c>
      <c r="AE192" s="99" t="str">
        <f>HYPERLINK("http://en.wikipedia.org/wiki/User:Steel1943")</f>
        <v>http://en.wikipedia.org/wiki/User:Steel1943</v>
      </c>
      <c r="AF192" s="82" t="s">
        <v>806</v>
      </c>
      <c r="AG192" s="82"/>
      <c r="AH192" s="82"/>
      <c r="AI192" s="82">
        <v>0.2864861</v>
      </c>
      <c r="AJ192" s="82">
        <v>500</v>
      </c>
      <c r="AK192" s="82"/>
      <c r="AL192" s="82" t="str">
        <f>REPLACE(INDEX(GroupVertices[Group],MATCH(Vertices[[#This Row],[Vertex]],GroupVertices[Vertex],0)),1,1,"")</f>
        <v>5</v>
      </c>
      <c r="AM192" s="49">
        <v>1</v>
      </c>
      <c r="AN192" s="50">
        <v>7.142857142857143</v>
      </c>
      <c r="AO192" s="49">
        <v>0</v>
      </c>
      <c r="AP192" s="50">
        <v>0</v>
      </c>
      <c r="AQ192" s="49">
        <v>0</v>
      </c>
      <c r="AR192" s="50">
        <v>0</v>
      </c>
      <c r="AS192" s="49">
        <v>13</v>
      </c>
      <c r="AT192" s="50">
        <v>92.85714285714286</v>
      </c>
      <c r="AU192" s="49">
        <v>14</v>
      </c>
      <c r="AV192" s="111" t="s">
        <v>1534</v>
      </c>
      <c r="AW192" s="111" t="s">
        <v>1534</v>
      </c>
      <c r="AX192" s="111" t="s">
        <v>1668</v>
      </c>
      <c r="AY192" s="111" t="s">
        <v>1668</v>
      </c>
      <c r="AZ192" s="2"/>
      <c r="BA192" s="3"/>
      <c r="BB192" s="3"/>
      <c r="BC192" s="3"/>
      <c r="BD192" s="3"/>
    </row>
    <row r="193" spans="1:56" ht="15">
      <c r="A193" s="68" t="s">
        <v>503</v>
      </c>
      <c r="B193" s="69"/>
      <c r="C193" s="69"/>
      <c r="D193" s="70">
        <v>67.57335388696805</v>
      </c>
      <c r="E193" s="72"/>
      <c r="F193" s="69"/>
      <c r="G193" s="69"/>
      <c r="H193" s="73" t="s">
        <v>503</v>
      </c>
      <c r="I193" s="74"/>
      <c r="J193" s="74"/>
      <c r="K193" s="73" t="s">
        <v>503</v>
      </c>
      <c r="L193" s="77">
        <v>100.73409954513698</v>
      </c>
      <c r="M193" s="78">
        <v>6888.7587890625</v>
      </c>
      <c r="N193" s="78">
        <v>6767.80712890625</v>
      </c>
      <c r="O193" s="79"/>
      <c r="P193" s="80"/>
      <c r="Q193" s="80"/>
      <c r="R193" s="85"/>
      <c r="S193" s="49">
        <v>1</v>
      </c>
      <c r="T193" s="49">
        <v>1</v>
      </c>
      <c r="U193" s="50">
        <v>371</v>
      </c>
      <c r="V193" s="50">
        <v>0.001066</v>
      </c>
      <c r="W193" s="50">
        <v>0.00156</v>
      </c>
      <c r="X193" s="50">
        <v>0.817688</v>
      </c>
      <c r="Y193" s="50">
        <v>0</v>
      </c>
      <c r="Z193" s="50">
        <v>0</v>
      </c>
      <c r="AA193" s="75">
        <v>193</v>
      </c>
      <c r="AB193" s="75"/>
      <c r="AC193" s="76"/>
      <c r="AD193" s="82" t="s">
        <v>786</v>
      </c>
      <c r="AE193" s="99" t="str">
        <f>HYPERLINK("http://en.wikipedia.org/wiki/User:Zikhundla125")</f>
        <v>http://en.wikipedia.org/wiki/User:Zikhundla125</v>
      </c>
      <c r="AF193" s="82" t="s">
        <v>806</v>
      </c>
      <c r="AG193" s="82"/>
      <c r="AH193" s="82"/>
      <c r="AI193" s="82">
        <v>0</v>
      </c>
      <c r="AJ193" s="82">
        <v>1</v>
      </c>
      <c r="AK193" s="82"/>
      <c r="AL193" s="82" t="str">
        <f>REPLACE(INDEX(GroupVertices[Group],MATCH(Vertices[[#This Row],[Vertex]],GroupVertices[Vertex],0)),1,1,"")</f>
        <v>5</v>
      </c>
      <c r="AM193" s="49">
        <v>0</v>
      </c>
      <c r="AN193" s="50">
        <v>0</v>
      </c>
      <c r="AO193" s="49">
        <v>0</v>
      </c>
      <c r="AP193" s="50">
        <v>0</v>
      </c>
      <c r="AQ193" s="49">
        <v>0</v>
      </c>
      <c r="AR193" s="50">
        <v>0</v>
      </c>
      <c r="AS193" s="49">
        <v>3</v>
      </c>
      <c r="AT193" s="50">
        <v>100</v>
      </c>
      <c r="AU193" s="49">
        <v>3</v>
      </c>
      <c r="AV193" s="111" t="s">
        <v>1418</v>
      </c>
      <c r="AW193" s="111" t="s">
        <v>1418</v>
      </c>
      <c r="AX193" s="111" t="s">
        <v>1418</v>
      </c>
      <c r="AY193" s="111" t="s">
        <v>1418</v>
      </c>
      <c r="AZ193" s="2"/>
      <c r="BA193" s="3"/>
      <c r="BB193" s="3"/>
      <c r="BC193" s="3"/>
      <c r="BD193" s="3"/>
    </row>
    <row r="194" spans="1:56" ht="15">
      <c r="A194" s="68" t="s">
        <v>504</v>
      </c>
      <c r="B194" s="69"/>
      <c r="C194" s="69"/>
      <c r="D194" s="70">
        <v>86.23616097986672</v>
      </c>
      <c r="E194" s="72"/>
      <c r="F194" s="69"/>
      <c r="G194" s="69"/>
      <c r="H194" s="73" t="s">
        <v>504</v>
      </c>
      <c r="I194" s="74"/>
      <c r="J194" s="74"/>
      <c r="K194" s="73" t="s">
        <v>504</v>
      </c>
      <c r="L194" s="77">
        <v>206.65117561194015</v>
      </c>
      <c r="M194" s="78">
        <v>7347.61669921875</v>
      </c>
      <c r="N194" s="78">
        <v>6460.0185546875</v>
      </c>
      <c r="O194" s="79"/>
      <c r="P194" s="80"/>
      <c r="Q194" s="80"/>
      <c r="R194" s="85"/>
      <c r="S194" s="49">
        <v>1</v>
      </c>
      <c r="T194" s="49">
        <v>1</v>
      </c>
      <c r="U194" s="50">
        <v>765</v>
      </c>
      <c r="V194" s="50">
        <v>0.00135</v>
      </c>
      <c r="W194" s="50">
        <v>0.011912</v>
      </c>
      <c r="X194" s="50">
        <v>0.738555</v>
      </c>
      <c r="Y194" s="50">
        <v>0</v>
      </c>
      <c r="Z194" s="50">
        <v>0</v>
      </c>
      <c r="AA194" s="75">
        <v>194</v>
      </c>
      <c r="AB194" s="75"/>
      <c r="AC194" s="76"/>
      <c r="AD194" s="82" t="s">
        <v>786</v>
      </c>
      <c r="AE194" s="99" t="str">
        <f>HYPERLINK("http://en.wikipedia.org/wiki/User:216.165.95.184")</f>
        <v>http://en.wikipedia.org/wiki/User:216.165.95.184</v>
      </c>
      <c r="AF194" s="82" t="s">
        <v>806</v>
      </c>
      <c r="AG194" s="82"/>
      <c r="AH194" s="82"/>
      <c r="AI194" s="82">
        <v>0.1725</v>
      </c>
      <c r="AJ194" s="82">
        <v>32</v>
      </c>
      <c r="AK194" s="82"/>
      <c r="AL194" s="82" t="str">
        <f>REPLACE(INDEX(GroupVertices[Group],MATCH(Vertices[[#This Row],[Vertex]],GroupVertices[Vertex],0)),1,1,"")</f>
        <v>5</v>
      </c>
      <c r="AM194" s="49">
        <v>0</v>
      </c>
      <c r="AN194" s="50">
        <v>0</v>
      </c>
      <c r="AO194" s="49">
        <v>0</v>
      </c>
      <c r="AP194" s="50">
        <v>0</v>
      </c>
      <c r="AQ194" s="49">
        <v>0</v>
      </c>
      <c r="AR194" s="50">
        <v>0</v>
      </c>
      <c r="AS194" s="49">
        <v>8</v>
      </c>
      <c r="AT194" s="50">
        <v>100</v>
      </c>
      <c r="AU194" s="49">
        <v>8</v>
      </c>
      <c r="AV194" s="111" t="s">
        <v>1535</v>
      </c>
      <c r="AW194" s="111" t="s">
        <v>1535</v>
      </c>
      <c r="AX194" s="111" t="s">
        <v>1669</v>
      </c>
      <c r="AY194" s="111" t="s">
        <v>1669</v>
      </c>
      <c r="AZ194" s="2"/>
      <c r="BA194" s="3"/>
      <c r="BB194" s="3"/>
      <c r="BC194" s="3"/>
      <c r="BD194" s="3"/>
    </row>
    <row r="195" spans="1:56" ht="15">
      <c r="A195" s="68" t="s">
        <v>506</v>
      </c>
      <c r="B195" s="69"/>
      <c r="C195" s="69"/>
      <c r="D195" s="70">
        <v>74.65028853662906</v>
      </c>
      <c r="E195" s="72"/>
      <c r="F195" s="69"/>
      <c r="G195" s="69"/>
      <c r="H195" s="73" t="s">
        <v>506</v>
      </c>
      <c r="I195" s="74"/>
      <c r="J195" s="74"/>
      <c r="K195" s="73" t="s">
        <v>506</v>
      </c>
      <c r="L195" s="77">
        <v>140.89784457431622</v>
      </c>
      <c r="M195" s="78">
        <v>7638.92919921875</v>
      </c>
      <c r="N195" s="78">
        <v>8489.33984375</v>
      </c>
      <c r="O195" s="79"/>
      <c r="P195" s="80"/>
      <c r="Q195" s="80"/>
      <c r="R195" s="85"/>
      <c r="S195" s="49">
        <v>1</v>
      </c>
      <c r="T195" s="49">
        <v>1</v>
      </c>
      <c r="U195" s="50">
        <v>520.404762</v>
      </c>
      <c r="V195" s="50">
        <v>0.001104</v>
      </c>
      <c r="W195" s="50">
        <v>0.002353</v>
      </c>
      <c r="X195" s="50">
        <v>0.697195</v>
      </c>
      <c r="Y195" s="50">
        <v>0</v>
      </c>
      <c r="Z195" s="50">
        <v>0</v>
      </c>
      <c r="AA195" s="75">
        <v>195</v>
      </c>
      <c r="AB195" s="75"/>
      <c r="AC195" s="76"/>
      <c r="AD195" s="82" t="s">
        <v>786</v>
      </c>
      <c r="AE195" s="99" t="str">
        <f>HYPERLINK("http://en.wikipedia.org/wiki/User:2001:818:E65B:5000:F17A:261D:71BE:622F")</f>
        <v>http://en.wikipedia.org/wiki/User:2001:818:E65B:5000:F17A:261D:71BE:622F</v>
      </c>
      <c r="AF195" s="82" t="s">
        <v>806</v>
      </c>
      <c r="AG195" s="82"/>
      <c r="AH195" s="82"/>
      <c r="AI195" s="82">
        <v>0</v>
      </c>
      <c r="AJ195" s="82">
        <v>2</v>
      </c>
      <c r="AK195" s="82"/>
      <c r="AL195" s="82" t="str">
        <f>REPLACE(INDEX(GroupVertices[Group],MATCH(Vertices[[#This Row],[Vertex]],GroupVertices[Vertex],0)),1,1,"")</f>
        <v>5</v>
      </c>
      <c r="AM195" s="49">
        <v>0</v>
      </c>
      <c r="AN195" s="50">
        <v>0</v>
      </c>
      <c r="AO195" s="49">
        <v>0</v>
      </c>
      <c r="AP195" s="50">
        <v>0</v>
      </c>
      <c r="AQ195" s="49">
        <v>0</v>
      </c>
      <c r="AR195" s="50">
        <v>0</v>
      </c>
      <c r="AS195" s="49">
        <v>16</v>
      </c>
      <c r="AT195" s="50">
        <v>100</v>
      </c>
      <c r="AU195" s="49">
        <v>16</v>
      </c>
      <c r="AV195" s="111" t="s">
        <v>1536</v>
      </c>
      <c r="AW195" s="111" t="s">
        <v>1536</v>
      </c>
      <c r="AX195" s="111" t="s">
        <v>1670</v>
      </c>
      <c r="AY195" s="111" t="s">
        <v>1670</v>
      </c>
      <c r="AZ195" s="2"/>
      <c r="BA195" s="3"/>
      <c r="BB195" s="3"/>
      <c r="BC195" s="3"/>
      <c r="BD195" s="3"/>
    </row>
    <row r="196" spans="1:56" ht="15">
      <c r="A196" s="68" t="s">
        <v>507</v>
      </c>
      <c r="B196" s="69"/>
      <c r="C196" s="69"/>
      <c r="D196" s="70">
        <v>56.08221650511565</v>
      </c>
      <c r="E196" s="72"/>
      <c r="F196" s="69"/>
      <c r="G196" s="69"/>
      <c r="H196" s="73" t="s">
        <v>507</v>
      </c>
      <c r="I196" s="74"/>
      <c r="J196" s="74"/>
      <c r="K196" s="73" t="s">
        <v>507</v>
      </c>
      <c r="L196" s="77">
        <v>35.518418639831864</v>
      </c>
      <c r="M196" s="78">
        <v>7069.1748046875</v>
      </c>
      <c r="N196" s="78">
        <v>9601.861328125</v>
      </c>
      <c r="O196" s="79"/>
      <c r="P196" s="80"/>
      <c r="Q196" s="80"/>
      <c r="R196" s="85"/>
      <c r="S196" s="49">
        <v>1</v>
      </c>
      <c r="T196" s="49">
        <v>1</v>
      </c>
      <c r="U196" s="50">
        <v>128.404762</v>
      </c>
      <c r="V196" s="50">
        <v>0.000906</v>
      </c>
      <c r="W196" s="50">
        <v>0.000322</v>
      </c>
      <c r="X196" s="50">
        <v>0.736935</v>
      </c>
      <c r="Y196" s="50">
        <v>0</v>
      </c>
      <c r="Z196" s="50">
        <v>0</v>
      </c>
      <c r="AA196" s="75">
        <v>196</v>
      </c>
      <c r="AB196" s="75"/>
      <c r="AC196" s="76"/>
      <c r="AD196" s="82" t="s">
        <v>786</v>
      </c>
      <c r="AE196" s="99" t="str">
        <f>HYPERLINK("http://en.wikipedia.org/wiki/User:Kuru")</f>
        <v>http://en.wikipedia.org/wiki/User:Kuru</v>
      </c>
      <c r="AF196" s="82" t="s">
        <v>806</v>
      </c>
      <c r="AG196" s="82"/>
      <c r="AH196" s="82"/>
      <c r="AI196" s="82">
        <v>0.1352564</v>
      </c>
      <c r="AJ196" s="82">
        <v>500</v>
      </c>
      <c r="AK196" s="82"/>
      <c r="AL196" s="82" t="str">
        <f>REPLACE(INDEX(GroupVertices[Group],MATCH(Vertices[[#This Row],[Vertex]],GroupVertices[Vertex],0)),1,1,"")</f>
        <v>5</v>
      </c>
      <c r="AM196" s="49">
        <v>0</v>
      </c>
      <c r="AN196" s="50">
        <v>0</v>
      </c>
      <c r="AO196" s="49">
        <v>0</v>
      </c>
      <c r="AP196" s="50">
        <v>0</v>
      </c>
      <c r="AQ196" s="49">
        <v>0</v>
      </c>
      <c r="AR196" s="50">
        <v>0</v>
      </c>
      <c r="AS196" s="49">
        <v>37</v>
      </c>
      <c r="AT196" s="50">
        <v>100</v>
      </c>
      <c r="AU196" s="49">
        <v>37</v>
      </c>
      <c r="AV196" s="111" t="s">
        <v>1537</v>
      </c>
      <c r="AW196" s="111" t="s">
        <v>1537</v>
      </c>
      <c r="AX196" s="111" t="s">
        <v>1671</v>
      </c>
      <c r="AY196" s="111" t="s">
        <v>1671</v>
      </c>
      <c r="AZ196" s="2"/>
      <c r="BA196" s="3"/>
      <c r="BB196" s="3"/>
      <c r="BC196" s="3"/>
      <c r="BD196" s="3"/>
    </row>
    <row r="197" spans="1:56" ht="15">
      <c r="A197" s="68" t="s">
        <v>508</v>
      </c>
      <c r="B197" s="69"/>
      <c r="C197" s="69"/>
      <c r="D197" s="70">
        <v>50.37894024554109</v>
      </c>
      <c r="E197" s="72"/>
      <c r="F197" s="69"/>
      <c r="G197" s="69"/>
      <c r="H197" s="73" t="s">
        <v>508</v>
      </c>
      <c r="I197" s="74"/>
      <c r="J197" s="74"/>
      <c r="K197" s="73" t="s">
        <v>508</v>
      </c>
      <c r="L197" s="77">
        <v>3.150600529275191</v>
      </c>
      <c r="M197" s="78">
        <v>6110.65869140625</v>
      </c>
      <c r="N197" s="78">
        <v>9036.421875</v>
      </c>
      <c r="O197" s="79"/>
      <c r="P197" s="80"/>
      <c r="Q197" s="80"/>
      <c r="R197" s="85"/>
      <c r="S197" s="49">
        <v>2</v>
      </c>
      <c r="T197" s="49">
        <v>2</v>
      </c>
      <c r="U197" s="50">
        <v>8</v>
      </c>
      <c r="V197" s="50">
        <v>0.000778</v>
      </c>
      <c r="W197" s="50">
        <v>0.000154</v>
      </c>
      <c r="X197" s="50">
        <v>1.025744</v>
      </c>
      <c r="Y197" s="50">
        <v>0</v>
      </c>
      <c r="Z197" s="50">
        <v>0</v>
      </c>
      <c r="AA197" s="75">
        <v>197</v>
      </c>
      <c r="AB197" s="75"/>
      <c r="AC197" s="76"/>
      <c r="AD197" s="82" t="s">
        <v>786</v>
      </c>
      <c r="AE197" s="99" t="str">
        <f>HYPERLINK("http://en.wikipedia.org/wiki/User:Pragmatic2020")</f>
        <v>http://en.wikipedia.org/wiki/User:Pragmatic2020</v>
      </c>
      <c r="AF197" s="82" t="s">
        <v>806</v>
      </c>
      <c r="AG197" s="82"/>
      <c r="AH197" s="82"/>
      <c r="AI197" s="82">
        <v>0.4277778</v>
      </c>
      <c r="AJ197" s="82">
        <v>30</v>
      </c>
      <c r="AK197" s="82"/>
      <c r="AL197" s="82" t="str">
        <f>REPLACE(INDEX(GroupVertices[Group],MATCH(Vertices[[#This Row],[Vertex]],GroupVertices[Vertex],0)),1,1,"")</f>
        <v>5</v>
      </c>
      <c r="AM197" s="49">
        <v>2</v>
      </c>
      <c r="AN197" s="50">
        <v>8.333333333333334</v>
      </c>
      <c r="AO197" s="49">
        <v>0</v>
      </c>
      <c r="AP197" s="50">
        <v>0</v>
      </c>
      <c r="AQ197" s="49">
        <v>0</v>
      </c>
      <c r="AR197" s="50">
        <v>0</v>
      </c>
      <c r="AS197" s="49">
        <v>22</v>
      </c>
      <c r="AT197" s="50">
        <v>91.66666666666667</v>
      </c>
      <c r="AU197" s="49">
        <v>24</v>
      </c>
      <c r="AV197" s="111" t="s">
        <v>1538</v>
      </c>
      <c r="AW197" s="111" t="s">
        <v>1538</v>
      </c>
      <c r="AX197" s="111" t="s">
        <v>1672</v>
      </c>
      <c r="AY197" s="111" t="s">
        <v>1672</v>
      </c>
      <c r="AZ197" s="2"/>
      <c r="BA197" s="3"/>
      <c r="BB197" s="3"/>
      <c r="BC197" s="3"/>
      <c r="BD197" s="3"/>
    </row>
    <row r="198" spans="1:56" ht="15">
      <c r="A198" s="68" t="s">
        <v>509</v>
      </c>
      <c r="B198" s="69"/>
      <c r="C198" s="69"/>
      <c r="D198" s="70">
        <v>63.24373601747993</v>
      </c>
      <c r="E198" s="72"/>
      <c r="F198" s="69"/>
      <c r="G198" s="69"/>
      <c r="H198" s="73" t="s">
        <v>509</v>
      </c>
      <c r="I198" s="74"/>
      <c r="J198" s="74"/>
      <c r="K198" s="73" t="s">
        <v>509</v>
      </c>
      <c r="L198" s="77">
        <v>76.16220835320287</v>
      </c>
      <c r="M198" s="78">
        <v>7785.59912109375</v>
      </c>
      <c r="N198" s="78">
        <v>9148.9990234375</v>
      </c>
      <c r="O198" s="79"/>
      <c r="P198" s="80"/>
      <c r="Q198" s="80"/>
      <c r="R198" s="85"/>
      <c r="S198" s="49">
        <v>2</v>
      </c>
      <c r="T198" s="49">
        <v>2</v>
      </c>
      <c r="U198" s="50">
        <v>279.595238</v>
      </c>
      <c r="V198" s="50">
        <v>0.00092</v>
      </c>
      <c r="W198" s="50">
        <v>0.000723</v>
      </c>
      <c r="X198" s="50">
        <v>0.959716</v>
      </c>
      <c r="Y198" s="50">
        <v>0</v>
      </c>
      <c r="Z198" s="50">
        <v>0</v>
      </c>
      <c r="AA198" s="75">
        <v>198</v>
      </c>
      <c r="AB198" s="75"/>
      <c r="AC198" s="76"/>
      <c r="AD198" s="82" t="s">
        <v>786</v>
      </c>
      <c r="AE198" s="99" t="str">
        <f>HYPERLINK("http://en.wikipedia.org/wiki/User:Acforlando")</f>
        <v>http://en.wikipedia.org/wiki/User:Acforlando</v>
      </c>
      <c r="AF198" s="82" t="s">
        <v>806</v>
      </c>
      <c r="AG198" s="82"/>
      <c r="AH198" s="82"/>
      <c r="AI198" s="82">
        <v>0.4319041</v>
      </c>
      <c r="AJ198" s="82">
        <v>61</v>
      </c>
      <c r="AK198" s="82"/>
      <c r="AL198" s="82" t="str">
        <f>REPLACE(INDEX(GroupVertices[Group],MATCH(Vertices[[#This Row],[Vertex]],GroupVertices[Vertex],0)),1,1,"")</f>
        <v>5</v>
      </c>
      <c r="AM198" s="49">
        <v>2</v>
      </c>
      <c r="AN198" s="50">
        <v>8.333333333333334</v>
      </c>
      <c r="AO198" s="49">
        <v>0</v>
      </c>
      <c r="AP198" s="50">
        <v>0</v>
      </c>
      <c r="AQ198" s="49">
        <v>0</v>
      </c>
      <c r="AR198" s="50">
        <v>0</v>
      </c>
      <c r="AS198" s="49">
        <v>22</v>
      </c>
      <c r="AT198" s="50">
        <v>91.66666666666667</v>
      </c>
      <c r="AU198" s="49">
        <v>24</v>
      </c>
      <c r="AV198" s="111" t="s">
        <v>1538</v>
      </c>
      <c r="AW198" s="111" t="s">
        <v>1538</v>
      </c>
      <c r="AX198" s="111" t="s">
        <v>1672</v>
      </c>
      <c r="AY198" s="111" t="s">
        <v>1672</v>
      </c>
      <c r="AZ198" s="2"/>
      <c r="BA198" s="3"/>
      <c r="BB198" s="3"/>
      <c r="BC198" s="3"/>
      <c r="BD198" s="3"/>
    </row>
    <row r="199" spans="1:56" ht="15">
      <c r="A199" s="68" t="s">
        <v>510</v>
      </c>
      <c r="B199" s="69"/>
      <c r="C199" s="69"/>
      <c r="D199" s="70">
        <v>149.88447588201495</v>
      </c>
      <c r="E199" s="72"/>
      <c r="F199" s="69"/>
      <c r="G199" s="69"/>
      <c r="H199" s="73" t="s">
        <v>510</v>
      </c>
      <c r="I199" s="74"/>
      <c r="J199" s="74"/>
      <c r="K199" s="73" t="s">
        <v>510</v>
      </c>
      <c r="L199" s="77">
        <v>567.8746173727371</v>
      </c>
      <c r="M199" s="78">
        <v>7419.66064453125</v>
      </c>
      <c r="N199" s="78">
        <v>7097.42919921875</v>
      </c>
      <c r="O199" s="79"/>
      <c r="P199" s="80"/>
      <c r="Q199" s="80"/>
      <c r="R199" s="85"/>
      <c r="S199" s="49">
        <v>2</v>
      </c>
      <c r="T199" s="49">
        <v>2</v>
      </c>
      <c r="U199" s="50">
        <v>2108.711905</v>
      </c>
      <c r="V199" s="50">
        <v>0.001125</v>
      </c>
      <c r="W199" s="50">
        <v>0.00476</v>
      </c>
      <c r="X199" s="50">
        <v>1.163151</v>
      </c>
      <c r="Y199" s="50">
        <v>0.08333333333333333</v>
      </c>
      <c r="Z199" s="50">
        <v>0</v>
      </c>
      <c r="AA199" s="75">
        <v>199</v>
      </c>
      <c r="AB199" s="75"/>
      <c r="AC199" s="76"/>
      <c r="AD199" s="82" t="s">
        <v>786</v>
      </c>
      <c r="AE199" s="99" t="str">
        <f>HYPERLINK("http://en.wikipedia.org/wiki/User:InaKamenova")</f>
        <v>http://en.wikipedia.org/wiki/User:InaKamenova</v>
      </c>
      <c r="AF199" s="82" t="s">
        <v>806</v>
      </c>
      <c r="AG199" s="82"/>
      <c r="AH199" s="82"/>
      <c r="AI199" s="82">
        <v>0.4306123</v>
      </c>
      <c r="AJ199" s="82">
        <v>35</v>
      </c>
      <c r="AK199" s="82"/>
      <c r="AL199" s="82" t="str">
        <f>REPLACE(INDEX(GroupVertices[Group],MATCH(Vertices[[#This Row],[Vertex]],GroupVertices[Vertex],0)),1,1,"")</f>
        <v>5</v>
      </c>
      <c r="AM199" s="49">
        <v>2</v>
      </c>
      <c r="AN199" s="50">
        <v>8.333333333333334</v>
      </c>
      <c r="AO199" s="49">
        <v>0</v>
      </c>
      <c r="AP199" s="50">
        <v>0</v>
      </c>
      <c r="AQ199" s="49">
        <v>0</v>
      </c>
      <c r="AR199" s="50">
        <v>0</v>
      </c>
      <c r="AS199" s="49">
        <v>22</v>
      </c>
      <c r="AT199" s="50">
        <v>91.66666666666667</v>
      </c>
      <c r="AU199" s="49">
        <v>24</v>
      </c>
      <c r="AV199" s="111" t="s">
        <v>1538</v>
      </c>
      <c r="AW199" s="111" t="s">
        <v>1538</v>
      </c>
      <c r="AX199" s="111" t="s">
        <v>1672</v>
      </c>
      <c r="AY199" s="111" t="s">
        <v>1672</v>
      </c>
      <c r="AZ199" s="2"/>
      <c r="BA199" s="3"/>
      <c r="BB199" s="3"/>
      <c r="BC199" s="3"/>
      <c r="BD199" s="3"/>
    </row>
    <row r="200" spans="1:56" ht="15">
      <c r="A200" s="68" t="s">
        <v>511</v>
      </c>
      <c r="B200" s="69"/>
      <c r="C200" s="69"/>
      <c r="D200" s="70">
        <v>101.02035678367255</v>
      </c>
      <c r="E200" s="72"/>
      <c r="F200" s="69"/>
      <c r="G200" s="69"/>
      <c r="H200" s="73" t="s">
        <v>511</v>
      </c>
      <c r="I200" s="74"/>
      <c r="J200" s="74"/>
      <c r="K200" s="73" t="s">
        <v>511</v>
      </c>
      <c r="L200" s="77">
        <v>290.5559592676662</v>
      </c>
      <c r="M200" s="78">
        <v>6010.20556640625</v>
      </c>
      <c r="N200" s="78">
        <v>6508.4111328125</v>
      </c>
      <c r="O200" s="79"/>
      <c r="P200" s="80"/>
      <c r="Q200" s="80"/>
      <c r="R200" s="85"/>
      <c r="S200" s="49">
        <v>2</v>
      </c>
      <c r="T200" s="49">
        <v>2</v>
      </c>
      <c r="U200" s="50">
        <v>1077.116667</v>
      </c>
      <c r="V200" s="50">
        <v>0.000923</v>
      </c>
      <c r="W200" s="50">
        <v>0.000655</v>
      </c>
      <c r="X200" s="50">
        <v>1.284645</v>
      </c>
      <c r="Y200" s="50">
        <v>0.08333333333333333</v>
      </c>
      <c r="Z200" s="50">
        <v>0</v>
      </c>
      <c r="AA200" s="75">
        <v>200</v>
      </c>
      <c r="AB200" s="75"/>
      <c r="AC200" s="76"/>
      <c r="AD200" s="82" t="s">
        <v>786</v>
      </c>
      <c r="AE200" s="99" t="str">
        <f>HYPERLINK("http://en.wikipedia.org/wiki/User:Aaishwar")</f>
        <v>http://en.wikipedia.org/wiki/User:Aaishwar</v>
      </c>
      <c r="AF200" s="82" t="s">
        <v>806</v>
      </c>
      <c r="AG200" s="82"/>
      <c r="AH200" s="82"/>
      <c r="AI200" s="82">
        <v>0.490566</v>
      </c>
      <c r="AJ200" s="82">
        <v>53</v>
      </c>
      <c r="AK200" s="82"/>
      <c r="AL200" s="82" t="str">
        <f>REPLACE(INDEX(GroupVertices[Group],MATCH(Vertices[[#This Row],[Vertex]],GroupVertices[Vertex],0)),1,1,"")</f>
        <v>5</v>
      </c>
      <c r="AM200" s="49">
        <v>0</v>
      </c>
      <c r="AN200" s="50">
        <v>0</v>
      </c>
      <c r="AO200" s="49">
        <v>0</v>
      </c>
      <c r="AP200" s="50">
        <v>0</v>
      </c>
      <c r="AQ200" s="49">
        <v>0</v>
      </c>
      <c r="AR200" s="50">
        <v>0</v>
      </c>
      <c r="AS200" s="49">
        <v>30</v>
      </c>
      <c r="AT200" s="50">
        <v>100</v>
      </c>
      <c r="AU200" s="49">
        <v>30</v>
      </c>
      <c r="AV200" s="111" t="s">
        <v>1539</v>
      </c>
      <c r="AW200" s="111" t="s">
        <v>1539</v>
      </c>
      <c r="AX200" s="111" t="s">
        <v>1673</v>
      </c>
      <c r="AY200" s="111" t="s">
        <v>1673</v>
      </c>
      <c r="AZ200" s="2"/>
      <c r="BA200" s="3"/>
      <c r="BB200" s="3"/>
      <c r="BC200" s="3"/>
      <c r="BD200" s="3"/>
    </row>
    <row r="201" spans="1:56" ht="15">
      <c r="A201" s="68" t="s">
        <v>512</v>
      </c>
      <c r="B201" s="69"/>
      <c r="C201" s="69"/>
      <c r="D201" s="70">
        <v>50</v>
      </c>
      <c r="E201" s="72"/>
      <c r="F201" s="69"/>
      <c r="G201" s="69"/>
      <c r="H201" s="73" t="s">
        <v>512</v>
      </c>
      <c r="I201" s="74"/>
      <c r="J201" s="74"/>
      <c r="K201" s="73" t="s">
        <v>512</v>
      </c>
      <c r="L201" s="77">
        <v>1</v>
      </c>
      <c r="M201" s="78">
        <v>5838.77197265625</v>
      </c>
      <c r="N201" s="78">
        <v>7617.2353515625</v>
      </c>
      <c r="O201" s="79"/>
      <c r="P201" s="80"/>
      <c r="Q201" s="80"/>
      <c r="R201" s="85"/>
      <c r="S201" s="49">
        <v>2</v>
      </c>
      <c r="T201" s="49">
        <v>2</v>
      </c>
      <c r="U201" s="50">
        <v>0</v>
      </c>
      <c r="V201" s="50">
        <v>0.000779</v>
      </c>
      <c r="W201" s="50">
        <v>0.000111</v>
      </c>
      <c r="X201" s="50">
        <v>1.010912</v>
      </c>
      <c r="Y201" s="50">
        <v>0.5</v>
      </c>
      <c r="Z201" s="50">
        <v>0</v>
      </c>
      <c r="AA201" s="75">
        <v>201</v>
      </c>
      <c r="AB201" s="75"/>
      <c r="AC201" s="76"/>
      <c r="AD201" s="82" t="s">
        <v>786</v>
      </c>
      <c r="AE201" s="99" t="str">
        <f>HYPERLINK("http://en.wikipedia.org/wiki/User:Ninatravassos")</f>
        <v>http://en.wikipedia.org/wiki/User:Ninatravassos</v>
      </c>
      <c r="AF201" s="82" t="s">
        <v>806</v>
      </c>
      <c r="AG201" s="82"/>
      <c r="AH201" s="82"/>
      <c r="AI201" s="82">
        <v>0.3924419</v>
      </c>
      <c r="AJ201" s="82">
        <v>43</v>
      </c>
      <c r="AK201" s="82"/>
      <c r="AL201" s="82" t="str">
        <f>REPLACE(INDEX(GroupVertices[Group],MATCH(Vertices[[#This Row],[Vertex]],GroupVertices[Vertex],0)),1,1,"")</f>
        <v>5</v>
      </c>
      <c r="AM201" s="49">
        <v>0</v>
      </c>
      <c r="AN201" s="50">
        <v>0</v>
      </c>
      <c r="AO201" s="49">
        <v>0</v>
      </c>
      <c r="AP201" s="50">
        <v>0</v>
      </c>
      <c r="AQ201" s="49">
        <v>0</v>
      </c>
      <c r="AR201" s="50">
        <v>0</v>
      </c>
      <c r="AS201" s="49">
        <v>30</v>
      </c>
      <c r="AT201" s="50">
        <v>100</v>
      </c>
      <c r="AU201" s="49">
        <v>30</v>
      </c>
      <c r="AV201" s="111" t="s">
        <v>1539</v>
      </c>
      <c r="AW201" s="111" t="s">
        <v>1539</v>
      </c>
      <c r="AX201" s="111" t="s">
        <v>1673</v>
      </c>
      <c r="AY201" s="111" t="s">
        <v>1673</v>
      </c>
      <c r="AZ201" s="2"/>
      <c r="BA201" s="3"/>
      <c r="BB201" s="3"/>
      <c r="BC201" s="3"/>
      <c r="BD201" s="3"/>
    </row>
    <row r="202" spans="1:56" ht="15">
      <c r="A202" s="68" t="s">
        <v>513</v>
      </c>
      <c r="B202" s="69"/>
      <c r="C202" s="69"/>
      <c r="D202" s="70">
        <v>50</v>
      </c>
      <c r="E202" s="72"/>
      <c r="F202" s="69"/>
      <c r="G202" s="69"/>
      <c r="H202" s="73" t="s">
        <v>513</v>
      </c>
      <c r="I202" s="74"/>
      <c r="J202" s="74"/>
      <c r="K202" s="73" t="s">
        <v>513</v>
      </c>
      <c r="L202" s="77">
        <v>1</v>
      </c>
      <c r="M202" s="78">
        <v>7102.16015625</v>
      </c>
      <c r="N202" s="78">
        <v>7555.04931640625</v>
      </c>
      <c r="O202" s="79"/>
      <c r="P202" s="80"/>
      <c r="Q202" s="80"/>
      <c r="R202" s="85"/>
      <c r="S202" s="49">
        <v>1</v>
      </c>
      <c r="T202" s="49">
        <v>1</v>
      </c>
      <c r="U202" s="50">
        <v>0</v>
      </c>
      <c r="V202" s="50">
        <v>0.000779</v>
      </c>
      <c r="W202" s="50">
        <v>9.8E-05</v>
      </c>
      <c r="X202" s="50">
        <v>0.709412</v>
      </c>
      <c r="Y202" s="50">
        <v>0.5</v>
      </c>
      <c r="Z202" s="50">
        <v>0</v>
      </c>
      <c r="AA202" s="75">
        <v>202</v>
      </c>
      <c r="AB202" s="75"/>
      <c r="AC202" s="76"/>
      <c r="AD202" s="82" t="s">
        <v>786</v>
      </c>
      <c r="AE202" s="99" t="str">
        <f>HYPERLINK("http://en.wikipedia.org/wiki/User:Keneeso")</f>
        <v>http://en.wikipedia.org/wiki/User:Keneeso</v>
      </c>
      <c r="AF202" s="82" t="s">
        <v>806</v>
      </c>
      <c r="AG202" s="82"/>
      <c r="AH202" s="82"/>
      <c r="AI202" s="82">
        <v>0.403162</v>
      </c>
      <c r="AJ202" s="82">
        <v>23</v>
      </c>
      <c r="AK202" s="82"/>
      <c r="AL202" s="82" t="str">
        <f>REPLACE(INDEX(GroupVertices[Group],MATCH(Vertices[[#This Row],[Vertex]],GroupVertices[Vertex],0)),1,1,"")</f>
        <v>5</v>
      </c>
      <c r="AM202" s="49">
        <v>0</v>
      </c>
      <c r="AN202" s="50">
        <v>0</v>
      </c>
      <c r="AO202" s="49">
        <v>0</v>
      </c>
      <c r="AP202" s="50">
        <v>0</v>
      </c>
      <c r="AQ202" s="49">
        <v>0</v>
      </c>
      <c r="AR202" s="50">
        <v>0</v>
      </c>
      <c r="AS202" s="49">
        <v>15</v>
      </c>
      <c r="AT202" s="50">
        <v>100</v>
      </c>
      <c r="AU202" s="49">
        <v>15</v>
      </c>
      <c r="AV202" s="111" t="s">
        <v>1539</v>
      </c>
      <c r="AW202" s="111" t="s">
        <v>1539</v>
      </c>
      <c r="AX202" s="111" t="s">
        <v>1673</v>
      </c>
      <c r="AY202" s="111" t="s">
        <v>1673</v>
      </c>
      <c r="AZ202" s="2"/>
      <c r="BA202" s="3"/>
      <c r="BB202" s="3"/>
      <c r="BC202" s="3"/>
      <c r="BD202" s="3"/>
    </row>
    <row r="203" spans="1:56" ht="15">
      <c r="A203" s="68" t="s">
        <v>514</v>
      </c>
      <c r="B203" s="69"/>
      <c r="C203" s="69"/>
      <c r="D203" s="70">
        <v>50.56841036831163</v>
      </c>
      <c r="E203" s="72"/>
      <c r="F203" s="69"/>
      <c r="G203" s="69"/>
      <c r="H203" s="73" t="s">
        <v>514</v>
      </c>
      <c r="I203" s="74"/>
      <c r="J203" s="74"/>
      <c r="K203" s="73" t="s">
        <v>514</v>
      </c>
      <c r="L203" s="77">
        <v>4.225900793912786</v>
      </c>
      <c r="M203" s="78">
        <v>5551.4609375</v>
      </c>
      <c r="N203" s="78">
        <v>8699.3388671875</v>
      </c>
      <c r="O203" s="79"/>
      <c r="P203" s="80"/>
      <c r="Q203" s="80"/>
      <c r="R203" s="85"/>
      <c r="S203" s="49">
        <v>1</v>
      </c>
      <c r="T203" s="49">
        <v>1</v>
      </c>
      <c r="U203" s="50">
        <v>12</v>
      </c>
      <c r="V203" s="50">
        <v>0.000781</v>
      </c>
      <c r="W203" s="50">
        <v>0.000137</v>
      </c>
      <c r="X203" s="50">
        <v>0.704826</v>
      </c>
      <c r="Y203" s="50">
        <v>0</v>
      </c>
      <c r="Z203" s="50">
        <v>0</v>
      </c>
      <c r="AA203" s="75">
        <v>203</v>
      </c>
      <c r="AB203" s="75"/>
      <c r="AC203" s="76"/>
      <c r="AD203" s="82" t="s">
        <v>786</v>
      </c>
      <c r="AE203" s="99" t="str">
        <f>HYPERLINK("http://en.wikipedia.org/wiki/User:Kiatdd")</f>
        <v>http://en.wikipedia.org/wiki/User:Kiatdd</v>
      </c>
      <c r="AF203" s="82" t="s">
        <v>806</v>
      </c>
      <c r="AG203" s="82"/>
      <c r="AH203" s="82"/>
      <c r="AI203" s="82">
        <v>0.585017</v>
      </c>
      <c r="AJ203" s="82">
        <v>500</v>
      </c>
      <c r="AK203" s="82"/>
      <c r="AL203" s="82" t="str">
        <f>REPLACE(INDEX(GroupVertices[Group],MATCH(Vertices[[#This Row],[Vertex]],GroupVertices[Vertex],0)),1,1,"")</f>
        <v>5</v>
      </c>
      <c r="AM203" s="49">
        <v>0</v>
      </c>
      <c r="AN203" s="50">
        <v>0</v>
      </c>
      <c r="AO203" s="49">
        <v>0</v>
      </c>
      <c r="AP203" s="50">
        <v>0</v>
      </c>
      <c r="AQ203" s="49">
        <v>0</v>
      </c>
      <c r="AR203" s="50">
        <v>0</v>
      </c>
      <c r="AS203" s="49">
        <v>7</v>
      </c>
      <c r="AT203" s="50">
        <v>100</v>
      </c>
      <c r="AU203" s="49">
        <v>7</v>
      </c>
      <c r="AV203" s="111" t="s">
        <v>1540</v>
      </c>
      <c r="AW203" s="111" t="s">
        <v>1540</v>
      </c>
      <c r="AX203" s="111" t="s">
        <v>1674</v>
      </c>
      <c r="AY203" s="111" t="s">
        <v>1674</v>
      </c>
      <c r="AZ203" s="2"/>
      <c r="BA203" s="3"/>
      <c r="BB203" s="3"/>
      <c r="BC203" s="3"/>
      <c r="BD203" s="3"/>
    </row>
    <row r="204" spans="1:56" ht="15">
      <c r="A204" s="68" t="s">
        <v>515</v>
      </c>
      <c r="B204" s="69"/>
      <c r="C204" s="69"/>
      <c r="D204" s="70">
        <v>56.19962029303203</v>
      </c>
      <c r="E204" s="72"/>
      <c r="F204" s="69"/>
      <c r="G204" s="69"/>
      <c r="H204" s="73" t="s">
        <v>515</v>
      </c>
      <c r="I204" s="74"/>
      <c r="J204" s="74"/>
      <c r="K204" s="73" t="s">
        <v>515</v>
      </c>
      <c r="L204" s="77">
        <v>36.18472065288763</v>
      </c>
      <c r="M204" s="78">
        <v>5633.69287109375</v>
      </c>
      <c r="N204" s="78">
        <v>7483.25</v>
      </c>
      <c r="O204" s="79"/>
      <c r="P204" s="80"/>
      <c r="Q204" s="80"/>
      <c r="R204" s="85"/>
      <c r="S204" s="49">
        <v>2</v>
      </c>
      <c r="T204" s="49">
        <v>2</v>
      </c>
      <c r="U204" s="50">
        <v>130.883333</v>
      </c>
      <c r="V204" s="50">
        <v>0.000907</v>
      </c>
      <c r="W204" s="50">
        <v>0.000413</v>
      </c>
      <c r="X204" s="50">
        <v>0.994725</v>
      </c>
      <c r="Y204" s="50">
        <v>0</v>
      </c>
      <c r="Z204" s="50">
        <v>0</v>
      </c>
      <c r="AA204" s="75">
        <v>204</v>
      </c>
      <c r="AB204" s="75"/>
      <c r="AC204" s="76"/>
      <c r="AD204" s="82" t="s">
        <v>786</v>
      </c>
      <c r="AE204" s="99" t="str">
        <f>HYPERLINK("http://en.wikipedia.org/wiki/User:Daleylife")</f>
        <v>http://en.wikipedia.org/wiki/User:Daleylife</v>
      </c>
      <c r="AF204" s="82" t="s">
        <v>806</v>
      </c>
      <c r="AG204" s="82"/>
      <c r="AH204" s="82"/>
      <c r="AI204" s="82">
        <v>0.4706969</v>
      </c>
      <c r="AJ204" s="82">
        <v>173</v>
      </c>
      <c r="AK204" s="82"/>
      <c r="AL204" s="82" t="str">
        <f>REPLACE(INDEX(GroupVertices[Group],MATCH(Vertices[[#This Row],[Vertex]],GroupVertices[Vertex],0)),1,1,"")</f>
        <v>5</v>
      </c>
      <c r="AM204" s="49">
        <v>0</v>
      </c>
      <c r="AN204" s="50">
        <v>0</v>
      </c>
      <c r="AO204" s="49">
        <v>0</v>
      </c>
      <c r="AP204" s="50">
        <v>0</v>
      </c>
      <c r="AQ204" s="49">
        <v>0</v>
      </c>
      <c r="AR204" s="50">
        <v>0</v>
      </c>
      <c r="AS204" s="49">
        <v>10</v>
      </c>
      <c r="AT204" s="50">
        <v>100</v>
      </c>
      <c r="AU204" s="49">
        <v>10</v>
      </c>
      <c r="AV204" s="111" t="s">
        <v>1541</v>
      </c>
      <c r="AW204" s="111" t="s">
        <v>1541</v>
      </c>
      <c r="AX204" s="111" t="s">
        <v>1675</v>
      </c>
      <c r="AY204" s="111" t="s">
        <v>1675</v>
      </c>
      <c r="AZ204" s="2"/>
      <c r="BA204" s="3"/>
      <c r="BB204" s="3"/>
      <c r="BC204" s="3"/>
      <c r="BD204" s="3"/>
    </row>
    <row r="205" spans="1:56" ht="15">
      <c r="A205" s="68" t="s">
        <v>516</v>
      </c>
      <c r="B205" s="69"/>
      <c r="C205" s="69"/>
      <c r="D205" s="70">
        <v>74.57822220177489</v>
      </c>
      <c r="E205" s="72"/>
      <c r="F205" s="69"/>
      <c r="G205" s="69"/>
      <c r="H205" s="73" t="s">
        <v>516</v>
      </c>
      <c r="I205" s="74"/>
      <c r="J205" s="74"/>
      <c r="K205" s="73" t="s">
        <v>516</v>
      </c>
      <c r="L205" s="77">
        <v>140.48884632273442</v>
      </c>
      <c r="M205" s="78">
        <v>6463.78173828125</v>
      </c>
      <c r="N205" s="78">
        <v>6256.6005859375</v>
      </c>
      <c r="O205" s="79"/>
      <c r="P205" s="80"/>
      <c r="Q205" s="80"/>
      <c r="R205" s="85"/>
      <c r="S205" s="49">
        <v>2</v>
      </c>
      <c r="T205" s="49">
        <v>2</v>
      </c>
      <c r="U205" s="50">
        <v>518.883333</v>
      </c>
      <c r="V205" s="50">
        <v>0.0011</v>
      </c>
      <c r="W205" s="50">
        <v>0.002666</v>
      </c>
      <c r="X205" s="50">
        <v>0.929421</v>
      </c>
      <c r="Y205" s="50">
        <v>0</v>
      </c>
      <c r="Z205" s="50">
        <v>0</v>
      </c>
      <c r="AA205" s="75">
        <v>205</v>
      </c>
      <c r="AB205" s="75"/>
      <c r="AC205" s="76"/>
      <c r="AD205" s="82" t="s">
        <v>786</v>
      </c>
      <c r="AE205" s="99" t="str">
        <f>HYPERLINK("http://en.wikipedia.org/wiki/User:Buffaboy")</f>
        <v>http://en.wikipedia.org/wiki/User:Buffaboy</v>
      </c>
      <c r="AF205" s="82" t="s">
        <v>806</v>
      </c>
      <c r="AG205" s="82"/>
      <c r="AH205" s="82"/>
      <c r="AI205" s="82">
        <v>0.3864286</v>
      </c>
      <c r="AJ205" s="82">
        <v>500</v>
      </c>
      <c r="AK205" s="82"/>
      <c r="AL205" s="82" t="str">
        <f>REPLACE(INDEX(GroupVertices[Group],MATCH(Vertices[[#This Row],[Vertex]],GroupVertices[Vertex],0)),1,1,"")</f>
        <v>5</v>
      </c>
      <c r="AM205" s="49">
        <v>0</v>
      </c>
      <c r="AN205" s="50">
        <v>0</v>
      </c>
      <c r="AO205" s="49">
        <v>0</v>
      </c>
      <c r="AP205" s="50">
        <v>0</v>
      </c>
      <c r="AQ205" s="49">
        <v>0</v>
      </c>
      <c r="AR205" s="50">
        <v>0</v>
      </c>
      <c r="AS205" s="49">
        <v>7</v>
      </c>
      <c r="AT205" s="50">
        <v>100</v>
      </c>
      <c r="AU205" s="49">
        <v>7</v>
      </c>
      <c r="AV205" s="111" t="s">
        <v>1542</v>
      </c>
      <c r="AW205" s="111" t="s">
        <v>1558</v>
      </c>
      <c r="AX205" s="111" t="s">
        <v>1676</v>
      </c>
      <c r="AY205" s="111" t="s">
        <v>1676</v>
      </c>
      <c r="AZ205" s="2"/>
      <c r="BA205" s="3"/>
      <c r="BB205" s="3"/>
      <c r="BC205" s="3"/>
      <c r="BD205" s="3"/>
    </row>
    <row r="206" spans="1:56" ht="15">
      <c r="A206" s="86" t="s">
        <v>517</v>
      </c>
      <c r="B206" s="87"/>
      <c r="C206" s="87"/>
      <c r="D206" s="88">
        <v>50</v>
      </c>
      <c r="E206" s="89"/>
      <c r="F206" s="87"/>
      <c r="G206" s="87"/>
      <c r="H206" s="90" t="s">
        <v>517</v>
      </c>
      <c r="I206" s="91"/>
      <c r="J206" s="91"/>
      <c r="K206" s="90" t="s">
        <v>517</v>
      </c>
      <c r="L206" s="92">
        <v>1</v>
      </c>
      <c r="M206" s="93">
        <v>6060.607421875</v>
      </c>
      <c r="N206" s="93">
        <v>9594.30859375</v>
      </c>
      <c r="O206" s="94"/>
      <c r="P206" s="95"/>
      <c r="Q206" s="95"/>
      <c r="R206" s="96"/>
      <c r="S206" s="49">
        <v>1</v>
      </c>
      <c r="T206" s="49">
        <v>2</v>
      </c>
      <c r="U206" s="50">
        <v>0</v>
      </c>
      <c r="V206" s="50">
        <v>0.001099</v>
      </c>
      <c r="W206" s="50">
        <v>0.002652</v>
      </c>
      <c r="X206" s="50">
        <v>0.667822</v>
      </c>
      <c r="Y206" s="50">
        <v>0</v>
      </c>
      <c r="Z206" s="50">
        <v>0</v>
      </c>
      <c r="AA206" s="97">
        <v>206</v>
      </c>
      <c r="AB206" s="97"/>
      <c r="AC206" s="98"/>
      <c r="AD206" s="82" t="s">
        <v>786</v>
      </c>
      <c r="AE206" s="99" t="str">
        <f>HYPERLINK("http://en.wikipedia.org/wiki/User:Xyxyzyz")</f>
        <v>http://en.wikipedia.org/wiki/User:Xyxyzyz</v>
      </c>
      <c r="AF206" s="82" t="s">
        <v>806</v>
      </c>
      <c r="AG206" s="82"/>
      <c r="AH206" s="82"/>
      <c r="AI206" s="82">
        <v>0.6537601</v>
      </c>
      <c r="AJ206" s="82">
        <v>500</v>
      </c>
      <c r="AK206" s="82"/>
      <c r="AL206" s="82" t="str">
        <f>REPLACE(INDEX(GroupVertices[Group],MATCH(Vertices[[#This Row],[Vertex]],GroupVertices[Vertex],0)),1,1,"")</f>
        <v>5</v>
      </c>
      <c r="AM206" s="49">
        <v>0</v>
      </c>
      <c r="AN206" s="50">
        <v>0</v>
      </c>
      <c r="AO206" s="49">
        <v>0</v>
      </c>
      <c r="AP206" s="50">
        <v>0</v>
      </c>
      <c r="AQ206" s="49">
        <v>0</v>
      </c>
      <c r="AR206" s="50">
        <v>0</v>
      </c>
      <c r="AS206" s="49">
        <v>12</v>
      </c>
      <c r="AT206" s="50">
        <v>100</v>
      </c>
      <c r="AU206" s="49">
        <v>12</v>
      </c>
      <c r="AV206" s="111" t="s">
        <v>1543</v>
      </c>
      <c r="AW206" s="111" t="s">
        <v>1559</v>
      </c>
      <c r="AX206" s="111" t="s">
        <v>1677</v>
      </c>
      <c r="AY206" s="111" t="s">
        <v>1690</v>
      </c>
      <c r="AZ206" s="2"/>
      <c r="BA206" s="3"/>
      <c r="BB206" s="3"/>
      <c r="BC206" s="3"/>
      <c r="BD20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6"/>
    <dataValidation allowBlank="1" errorTitle="Invalid Vertex Visibility" error="You have entered an unrecognized vertex visibility.  Try selecting from the drop-down list instead." sqref="AZ3"/>
    <dataValidation allowBlank="1" showErrorMessage="1" sqref="AZ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6"/>
    <dataValidation allowBlank="1" showInputMessage="1" promptTitle="Vertex Tooltip" prompt="Enter optional text that will pop up when the mouse is hovered over the vertex." errorTitle="Invalid Vertex Image Key" sqref="K3:K20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6"/>
    <dataValidation allowBlank="1" showInputMessage="1" promptTitle="Vertex Label Fill Color" prompt="To select an optional fill color for the Label shape, right-click and select Select Color on the right-click menu." sqref="I3:I206"/>
    <dataValidation allowBlank="1" showInputMessage="1" promptTitle="Vertex Image File" prompt="Enter the path to an image file.  Hover over the column header for examples." errorTitle="Invalid Vertex Image Key" sqref="F3:F206"/>
    <dataValidation allowBlank="1" showInputMessage="1" promptTitle="Vertex Color" prompt="To select an optional vertex color, right-click and select Select Color on the right-click menu." sqref="B3:B206"/>
    <dataValidation allowBlank="1" showInputMessage="1" promptTitle="Vertex Opacity" prompt="Enter an optional vertex opacity between 0 (transparent) and 100 (opaque)." errorTitle="Invalid Vertex Opacity" error="The optional vertex opacity must be a whole number between 0 and 10." sqref="E3:E206"/>
    <dataValidation type="list" allowBlank="1" showInputMessage="1" showErrorMessage="1" promptTitle="Vertex Shape" prompt="Select an optional vertex shape." errorTitle="Invalid Vertex Shape" error="You have entered an invalid vertex shape.  Try selecting from the drop-down list instead." sqref="C3:C20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6">
      <formula1>ValidVertexLabelPositions</formula1>
    </dataValidation>
    <dataValidation allowBlank="1" showInputMessage="1" showErrorMessage="1" promptTitle="Vertex Name" prompt="Enter the name of the vertex." sqref="A3:A20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14"/>
  <sheetViews>
    <sheetView workbookViewId="0" topLeftCell="A1">
      <pane ySplit="2" topLeftCell="A3" activePane="bottomLeft" state="frozen"/>
      <selection pane="bottomLeft" activeCell="A2" sqref="A2:AI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hidden="1" customWidth="1"/>
    <col min="26" max="26" width="23.8515625" style="0" hidden="1" customWidth="1"/>
    <col min="27" max="27" width="19.140625" style="0" hidden="1" customWidth="1"/>
    <col min="28" max="28" width="23.8515625" style="0" hidden="1" customWidth="1"/>
    <col min="29" max="29" width="19.140625" style="0" hidden="1" customWidth="1"/>
    <col min="30" max="30" width="23.8515625" style="0" hidden="1" customWidth="1"/>
    <col min="31" max="31" width="18.140625" style="0" hidden="1" customWidth="1"/>
    <col min="32" max="32" width="22.28125" style="0" hidden="1" customWidth="1"/>
    <col min="33" max="33" width="16.421875" style="0" hidden="1" customWidth="1"/>
    <col min="34" max="34" width="16.00390625" style="0" hidden="1" customWidth="1"/>
    <col min="35" max="35" width="18.140625" style="0" hidden="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3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1237</v>
      </c>
      <c r="Z2" s="54" t="s">
        <v>1238</v>
      </c>
      <c r="AA2" s="54" t="s">
        <v>1239</v>
      </c>
      <c r="AB2" s="54" t="s">
        <v>1240</v>
      </c>
      <c r="AC2" s="54" t="s">
        <v>1241</v>
      </c>
      <c r="AD2" s="54" t="s">
        <v>1242</v>
      </c>
      <c r="AE2" s="54" t="s">
        <v>1243</v>
      </c>
      <c r="AF2" s="54" t="s">
        <v>1244</v>
      </c>
      <c r="AG2" s="54" t="s">
        <v>1247</v>
      </c>
      <c r="AH2" s="13" t="s">
        <v>1297</v>
      </c>
      <c r="AI2" s="13" t="s">
        <v>1405</v>
      </c>
    </row>
    <row r="3" spans="1:35" ht="15">
      <c r="A3" s="68" t="s">
        <v>807</v>
      </c>
      <c r="B3" s="69" t="s">
        <v>819</v>
      </c>
      <c r="C3" s="69" t="s">
        <v>56</v>
      </c>
      <c r="D3" s="101"/>
      <c r="E3" s="14"/>
      <c r="F3" s="15" t="s">
        <v>1693</v>
      </c>
      <c r="G3" s="64"/>
      <c r="H3" s="64"/>
      <c r="I3" s="102">
        <v>3</v>
      </c>
      <c r="J3" s="51"/>
      <c r="K3" s="49">
        <v>29</v>
      </c>
      <c r="L3" s="49">
        <v>54</v>
      </c>
      <c r="M3" s="49">
        <v>0</v>
      </c>
      <c r="N3" s="49">
        <v>54</v>
      </c>
      <c r="O3" s="49">
        <v>10</v>
      </c>
      <c r="P3" s="50">
        <v>0.2222222222222222</v>
      </c>
      <c r="Q3" s="50">
        <v>0.36363636363636365</v>
      </c>
      <c r="R3" s="49">
        <v>1</v>
      </c>
      <c r="S3" s="49">
        <v>0</v>
      </c>
      <c r="T3" s="49">
        <v>29</v>
      </c>
      <c r="U3" s="49">
        <v>54</v>
      </c>
      <c r="V3" s="49">
        <v>5</v>
      </c>
      <c r="W3" s="50">
        <v>2.406659</v>
      </c>
      <c r="X3" s="50">
        <v>0.054187192118226604</v>
      </c>
      <c r="Y3" s="49">
        <v>7</v>
      </c>
      <c r="Z3" s="50">
        <v>1.0263929618768328</v>
      </c>
      <c r="AA3" s="49">
        <v>17</v>
      </c>
      <c r="AB3" s="50">
        <v>2.4926686217008798</v>
      </c>
      <c r="AC3" s="49">
        <v>0</v>
      </c>
      <c r="AD3" s="50">
        <v>0</v>
      </c>
      <c r="AE3" s="49">
        <v>658</v>
      </c>
      <c r="AF3" s="50">
        <v>96.48093841642229</v>
      </c>
      <c r="AG3" s="49">
        <v>682</v>
      </c>
      <c r="AH3" s="103" t="s">
        <v>1298</v>
      </c>
      <c r="AI3" s="103" t="s">
        <v>1406</v>
      </c>
    </row>
    <row r="4" spans="1:35" ht="15">
      <c r="A4" s="114" t="s">
        <v>808</v>
      </c>
      <c r="B4" s="69" t="s">
        <v>820</v>
      </c>
      <c r="C4" s="69" t="s">
        <v>56</v>
      </c>
      <c r="D4" s="115"/>
      <c r="E4" s="14"/>
      <c r="F4" s="15" t="s">
        <v>1750</v>
      </c>
      <c r="G4" s="64"/>
      <c r="H4" s="64"/>
      <c r="I4" s="102">
        <v>4</v>
      </c>
      <c r="J4" s="116"/>
      <c r="K4" s="49">
        <v>24</v>
      </c>
      <c r="L4" s="49">
        <v>43</v>
      </c>
      <c r="M4" s="49">
        <v>0</v>
      </c>
      <c r="N4" s="49">
        <v>43</v>
      </c>
      <c r="O4" s="49">
        <v>6</v>
      </c>
      <c r="P4" s="50">
        <v>0.23333333333333334</v>
      </c>
      <c r="Q4" s="50">
        <v>0.3783783783783784</v>
      </c>
      <c r="R4" s="49">
        <v>1</v>
      </c>
      <c r="S4" s="49">
        <v>0</v>
      </c>
      <c r="T4" s="49">
        <v>24</v>
      </c>
      <c r="U4" s="49">
        <v>43</v>
      </c>
      <c r="V4" s="49">
        <v>6</v>
      </c>
      <c r="W4" s="50">
        <v>2.711806</v>
      </c>
      <c r="X4" s="50">
        <v>0.06702898550724638</v>
      </c>
      <c r="Y4" s="49">
        <v>6</v>
      </c>
      <c r="Z4" s="50">
        <v>2.4</v>
      </c>
      <c r="AA4" s="49">
        <v>3</v>
      </c>
      <c r="AB4" s="50">
        <v>1.2</v>
      </c>
      <c r="AC4" s="49">
        <v>0</v>
      </c>
      <c r="AD4" s="50">
        <v>0</v>
      </c>
      <c r="AE4" s="49">
        <v>241</v>
      </c>
      <c r="AF4" s="50">
        <v>96.4</v>
      </c>
      <c r="AG4" s="49">
        <v>250</v>
      </c>
      <c r="AH4" s="103" t="s">
        <v>1721</v>
      </c>
      <c r="AI4" s="103" t="s">
        <v>1407</v>
      </c>
    </row>
    <row r="5" spans="1:35" ht="15">
      <c r="A5" s="114" t="s">
        <v>809</v>
      </c>
      <c r="B5" s="69" t="s">
        <v>821</v>
      </c>
      <c r="C5" s="69" t="s">
        <v>56</v>
      </c>
      <c r="D5" s="115"/>
      <c r="E5" s="14"/>
      <c r="F5" s="15" t="s">
        <v>1694</v>
      </c>
      <c r="G5" s="64"/>
      <c r="H5" s="64"/>
      <c r="I5" s="102">
        <v>5</v>
      </c>
      <c r="J5" s="116"/>
      <c r="K5" s="49">
        <v>20</v>
      </c>
      <c r="L5" s="49">
        <v>27</v>
      </c>
      <c r="M5" s="49">
        <v>0</v>
      </c>
      <c r="N5" s="49">
        <v>27</v>
      </c>
      <c r="O5" s="49">
        <v>4</v>
      </c>
      <c r="P5" s="50">
        <v>0.09523809523809523</v>
      </c>
      <c r="Q5" s="50">
        <v>0.17391304347826086</v>
      </c>
      <c r="R5" s="49">
        <v>1</v>
      </c>
      <c r="S5" s="49">
        <v>0</v>
      </c>
      <c r="T5" s="49">
        <v>20</v>
      </c>
      <c r="U5" s="49">
        <v>27</v>
      </c>
      <c r="V5" s="49">
        <v>14</v>
      </c>
      <c r="W5" s="50">
        <v>5.55</v>
      </c>
      <c r="X5" s="50">
        <v>0.060526315789473685</v>
      </c>
      <c r="Y5" s="49">
        <v>1</v>
      </c>
      <c r="Z5" s="50">
        <v>0.2770083102493075</v>
      </c>
      <c r="AA5" s="49">
        <v>3</v>
      </c>
      <c r="AB5" s="50">
        <v>0.8310249307479224</v>
      </c>
      <c r="AC5" s="49">
        <v>0</v>
      </c>
      <c r="AD5" s="50">
        <v>0</v>
      </c>
      <c r="AE5" s="49">
        <v>357</v>
      </c>
      <c r="AF5" s="50">
        <v>98.89196675900277</v>
      </c>
      <c r="AG5" s="49">
        <v>361</v>
      </c>
      <c r="AH5" s="103" t="s">
        <v>1299</v>
      </c>
      <c r="AI5" s="103" t="s">
        <v>1408</v>
      </c>
    </row>
    <row r="6" spans="1:35" ht="15">
      <c r="A6" s="114" t="s">
        <v>810</v>
      </c>
      <c r="B6" s="69" t="s">
        <v>822</v>
      </c>
      <c r="C6" s="69" t="s">
        <v>56</v>
      </c>
      <c r="D6" s="115"/>
      <c r="E6" s="14"/>
      <c r="F6" s="15" t="s">
        <v>1751</v>
      </c>
      <c r="G6" s="64"/>
      <c r="H6" s="64"/>
      <c r="I6" s="102">
        <v>6</v>
      </c>
      <c r="J6" s="116"/>
      <c r="K6" s="49">
        <v>20</v>
      </c>
      <c r="L6" s="49">
        <v>28</v>
      </c>
      <c r="M6" s="49">
        <v>0</v>
      </c>
      <c r="N6" s="49">
        <v>28</v>
      </c>
      <c r="O6" s="49">
        <v>5</v>
      </c>
      <c r="P6" s="50">
        <v>0</v>
      </c>
      <c r="Q6" s="50">
        <v>0</v>
      </c>
      <c r="R6" s="49">
        <v>1</v>
      </c>
      <c r="S6" s="49">
        <v>0</v>
      </c>
      <c r="T6" s="49">
        <v>20</v>
      </c>
      <c r="U6" s="49">
        <v>28</v>
      </c>
      <c r="V6" s="49">
        <v>8</v>
      </c>
      <c r="W6" s="50">
        <v>3.14</v>
      </c>
      <c r="X6" s="50">
        <v>0.060526315789473685</v>
      </c>
      <c r="Y6" s="49">
        <v>3</v>
      </c>
      <c r="Z6" s="50">
        <v>1.1152416356877324</v>
      </c>
      <c r="AA6" s="49">
        <v>5</v>
      </c>
      <c r="AB6" s="50">
        <v>1.858736059479554</v>
      </c>
      <c r="AC6" s="49">
        <v>0</v>
      </c>
      <c r="AD6" s="50">
        <v>0</v>
      </c>
      <c r="AE6" s="49">
        <v>261</v>
      </c>
      <c r="AF6" s="50">
        <v>97.02602230483271</v>
      </c>
      <c r="AG6" s="49">
        <v>269</v>
      </c>
      <c r="AH6" s="103" t="s">
        <v>1722</v>
      </c>
      <c r="AI6" s="103" t="s">
        <v>1726</v>
      </c>
    </row>
    <row r="7" spans="1:35" ht="15">
      <c r="A7" s="114" t="s">
        <v>811</v>
      </c>
      <c r="B7" s="69" t="s">
        <v>823</v>
      </c>
      <c r="C7" s="69" t="s">
        <v>56</v>
      </c>
      <c r="D7" s="115"/>
      <c r="E7" s="14"/>
      <c r="F7" s="112" t="s">
        <v>1695</v>
      </c>
      <c r="G7" s="64"/>
      <c r="H7" s="64"/>
      <c r="I7" s="102">
        <v>7</v>
      </c>
      <c r="J7" s="116"/>
      <c r="K7" s="49">
        <v>19</v>
      </c>
      <c r="L7" s="49">
        <v>31</v>
      </c>
      <c r="M7" s="49">
        <v>0</v>
      </c>
      <c r="N7" s="49">
        <v>31</v>
      </c>
      <c r="O7" s="49">
        <v>8</v>
      </c>
      <c r="P7" s="50">
        <v>0.045454545454545456</v>
      </c>
      <c r="Q7" s="50">
        <v>0.08695652173913043</v>
      </c>
      <c r="R7" s="49">
        <v>1</v>
      </c>
      <c r="S7" s="49">
        <v>0</v>
      </c>
      <c r="T7" s="49">
        <v>19</v>
      </c>
      <c r="U7" s="49">
        <v>31</v>
      </c>
      <c r="V7" s="49">
        <v>8</v>
      </c>
      <c r="W7" s="50">
        <v>3.396122</v>
      </c>
      <c r="X7" s="50">
        <v>0.06725146198830409</v>
      </c>
      <c r="Y7" s="49">
        <v>8</v>
      </c>
      <c r="Z7" s="50">
        <v>1.7660044150110374</v>
      </c>
      <c r="AA7" s="49">
        <v>1</v>
      </c>
      <c r="AB7" s="50">
        <v>0.22075055187637968</v>
      </c>
      <c r="AC7" s="49">
        <v>0</v>
      </c>
      <c r="AD7" s="50">
        <v>0</v>
      </c>
      <c r="AE7" s="49">
        <v>444</v>
      </c>
      <c r="AF7" s="50">
        <v>98.01324503311258</v>
      </c>
      <c r="AG7" s="49">
        <v>453</v>
      </c>
      <c r="AH7" s="103" t="s">
        <v>1300</v>
      </c>
      <c r="AI7" s="103" t="s">
        <v>1409</v>
      </c>
    </row>
    <row r="8" spans="1:35" ht="15">
      <c r="A8" s="114" t="s">
        <v>812</v>
      </c>
      <c r="B8" s="69" t="s">
        <v>824</v>
      </c>
      <c r="C8" s="69" t="s">
        <v>56</v>
      </c>
      <c r="D8" s="115"/>
      <c r="E8" s="14"/>
      <c r="F8" s="15" t="s">
        <v>1696</v>
      </c>
      <c r="G8" s="64"/>
      <c r="H8" s="64"/>
      <c r="I8" s="102">
        <v>8</v>
      </c>
      <c r="J8" s="116"/>
      <c r="K8" s="49">
        <v>19</v>
      </c>
      <c r="L8" s="49">
        <v>27</v>
      </c>
      <c r="M8" s="49">
        <v>0</v>
      </c>
      <c r="N8" s="49">
        <v>27</v>
      </c>
      <c r="O8" s="49">
        <v>6</v>
      </c>
      <c r="P8" s="50">
        <v>0.16666666666666666</v>
      </c>
      <c r="Q8" s="50">
        <v>0.2857142857142857</v>
      </c>
      <c r="R8" s="49">
        <v>1</v>
      </c>
      <c r="S8" s="49">
        <v>0</v>
      </c>
      <c r="T8" s="49">
        <v>19</v>
      </c>
      <c r="U8" s="49">
        <v>27</v>
      </c>
      <c r="V8" s="49">
        <v>13</v>
      </c>
      <c r="W8" s="50">
        <v>4.853186</v>
      </c>
      <c r="X8" s="50">
        <v>0.06140350877192982</v>
      </c>
      <c r="Y8" s="49">
        <v>0</v>
      </c>
      <c r="Z8" s="50">
        <v>0</v>
      </c>
      <c r="AA8" s="49">
        <v>3</v>
      </c>
      <c r="AB8" s="50">
        <v>1.2345679012345678</v>
      </c>
      <c r="AC8" s="49">
        <v>0</v>
      </c>
      <c r="AD8" s="50">
        <v>0</v>
      </c>
      <c r="AE8" s="49">
        <v>240</v>
      </c>
      <c r="AF8" s="50">
        <v>98.76543209876543</v>
      </c>
      <c r="AG8" s="49">
        <v>243</v>
      </c>
      <c r="AH8" s="103" t="s">
        <v>1301</v>
      </c>
      <c r="AI8" s="103" t="s">
        <v>1410</v>
      </c>
    </row>
    <row r="9" spans="1:35" ht="15">
      <c r="A9" s="114" t="s">
        <v>813</v>
      </c>
      <c r="B9" s="69" t="s">
        <v>825</v>
      </c>
      <c r="C9" s="69" t="s">
        <v>56</v>
      </c>
      <c r="D9" s="115"/>
      <c r="E9" s="14"/>
      <c r="F9" s="15" t="s">
        <v>1697</v>
      </c>
      <c r="G9" s="64"/>
      <c r="H9" s="64"/>
      <c r="I9" s="102">
        <v>9</v>
      </c>
      <c r="J9" s="116"/>
      <c r="K9" s="49">
        <v>16</v>
      </c>
      <c r="L9" s="49">
        <v>27</v>
      </c>
      <c r="M9" s="49">
        <v>0</v>
      </c>
      <c r="N9" s="49">
        <v>27</v>
      </c>
      <c r="O9" s="49">
        <v>6</v>
      </c>
      <c r="P9" s="50">
        <v>0.10526315789473684</v>
      </c>
      <c r="Q9" s="50">
        <v>0.19047619047619047</v>
      </c>
      <c r="R9" s="49">
        <v>1</v>
      </c>
      <c r="S9" s="49">
        <v>0</v>
      </c>
      <c r="T9" s="49">
        <v>16</v>
      </c>
      <c r="U9" s="49">
        <v>27</v>
      </c>
      <c r="V9" s="49">
        <v>6</v>
      </c>
      <c r="W9" s="50">
        <v>2.867188</v>
      </c>
      <c r="X9" s="50">
        <v>0.0875</v>
      </c>
      <c r="Y9" s="49">
        <v>0</v>
      </c>
      <c r="Z9" s="50">
        <v>0</v>
      </c>
      <c r="AA9" s="49">
        <v>3</v>
      </c>
      <c r="AB9" s="50">
        <v>1.2987012987012987</v>
      </c>
      <c r="AC9" s="49">
        <v>0</v>
      </c>
      <c r="AD9" s="50">
        <v>0</v>
      </c>
      <c r="AE9" s="49">
        <v>228</v>
      </c>
      <c r="AF9" s="50">
        <v>98.7012987012987</v>
      </c>
      <c r="AG9" s="49">
        <v>231</v>
      </c>
      <c r="AH9" s="103" t="s">
        <v>1302</v>
      </c>
      <c r="AI9" s="103" t="s">
        <v>1411</v>
      </c>
    </row>
    <row r="10" spans="1:35" ht="14.25" customHeight="1">
      <c r="A10" s="114" t="s">
        <v>814</v>
      </c>
      <c r="B10" s="69" t="s">
        <v>826</v>
      </c>
      <c r="C10" s="69" t="s">
        <v>56</v>
      </c>
      <c r="D10" s="115"/>
      <c r="E10" s="14"/>
      <c r="F10" s="15" t="s">
        <v>1752</v>
      </c>
      <c r="G10" s="64"/>
      <c r="H10" s="64"/>
      <c r="I10" s="102">
        <v>10</v>
      </c>
      <c r="J10" s="116"/>
      <c r="K10" s="49">
        <v>16</v>
      </c>
      <c r="L10" s="49">
        <v>21</v>
      </c>
      <c r="M10" s="49">
        <v>0</v>
      </c>
      <c r="N10" s="49">
        <v>21</v>
      </c>
      <c r="O10" s="49">
        <v>6</v>
      </c>
      <c r="P10" s="50">
        <v>0</v>
      </c>
      <c r="Q10" s="50">
        <v>0</v>
      </c>
      <c r="R10" s="49">
        <v>1</v>
      </c>
      <c r="S10" s="49">
        <v>0</v>
      </c>
      <c r="T10" s="49">
        <v>16</v>
      </c>
      <c r="U10" s="49">
        <v>21</v>
      </c>
      <c r="V10" s="49">
        <v>11</v>
      </c>
      <c r="W10" s="50">
        <v>4.1875</v>
      </c>
      <c r="X10" s="50">
        <v>0.0625</v>
      </c>
      <c r="Y10" s="49">
        <v>0</v>
      </c>
      <c r="Z10" s="50">
        <v>0</v>
      </c>
      <c r="AA10" s="49">
        <v>4</v>
      </c>
      <c r="AB10" s="50">
        <v>2.1052631578947367</v>
      </c>
      <c r="AC10" s="49">
        <v>0</v>
      </c>
      <c r="AD10" s="50">
        <v>0</v>
      </c>
      <c r="AE10" s="49">
        <v>186</v>
      </c>
      <c r="AF10" s="50">
        <v>97.89473684210526</v>
      </c>
      <c r="AG10" s="49">
        <v>190</v>
      </c>
      <c r="AH10" s="103" t="s">
        <v>1723</v>
      </c>
      <c r="AI10" s="103" t="s">
        <v>1412</v>
      </c>
    </row>
    <row r="11" spans="1:35" ht="15">
      <c r="A11" s="114" t="s">
        <v>815</v>
      </c>
      <c r="B11" s="69" t="s">
        <v>827</v>
      </c>
      <c r="C11" s="69" t="s">
        <v>56</v>
      </c>
      <c r="D11" s="115"/>
      <c r="E11" s="14"/>
      <c r="F11" s="15" t="s">
        <v>1698</v>
      </c>
      <c r="G11" s="64"/>
      <c r="H11" s="64"/>
      <c r="I11" s="102">
        <v>11</v>
      </c>
      <c r="J11" s="116"/>
      <c r="K11" s="49">
        <v>13</v>
      </c>
      <c r="L11" s="49">
        <v>13</v>
      </c>
      <c r="M11" s="49">
        <v>0</v>
      </c>
      <c r="N11" s="49">
        <v>13</v>
      </c>
      <c r="O11" s="49">
        <v>1</v>
      </c>
      <c r="P11" s="50">
        <v>0</v>
      </c>
      <c r="Q11" s="50">
        <v>0</v>
      </c>
      <c r="R11" s="49">
        <v>1</v>
      </c>
      <c r="S11" s="49">
        <v>0</v>
      </c>
      <c r="T11" s="49">
        <v>13</v>
      </c>
      <c r="U11" s="49">
        <v>13</v>
      </c>
      <c r="V11" s="49">
        <v>10</v>
      </c>
      <c r="W11" s="50">
        <v>3.597633</v>
      </c>
      <c r="X11" s="50">
        <v>0.07692307692307693</v>
      </c>
      <c r="Y11" s="49">
        <v>0</v>
      </c>
      <c r="Z11" s="50">
        <v>0</v>
      </c>
      <c r="AA11" s="49">
        <v>4</v>
      </c>
      <c r="AB11" s="50">
        <v>3.7383177570093458</v>
      </c>
      <c r="AC11" s="49">
        <v>0</v>
      </c>
      <c r="AD11" s="50">
        <v>0</v>
      </c>
      <c r="AE11" s="49">
        <v>103</v>
      </c>
      <c r="AF11" s="50">
        <v>96.26168224299066</v>
      </c>
      <c r="AG11" s="49">
        <v>107</v>
      </c>
      <c r="AH11" s="103" t="s">
        <v>1303</v>
      </c>
      <c r="AI11" s="103" t="s">
        <v>1413</v>
      </c>
    </row>
    <row r="12" spans="1:35" ht="15">
      <c r="A12" s="114" t="s">
        <v>816</v>
      </c>
      <c r="B12" s="69" t="s">
        <v>828</v>
      </c>
      <c r="C12" s="69" t="s">
        <v>56</v>
      </c>
      <c r="D12" s="115"/>
      <c r="E12" s="14"/>
      <c r="F12" s="15" t="s">
        <v>1699</v>
      </c>
      <c r="G12" s="64"/>
      <c r="H12" s="64"/>
      <c r="I12" s="102">
        <v>12</v>
      </c>
      <c r="J12" s="116"/>
      <c r="K12" s="49">
        <v>12</v>
      </c>
      <c r="L12" s="49">
        <v>17</v>
      </c>
      <c r="M12" s="49">
        <v>0</v>
      </c>
      <c r="N12" s="49">
        <v>17</v>
      </c>
      <c r="O12" s="49">
        <v>4</v>
      </c>
      <c r="P12" s="50">
        <v>0.08333333333333333</v>
      </c>
      <c r="Q12" s="50">
        <v>0.15384615384615385</v>
      </c>
      <c r="R12" s="49">
        <v>1</v>
      </c>
      <c r="S12" s="49">
        <v>0</v>
      </c>
      <c r="T12" s="49">
        <v>12</v>
      </c>
      <c r="U12" s="49">
        <v>17</v>
      </c>
      <c r="V12" s="49">
        <v>4</v>
      </c>
      <c r="W12" s="50">
        <v>2.277778</v>
      </c>
      <c r="X12" s="50">
        <v>0.09848484848484848</v>
      </c>
      <c r="Y12" s="49">
        <v>6</v>
      </c>
      <c r="Z12" s="50">
        <v>3.9473684210526314</v>
      </c>
      <c r="AA12" s="49">
        <v>5</v>
      </c>
      <c r="AB12" s="50">
        <v>3.289473684210526</v>
      </c>
      <c r="AC12" s="49">
        <v>0</v>
      </c>
      <c r="AD12" s="50">
        <v>0</v>
      </c>
      <c r="AE12" s="49">
        <v>141</v>
      </c>
      <c r="AF12" s="50">
        <v>92.76315789473684</v>
      </c>
      <c r="AG12" s="49">
        <v>152</v>
      </c>
      <c r="AH12" s="103" t="s">
        <v>1304</v>
      </c>
      <c r="AI12" s="103" t="s">
        <v>1414</v>
      </c>
    </row>
    <row r="13" spans="1:35" ht="15">
      <c r="A13" s="114" t="s">
        <v>817</v>
      </c>
      <c r="B13" s="69" t="s">
        <v>829</v>
      </c>
      <c r="C13" s="69" t="s">
        <v>56</v>
      </c>
      <c r="D13" s="115"/>
      <c r="E13" s="14"/>
      <c r="F13" s="15" t="s">
        <v>1700</v>
      </c>
      <c r="G13" s="64"/>
      <c r="H13" s="64"/>
      <c r="I13" s="102">
        <v>13</v>
      </c>
      <c r="J13" s="116"/>
      <c r="K13" s="49">
        <v>10</v>
      </c>
      <c r="L13" s="49">
        <v>15</v>
      </c>
      <c r="M13" s="49">
        <v>0</v>
      </c>
      <c r="N13" s="49">
        <v>15</v>
      </c>
      <c r="O13" s="49">
        <v>4</v>
      </c>
      <c r="P13" s="50">
        <v>0</v>
      </c>
      <c r="Q13" s="50">
        <v>0</v>
      </c>
      <c r="R13" s="49">
        <v>1</v>
      </c>
      <c r="S13" s="49">
        <v>0</v>
      </c>
      <c r="T13" s="49">
        <v>10</v>
      </c>
      <c r="U13" s="49">
        <v>15</v>
      </c>
      <c r="V13" s="49">
        <v>5</v>
      </c>
      <c r="W13" s="50">
        <v>2.2</v>
      </c>
      <c r="X13" s="50">
        <v>0.12222222222222222</v>
      </c>
      <c r="Y13" s="49">
        <v>3</v>
      </c>
      <c r="Z13" s="50">
        <v>3.9473684210526314</v>
      </c>
      <c r="AA13" s="49">
        <v>2</v>
      </c>
      <c r="AB13" s="50">
        <v>2.6315789473684212</v>
      </c>
      <c r="AC13" s="49">
        <v>0</v>
      </c>
      <c r="AD13" s="50">
        <v>0</v>
      </c>
      <c r="AE13" s="49">
        <v>71</v>
      </c>
      <c r="AF13" s="50">
        <v>93.42105263157895</v>
      </c>
      <c r="AG13" s="49">
        <v>76</v>
      </c>
      <c r="AH13" s="103" t="s">
        <v>1305</v>
      </c>
      <c r="AI13" s="103" t="s">
        <v>1415</v>
      </c>
    </row>
    <row r="14" spans="1:35" ht="15">
      <c r="A14" s="114" t="s">
        <v>818</v>
      </c>
      <c r="B14" s="69" t="s">
        <v>830</v>
      </c>
      <c r="C14" s="69" t="s">
        <v>56</v>
      </c>
      <c r="D14" s="117"/>
      <c r="E14" s="118"/>
      <c r="F14" s="119" t="s">
        <v>1701</v>
      </c>
      <c r="G14" s="120"/>
      <c r="H14" s="120"/>
      <c r="I14" s="121">
        <v>14</v>
      </c>
      <c r="J14" s="122"/>
      <c r="K14" s="49">
        <v>6</v>
      </c>
      <c r="L14" s="49">
        <v>6</v>
      </c>
      <c r="M14" s="49">
        <v>0</v>
      </c>
      <c r="N14" s="49">
        <v>6</v>
      </c>
      <c r="O14" s="49">
        <v>1</v>
      </c>
      <c r="P14" s="50">
        <v>0</v>
      </c>
      <c r="Q14" s="50">
        <v>0</v>
      </c>
      <c r="R14" s="49">
        <v>1</v>
      </c>
      <c r="S14" s="49">
        <v>0</v>
      </c>
      <c r="T14" s="49">
        <v>6</v>
      </c>
      <c r="U14" s="49">
        <v>6</v>
      </c>
      <c r="V14" s="49">
        <v>5</v>
      </c>
      <c r="W14" s="50">
        <v>1.944444</v>
      </c>
      <c r="X14" s="50">
        <v>0.16666666666666666</v>
      </c>
      <c r="Y14" s="49">
        <v>2</v>
      </c>
      <c r="Z14" s="50">
        <v>5.405405405405405</v>
      </c>
      <c r="AA14" s="49">
        <v>1</v>
      </c>
      <c r="AB14" s="50">
        <v>2.7027027027027026</v>
      </c>
      <c r="AC14" s="49">
        <v>0</v>
      </c>
      <c r="AD14" s="50">
        <v>0</v>
      </c>
      <c r="AE14" s="49">
        <v>34</v>
      </c>
      <c r="AF14" s="50">
        <v>91.89189189189189</v>
      </c>
      <c r="AG14" s="49">
        <v>37</v>
      </c>
      <c r="AH14" s="103" t="s">
        <v>1306</v>
      </c>
      <c r="AI14" s="103" t="s">
        <v>1416</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0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2" t="s">
        <v>807</v>
      </c>
      <c r="B2" s="103" t="s">
        <v>328</v>
      </c>
      <c r="C2" s="82">
        <f>VLOOKUP(GroupVertices[[#This Row],[Vertex]],Vertices[],MATCH("ID",Vertices[[#Headers],[Vertex]:[Top Word Pairs in Edit Comment by Salience]],0),FALSE)</f>
        <v>17</v>
      </c>
    </row>
    <row r="3" spans="1:3" ht="15">
      <c r="A3" s="83" t="s">
        <v>807</v>
      </c>
      <c r="B3" s="103" t="s">
        <v>462</v>
      </c>
      <c r="C3" s="82">
        <f>VLOOKUP(GroupVertices[[#This Row],[Vertex]],Vertices[],MATCH("ID",Vertices[[#Headers],[Vertex]:[Top Word Pairs in Edit Comment by Salience]],0),FALSE)</f>
        <v>152</v>
      </c>
    </row>
    <row r="4" spans="1:3" ht="15">
      <c r="A4" s="83" t="s">
        <v>807</v>
      </c>
      <c r="B4" s="103" t="s">
        <v>427</v>
      </c>
      <c r="C4" s="82">
        <f>VLOOKUP(GroupVertices[[#This Row],[Vertex]],Vertices[],MATCH("ID",Vertices[[#Headers],[Vertex]:[Top Word Pairs in Edit Comment by Salience]],0),FALSE)</f>
        <v>116</v>
      </c>
    </row>
    <row r="5" spans="1:3" ht="15">
      <c r="A5" s="83" t="s">
        <v>807</v>
      </c>
      <c r="B5" s="103" t="s">
        <v>426</v>
      </c>
      <c r="C5" s="82">
        <f>VLOOKUP(GroupVertices[[#This Row],[Vertex]],Vertices[],MATCH("ID",Vertices[[#Headers],[Vertex]:[Top Word Pairs in Edit Comment by Salience]],0),FALSE)</f>
        <v>115</v>
      </c>
    </row>
    <row r="6" spans="1:3" ht="15">
      <c r="A6" s="83" t="s">
        <v>807</v>
      </c>
      <c r="B6" s="103" t="s">
        <v>425</v>
      </c>
      <c r="C6" s="82">
        <f>VLOOKUP(GroupVertices[[#This Row],[Vertex]],Vertices[],MATCH("ID",Vertices[[#Headers],[Vertex]:[Top Word Pairs in Edit Comment by Salience]],0),FALSE)</f>
        <v>114</v>
      </c>
    </row>
    <row r="7" spans="1:3" ht="15">
      <c r="A7" s="83" t="s">
        <v>807</v>
      </c>
      <c r="B7" s="103" t="s">
        <v>424</v>
      </c>
      <c r="C7" s="82">
        <f>VLOOKUP(GroupVertices[[#This Row],[Vertex]],Vertices[],MATCH("ID",Vertices[[#Headers],[Vertex]:[Top Word Pairs in Edit Comment by Salience]],0),FALSE)</f>
        <v>113</v>
      </c>
    </row>
    <row r="8" spans="1:3" ht="15">
      <c r="A8" s="83" t="s">
        <v>807</v>
      </c>
      <c r="B8" s="103" t="s">
        <v>423</v>
      </c>
      <c r="C8" s="82">
        <f>VLOOKUP(GroupVertices[[#This Row],[Vertex]],Vertices[],MATCH("ID",Vertices[[#Headers],[Vertex]:[Top Word Pairs in Edit Comment by Salience]],0),FALSE)</f>
        <v>112</v>
      </c>
    </row>
    <row r="9" spans="1:3" ht="15">
      <c r="A9" s="83" t="s">
        <v>807</v>
      </c>
      <c r="B9" s="103" t="s">
        <v>414</v>
      </c>
      <c r="C9" s="82">
        <f>VLOOKUP(GroupVertices[[#This Row],[Vertex]],Vertices[],MATCH("ID",Vertices[[#Headers],[Vertex]:[Top Word Pairs in Edit Comment by Salience]],0),FALSE)</f>
        <v>103</v>
      </c>
    </row>
    <row r="10" spans="1:3" ht="15">
      <c r="A10" s="83" t="s">
        <v>807</v>
      </c>
      <c r="B10" s="103" t="s">
        <v>406</v>
      </c>
      <c r="C10" s="82">
        <f>VLOOKUP(GroupVertices[[#This Row],[Vertex]],Vertices[],MATCH("ID",Vertices[[#Headers],[Vertex]:[Top Word Pairs in Edit Comment by Salience]],0),FALSE)</f>
        <v>88</v>
      </c>
    </row>
    <row r="11" spans="1:3" ht="15">
      <c r="A11" s="83" t="s">
        <v>807</v>
      </c>
      <c r="B11" s="103" t="s">
        <v>405</v>
      </c>
      <c r="C11" s="82">
        <f>VLOOKUP(GroupVertices[[#This Row],[Vertex]],Vertices[],MATCH("ID",Vertices[[#Headers],[Vertex]:[Top Word Pairs in Edit Comment by Salience]],0),FALSE)</f>
        <v>95</v>
      </c>
    </row>
    <row r="12" spans="1:3" ht="15">
      <c r="A12" s="83" t="s">
        <v>807</v>
      </c>
      <c r="B12" s="103" t="s">
        <v>404</v>
      </c>
      <c r="C12" s="82">
        <f>VLOOKUP(GroupVertices[[#This Row],[Vertex]],Vertices[],MATCH("ID",Vertices[[#Headers],[Vertex]:[Top Word Pairs in Edit Comment by Salience]],0),FALSE)</f>
        <v>94</v>
      </c>
    </row>
    <row r="13" spans="1:3" ht="15">
      <c r="A13" s="83" t="s">
        <v>807</v>
      </c>
      <c r="B13" s="103" t="s">
        <v>403</v>
      </c>
      <c r="C13" s="82">
        <f>VLOOKUP(GroupVertices[[#This Row],[Vertex]],Vertices[],MATCH("ID",Vertices[[#Headers],[Vertex]:[Top Word Pairs in Edit Comment by Salience]],0),FALSE)</f>
        <v>93</v>
      </c>
    </row>
    <row r="14" spans="1:3" ht="15">
      <c r="A14" s="83" t="s">
        <v>807</v>
      </c>
      <c r="B14" s="103" t="s">
        <v>402</v>
      </c>
      <c r="C14" s="82">
        <f>VLOOKUP(GroupVertices[[#This Row],[Vertex]],Vertices[],MATCH("ID",Vertices[[#Headers],[Vertex]:[Top Word Pairs in Edit Comment by Salience]],0),FALSE)</f>
        <v>92</v>
      </c>
    </row>
    <row r="15" spans="1:3" ht="15">
      <c r="A15" s="83" t="s">
        <v>807</v>
      </c>
      <c r="B15" s="103" t="s">
        <v>401</v>
      </c>
      <c r="C15" s="82">
        <f>VLOOKUP(GroupVertices[[#This Row],[Vertex]],Vertices[],MATCH("ID",Vertices[[#Headers],[Vertex]:[Top Word Pairs in Edit Comment by Salience]],0),FALSE)</f>
        <v>91</v>
      </c>
    </row>
    <row r="16" spans="1:3" ht="15">
      <c r="A16" s="83" t="s">
        <v>807</v>
      </c>
      <c r="B16" s="103" t="s">
        <v>400</v>
      </c>
      <c r="C16" s="82">
        <f>VLOOKUP(GroupVertices[[#This Row],[Vertex]],Vertices[],MATCH("ID",Vertices[[#Headers],[Vertex]:[Top Word Pairs in Edit Comment by Salience]],0),FALSE)</f>
        <v>90</v>
      </c>
    </row>
    <row r="17" spans="1:3" ht="15">
      <c r="A17" s="83" t="s">
        <v>807</v>
      </c>
      <c r="B17" s="103" t="s">
        <v>399</v>
      </c>
      <c r="C17" s="82">
        <f>VLOOKUP(GroupVertices[[#This Row],[Vertex]],Vertices[],MATCH("ID",Vertices[[#Headers],[Vertex]:[Top Word Pairs in Edit Comment by Salience]],0),FALSE)</f>
        <v>89</v>
      </c>
    </row>
    <row r="18" spans="1:3" ht="15">
      <c r="A18" s="83" t="s">
        <v>807</v>
      </c>
      <c r="B18" s="103" t="s">
        <v>398</v>
      </c>
      <c r="C18" s="82">
        <f>VLOOKUP(GroupVertices[[#This Row],[Vertex]],Vertices[],MATCH("ID",Vertices[[#Headers],[Vertex]:[Top Word Pairs in Edit Comment by Salience]],0),FALSE)</f>
        <v>87</v>
      </c>
    </row>
    <row r="19" spans="1:3" ht="15">
      <c r="A19" s="83" t="s">
        <v>807</v>
      </c>
      <c r="B19" s="103" t="s">
        <v>381</v>
      </c>
      <c r="C19" s="82">
        <f>VLOOKUP(GroupVertices[[#This Row],[Vertex]],Vertices[],MATCH("ID",Vertices[[#Headers],[Vertex]:[Top Word Pairs in Edit Comment by Salience]],0),FALSE)</f>
        <v>70</v>
      </c>
    </row>
    <row r="20" spans="1:3" ht="15">
      <c r="A20" s="83" t="s">
        <v>807</v>
      </c>
      <c r="B20" s="103" t="s">
        <v>380</v>
      </c>
      <c r="C20" s="82">
        <f>VLOOKUP(GroupVertices[[#This Row],[Vertex]],Vertices[],MATCH("ID",Vertices[[#Headers],[Vertex]:[Top Word Pairs in Edit Comment by Salience]],0),FALSE)</f>
        <v>69</v>
      </c>
    </row>
    <row r="21" spans="1:3" ht="15">
      <c r="A21" s="83" t="s">
        <v>807</v>
      </c>
      <c r="B21" s="103" t="s">
        <v>379</v>
      </c>
      <c r="C21" s="82">
        <f>VLOOKUP(GroupVertices[[#This Row],[Vertex]],Vertices[],MATCH("ID",Vertices[[#Headers],[Vertex]:[Top Word Pairs in Edit Comment by Salience]],0),FALSE)</f>
        <v>68</v>
      </c>
    </row>
    <row r="22" spans="1:3" ht="15">
      <c r="A22" s="83" t="s">
        <v>807</v>
      </c>
      <c r="B22" s="103" t="s">
        <v>377</v>
      </c>
      <c r="C22" s="82">
        <f>VLOOKUP(GroupVertices[[#This Row],[Vertex]],Vertices[],MATCH("ID",Vertices[[#Headers],[Vertex]:[Top Word Pairs in Edit Comment by Salience]],0),FALSE)</f>
        <v>66</v>
      </c>
    </row>
    <row r="23" spans="1:3" ht="15">
      <c r="A23" s="83" t="s">
        <v>807</v>
      </c>
      <c r="B23" s="103" t="s">
        <v>363</v>
      </c>
      <c r="C23" s="82">
        <f>VLOOKUP(GroupVertices[[#This Row],[Vertex]],Vertices[],MATCH("ID",Vertices[[#Headers],[Vertex]:[Top Word Pairs in Edit Comment by Salience]],0),FALSE)</f>
        <v>52</v>
      </c>
    </row>
    <row r="24" spans="1:3" ht="15">
      <c r="A24" s="83" t="s">
        <v>807</v>
      </c>
      <c r="B24" s="103" t="s">
        <v>362</v>
      </c>
      <c r="C24" s="82">
        <f>VLOOKUP(GroupVertices[[#This Row],[Vertex]],Vertices[],MATCH("ID",Vertices[[#Headers],[Vertex]:[Top Word Pairs in Edit Comment by Salience]],0),FALSE)</f>
        <v>51</v>
      </c>
    </row>
    <row r="25" spans="1:3" ht="15">
      <c r="A25" s="83" t="s">
        <v>807</v>
      </c>
      <c r="B25" s="103" t="s">
        <v>355</v>
      </c>
      <c r="C25" s="82">
        <f>VLOOKUP(GroupVertices[[#This Row],[Vertex]],Vertices[],MATCH("ID",Vertices[[#Headers],[Vertex]:[Top Word Pairs in Edit Comment by Salience]],0),FALSE)</f>
        <v>44</v>
      </c>
    </row>
    <row r="26" spans="1:3" ht="15">
      <c r="A26" s="83" t="s">
        <v>807</v>
      </c>
      <c r="B26" s="103" t="s">
        <v>360</v>
      </c>
      <c r="C26" s="82">
        <f>VLOOKUP(GroupVertices[[#This Row],[Vertex]],Vertices[],MATCH("ID",Vertices[[#Headers],[Vertex]:[Top Word Pairs in Edit Comment by Salience]],0),FALSE)</f>
        <v>49</v>
      </c>
    </row>
    <row r="27" spans="1:3" ht="15">
      <c r="A27" s="83" t="s">
        <v>807</v>
      </c>
      <c r="B27" s="103" t="s">
        <v>359</v>
      </c>
      <c r="C27" s="82">
        <f>VLOOKUP(GroupVertices[[#This Row],[Vertex]],Vertices[],MATCH("ID",Vertices[[#Headers],[Vertex]:[Top Word Pairs in Edit Comment by Salience]],0),FALSE)</f>
        <v>48</v>
      </c>
    </row>
    <row r="28" spans="1:3" ht="15">
      <c r="A28" s="83" t="s">
        <v>807</v>
      </c>
      <c r="B28" s="103" t="s">
        <v>358</v>
      </c>
      <c r="C28" s="82">
        <f>VLOOKUP(GroupVertices[[#This Row],[Vertex]],Vertices[],MATCH("ID",Vertices[[#Headers],[Vertex]:[Top Word Pairs in Edit Comment by Salience]],0),FALSE)</f>
        <v>47</v>
      </c>
    </row>
    <row r="29" spans="1:3" ht="15">
      <c r="A29" s="83" t="s">
        <v>807</v>
      </c>
      <c r="B29" s="103" t="s">
        <v>357</v>
      </c>
      <c r="C29" s="82">
        <f>VLOOKUP(GroupVertices[[#This Row],[Vertex]],Vertices[],MATCH("ID",Vertices[[#Headers],[Vertex]:[Top Word Pairs in Edit Comment by Salience]],0),FALSE)</f>
        <v>46</v>
      </c>
    </row>
    <row r="30" spans="1:3" ht="15">
      <c r="A30" s="83" t="s">
        <v>807</v>
      </c>
      <c r="B30" s="103" t="s">
        <v>356</v>
      </c>
      <c r="C30" s="82">
        <f>VLOOKUP(GroupVertices[[#This Row],[Vertex]],Vertices[],MATCH("ID",Vertices[[#Headers],[Vertex]:[Top Word Pairs in Edit Comment by Salience]],0),FALSE)</f>
        <v>45</v>
      </c>
    </row>
    <row r="31" spans="1:3" ht="15">
      <c r="A31" s="83" t="s">
        <v>808</v>
      </c>
      <c r="B31" s="103" t="s">
        <v>329</v>
      </c>
      <c r="C31" s="82">
        <f>VLOOKUP(GroupVertices[[#This Row],[Vertex]],Vertices[],MATCH("ID",Vertices[[#Headers],[Vertex]:[Top Word Pairs in Edit Comment by Salience]],0),FALSE)</f>
        <v>18</v>
      </c>
    </row>
    <row r="32" spans="1:3" ht="15">
      <c r="A32" s="83" t="s">
        <v>808</v>
      </c>
      <c r="B32" s="103" t="s">
        <v>334</v>
      </c>
      <c r="C32" s="82">
        <f>VLOOKUP(GroupVertices[[#This Row],[Vertex]],Vertices[],MATCH("ID",Vertices[[#Headers],[Vertex]:[Top Word Pairs in Edit Comment by Salience]],0),FALSE)</f>
        <v>23</v>
      </c>
    </row>
    <row r="33" spans="1:3" ht="15">
      <c r="A33" s="83" t="s">
        <v>808</v>
      </c>
      <c r="B33" s="103" t="s">
        <v>338</v>
      </c>
      <c r="C33" s="82">
        <f>VLOOKUP(GroupVertices[[#This Row],[Vertex]],Vertices[],MATCH("ID",Vertices[[#Headers],[Vertex]:[Top Word Pairs in Edit Comment by Salience]],0),FALSE)</f>
        <v>27</v>
      </c>
    </row>
    <row r="34" spans="1:3" ht="15">
      <c r="A34" s="83" t="s">
        <v>808</v>
      </c>
      <c r="B34" s="103" t="s">
        <v>336</v>
      </c>
      <c r="C34" s="82">
        <f>VLOOKUP(GroupVertices[[#This Row],[Vertex]],Vertices[],MATCH("ID",Vertices[[#Headers],[Vertex]:[Top Word Pairs in Edit Comment by Salience]],0),FALSE)</f>
        <v>25</v>
      </c>
    </row>
    <row r="35" spans="1:3" ht="15">
      <c r="A35" s="83" t="s">
        <v>808</v>
      </c>
      <c r="B35" s="103" t="s">
        <v>337</v>
      </c>
      <c r="C35" s="82">
        <f>VLOOKUP(GroupVertices[[#This Row],[Vertex]],Vertices[],MATCH("ID",Vertices[[#Headers],[Vertex]:[Top Word Pairs in Edit Comment by Salience]],0),FALSE)</f>
        <v>26</v>
      </c>
    </row>
    <row r="36" spans="1:3" ht="15">
      <c r="A36" s="83" t="s">
        <v>808</v>
      </c>
      <c r="B36" s="103" t="s">
        <v>335</v>
      </c>
      <c r="C36" s="82">
        <f>VLOOKUP(GroupVertices[[#This Row],[Vertex]],Vertices[],MATCH("ID",Vertices[[#Headers],[Vertex]:[Top Word Pairs in Edit Comment by Salience]],0),FALSE)</f>
        <v>24</v>
      </c>
    </row>
    <row r="37" spans="1:3" ht="15">
      <c r="A37" s="83" t="s">
        <v>808</v>
      </c>
      <c r="B37" s="103" t="s">
        <v>333</v>
      </c>
      <c r="C37" s="82">
        <f>VLOOKUP(GroupVertices[[#This Row],[Vertex]],Vertices[],MATCH("ID",Vertices[[#Headers],[Vertex]:[Top Word Pairs in Edit Comment by Salience]],0),FALSE)</f>
        <v>22</v>
      </c>
    </row>
    <row r="38" spans="1:3" ht="15">
      <c r="A38" s="83" t="s">
        <v>808</v>
      </c>
      <c r="B38" s="103" t="s">
        <v>330</v>
      </c>
      <c r="C38" s="82">
        <f>VLOOKUP(GroupVertices[[#This Row],[Vertex]],Vertices[],MATCH("ID",Vertices[[#Headers],[Vertex]:[Top Word Pairs in Edit Comment by Salience]],0),FALSE)</f>
        <v>19</v>
      </c>
    </row>
    <row r="39" spans="1:3" ht="15">
      <c r="A39" s="83" t="s">
        <v>808</v>
      </c>
      <c r="B39" s="103" t="s">
        <v>332</v>
      </c>
      <c r="C39" s="82">
        <f>VLOOKUP(GroupVertices[[#This Row],[Vertex]],Vertices[],MATCH("ID",Vertices[[#Headers],[Vertex]:[Top Word Pairs in Edit Comment by Salience]],0),FALSE)</f>
        <v>21</v>
      </c>
    </row>
    <row r="40" spans="1:3" ht="15">
      <c r="A40" s="83" t="s">
        <v>808</v>
      </c>
      <c r="B40" s="103" t="s">
        <v>331</v>
      </c>
      <c r="C40" s="82">
        <f>VLOOKUP(GroupVertices[[#This Row],[Vertex]],Vertices[],MATCH("ID",Vertices[[#Headers],[Vertex]:[Top Word Pairs in Edit Comment by Salience]],0),FALSE)</f>
        <v>20</v>
      </c>
    </row>
    <row r="41" spans="1:3" ht="15">
      <c r="A41" s="83" t="s">
        <v>808</v>
      </c>
      <c r="B41" s="103" t="s">
        <v>316</v>
      </c>
      <c r="C41" s="82">
        <f>VLOOKUP(GroupVertices[[#This Row],[Vertex]],Vertices[],MATCH("ID",Vertices[[#Headers],[Vertex]:[Top Word Pairs in Edit Comment by Salience]],0),FALSE)</f>
        <v>5</v>
      </c>
    </row>
    <row r="42" spans="1:3" ht="15">
      <c r="A42" s="83" t="s">
        <v>808</v>
      </c>
      <c r="B42" s="103" t="s">
        <v>327</v>
      </c>
      <c r="C42" s="82">
        <f>VLOOKUP(GroupVertices[[#This Row],[Vertex]],Vertices[],MATCH("ID",Vertices[[#Headers],[Vertex]:[Top Word Pairs in Edit Comment by Salience]],0),FALSE)</f>
        <v>16</v>
      </c>
    </row>
    <row r="43" spans="1:3" ht="15">
      <c r="A43" s="83" t="s">
        <v>808</v>
      </c>
      <c r="B43" s="103" t="s">
        <v>326</v>
      </c>
      <c r="C43" s="82">
        <f>VLOOKUP(GroupVertices[[#This Row],[Vertex]],Vertices[],MATCH("ID",Vertices[[#Headers],[Vertex]:[Top Word Pairs in Edit Comment by Salience]],0),FALSE)</f>
        <v>15</v>
      </c>
    </row>
    <row r="44" spans="1:3" ht="15">
      <c r="A44" s="83" t="s">
        <v>808</v>
      </c>
      <c r="B44" s="103" t="s">
        <v>325</v>
      </c>
      <c r="C44" s="82">
        <f>VLOOKUP(GroupVertices[[#This Row],[Vertex]],Vertices[],MATCH("ID",Vertices[[#Headers],[Vertex]:[Top Word Pairs in Edit Comment by Salience]],0),FALSE)</f>
        <v>14</v>
      </c>
    </row>
    <row r="45" spans="1:3" ht="15">
      <c r="A45" s="83" t="s">
        <v>808</v>
      </c>
      <c r="B45" s="103" t="s">
        <v>324</v>
      </c>
      <c r="C45" s="82">
        <f>VLOOKUP(GroupVertices[[#This Row],[Vertex]],Vertices[],MATCH("ID",Vertices[[#Headers],[Vertex]:[Top Word Pairs in Edit Comment by Salience]],0),FALSE)</f>
        <v>13</v>
      </c>
    </row>
    <row r="46" spans="1:3" ht="15">
      <c r="A46" s="83" t="s">
        <v>808</v>
      </c>
      <c r="B46" s="103" t="s">
        <v>323</v>
      </c>
      <c r="C46" s="82">
        <f>VLOOKUP(GroupVertices[[#This Row],[Vertex]],Vertices[],MATCH("ID",Vertices[[#Headers],[Vertex]:[Top Word Pairs in Edit Comment by Salience]],0),FALSE)</f>
        <v>12</v>
      </c>
    </row>
    <row r="47" spans="1:3" ht="15">
      <c r="A47" s="83" t="s">
        <v>808</v>
      </c>
      <c r="B47" s="103" t="s">
        <v>322</v>
      </c>
      <c r="C47" s="82">
        <f>VLOOKUP(GroupVertices[[#This Row],[Vertex]],Vertices[],MATCH("ID",Vertices[[#Headers],[Vertex]:[Top Word Pairs in Edit Comment by Salience]],0),FALSE)</f>
        <v>11</v>
      </c>
    </row>
    <row r="48" spans="1:3" ht="15">
      <c r="A48" s="83" t="s">
        <v>808</v>
      </c>
      <c r="B48" s="103" t="s">
        <v>321</v>
      </c>
      <c r="C48" s="82">
        <f>VLOOKUP(GroupVertices[[#This Row],[Vertex]],Vertices[],MATCH("ID",Vertices[[#Headers],[Vertex]:[Top Word Pairs in Edit Comment by Salience]],0),FALSE)</f>
        <v>10</v>
      </c>
    </row>
    <row r="49" spans="1:3" ht="15">
      <c r="A49" s="83" t="s">
        <v>808</v>
      </c>
      <c r="B49" s="103" t="s">
        <v>320</v>
      </c>
      <c r="C49" s="82">
        <f>VLOOKUP(GroupVertices[[#This Row],[Vertex]],Vertices[],MATCH("ID",Vertices[[#Headers],[Vertex]:[Top Word Pairs in Edit Comment by Salience]],0),FALSE)</f>
        <v>9</v>
      </c>
    </row>
    <row r="50" spans="1:3" ht="15">
      <c r="A50" s="83" t="s">
        <v>808</v>
      </c>
      <c r="B50" s="103" t="s">
        <v>319</v>
      </c>
      <c r="C50" s="82">
        <f>VLOOKUP(GroupVertices[[#This Row],[Vertex]],Vertices[],MATCH("ID",Vertices[[#Headers],[Vertex]:[Top Word Pairs in Edit Comment by Salience]],0),FALSE)</f>
        <v>8</v>
      </c>
    </row>
    <row r="51" spans="1:3" ht="15">
      <c r="A51" s="83" t="s">
        <v>808</v>
      </c>
      <c r="B51" s="103" t="s">
        <v>318</v>
      </c>
      <c r="C51" s="82">
        <f>VLOOKUP(GroupVertices[[#This Row],[Vertex]],Vertices[],MATCH("ID",Vertices[[#Headers],[Vertex]:[Top Word Pairs in Edit Comment by Salience]],0),FALSE)</f>
        <v>7</v>
      </c>
    </row>
    <row r="52" spans="1:3" ht="15">
      <c r="A52" s="83" t="s">
        <v>808</v>
      </c>
      <c r="B52" s="103" t="s">
        <v>317</v>
      </c>
      <c r="C52" s="82">
        <f>VLOOKUP(GroupVertices[[#This Row],[Vertex]],Vertices[],MATCH("ID",Vertices[[#Headers],[Vertex]:[Top Word Pairs in Edit Comment by Salience]],0),FALSE)</f>
        <v>6</v>
      </c>
    </row>
    <row r="53" spans="1:3" ht="15">
      <c r="A53" s="83" t="s">
        <v>808</v>
      </c>
      <c r="B53" s="103" t="s">
        <v>518</v>
      </c>
      <c r="C53" s="82">
        <f>VLOOKUP(GroupVertices[[#This Row],[Vertex]],Vertices[],MATCH("ID",Vertices[[#Headers],[Vertex]:[Top Word Pairs in Edit Comment by Salience]],0),FALSE)</f>
        <v>3</v>
      </c>
    </row>
    <row r="54" spans="1:3" ht="15">
      <c r="A54" s="83" t="s">
        <v>808</v>
      </c>
      <c r="B54" s="103" t="s">
        <v>519</v>
      </c>
      <c r="C54" s="82">
        <f>VLOOKUP(GroupVertices[[#This Row],[Vertex]],Vertices[],MATCH("ID",Vertices[[#Headers],[Vertex]:[Top Word Pairs in Edit Comment by Salience]],0),FALSE)</f>
        <v>4</v>
      </c>
    </row>
    <row r="55" spans="1:3" ht="15">
      <c r="A55" s="83" t="s">
        <v>809</v>
      </c>
      <c r="B55" s="103" t="s">
        <v>498</v>
      </c>
      <c r="C55" s="82">
        <f>VLOOKUP(GroupVertices[[#This Row],[Vertex]],Vertices[],MATCH("ID",Vertices[[#Headers],[Vertex]:[Top Word Pairs in Edit Comment by Salience]],0),FALSE)</f>
        <v>186</v>
      </c>
    </row>
    <row r="56" spans="1:3" ht="15">
      <c r="A56" s="83" t="s">
        <v>809</v>
      </c>
      <c r="B56" s="103" t="s">
        <v>497</v>
      </c>
      <c r="C56" s="82">
        <f>VLOOKUP(GroupVertices[[#This Row],[Vertex]],Vertices[],MATCH("ID",Vertices[[#Headers],[Vertex]:[Top Word Pairs in Edit Comment by Salience]],0),FALSE)</f>
        <v>188</v>
      </c>
    </row>
    <row r="57" spans="1:3" ht="15">
      <c r="A57" s="83" t="s">
        <v>809</v>
      </c>
      <c r="B57" s="103" t="s">
        <v>496</v>
      </c>
      <c r="C57" s="82">
        <f>VLOOKUP(GroupVertices[[#This Row],[Vertex]],Vertices[],MATCH("ID",Vertices[[#Headers],[Vertex]:[Top Word Pairs in Edit Comment by Salience]],0),FALSE)</f>
        <v>187</v>
      </c>
    </row>
    <row r="58" spans="1:3" ht="15">
      <c r="A58" s="83" t="s">
        <v>809</v>
      </c>
      <c r="B58" s="103" t="s">
        <v>494</v>
      </c>
      <c r="C58" s="82">
        <f>VLOOKUP(GroupVertices[[#This Row],[Vertex]],Vertices[],MATCH("ID",Vertices[[#Headers],[Vertex]:[Top Word Pairs in Edit Comment by Salience]],0),FALSE)</f>
        <v>184</v>
      </c>
    </row>
    <row r="59" spans="1:3" ht="15">
      <c r="A59" s="83" t="s">
        <v>809</v>
      </c>
      <c r="B59" s="103" t="s">
        <v>495</v>
      </c>
      <c r="C59" s="82">
        <f>VLOOKUP(GroupVertices[[#This Row],[Vertex]],Vertices[],MATCH("ID",Vertices[[#Headers],[Vertex]:[Top Word Pairs in Edit Comment by Salience]],0),FALSE)</f>
        <v>185</v>
      </c>
    </row>
    <row r="60" spans="1:3" ht="15">
      <c r="A60" s="83" t="s">
        <v>809</v>
      </c>
      <c r="B60" s="103" t="s">
        <v>491</v>
      </c>
      <c r="C60" s="82">
        <f>VLOOKUP(GroupVertices[[#This Row],[Vertex]],Vertices[],MATCH("ID",Vertices[[#Headers],[Vertex]:[Top Word Pairs in Edit Comment by Salience]],0),FALSE)</f>
        <v>181</v>
      </c>
    </row>
    <row r="61" spans="1:3" ht="15">
      <c r="A61" s="83" t="s">
        <v>809</v>
      </c>
      <c r="B61" s="103" t="s">
        <v>493</v>
      </c>
      <c r="C61" s="82">
        <f>VLOOKUP(GroupVertices[[#This Row],[Vertex]],Vertices[],MATCH("ID",Vertices[[#Headers],[Vertex]:[Top Word Pairs in Edit Comment by Salience]],0),FALSE)</f>
        <v>183</v>
      </c>
    </row>
    <row r="62" spans="1:3" ht="15">
      <c r="A62" s="83" t="s">
        <v>809</v>
      </c>
      <c r="B62" s="103" t="s">
        <v>492</v>
      </c>
      <c r="C62" s="82">
        <f>VLOOKUP(GroupVertices[[#This Row],[Vertex]],Vertices[],MATCH("ID",Vertices[[#Headers],[Vertex]:[Top Word Pairs in Edit Comment by Salience]],0),FALSE)</f>
        <v>182</v>
      </c>
    </row>
    <row r="63" spans="1:3" ht="15">
      <c r="A63" s="83" t="s">
        <v>809</v>
      </c>
      <c r="B63" s="103" t="s">
        <v>490</v>
      </c>
      <c r="C63" s="82">
        <f>VLOOKUP(GroupVertices[[#This Row],[Vertex]],Vertices[],MATCH("ID",Vertices[[#Headers],[Vertex]:[Top Word Pairs in Edit Comment by Salience]],0),FALSE)</f>
        <v>180</v>
      </c>
    </row>
    <row r="64" spans="1:3" ht="15">
      <c r="A64" s="83" t="s">
        <v>809</v>
      </c>
      <c r="B64" s="103" t="s">
        <v>489</v>
      </c>
      <c r="C64" s="82">
        <f>VLOOKUP(GroupVertices[[#This Row],[Vertex]],Vertices[],MATCH("ID",Vertices[[#Headers],[Vertex]:[Top Word Pairs in Edit Comment by Salience]],0),FALSE)</f>
        <v>179</v>
      </c>
    </row>
    <row r="65" spans="1:3" ht="15">
      <c r="A65" s="83" t="s">
        <v>809</v>
      </c>
      <c r="B65" s="103" t="s">
        <v>488</v>
      </c>
      <c r="C65" s="82">
        <f>VLOOKUP(GroupVertices[[#This Row],[Vertex]],Vertices[],MATCH("ID",Vertices[[#Headers],[Vertex]:[Top Word Pairs in Edit Comment by Salience]],0),FALSE)</f>
        <v>178</v>
      </c>
    </row>
    <row r="66" spans="1:3" ht="15">
      <c r="A66" s="83" t="s">
        <v>809</v>
      </c>
      <c r="B66" s="103" t="s">
        <v>487</v>
      </c>
      <c r="C66" s="82">
        <f>VLOOKUP(GroupVertices[[#This Row],[Vertex]],Vertices[],MATCH("ID",Vertices[[#Headers],[Vertex]:[Top Word Pairs in Edit Comment by Salience]],0),FALSE)</f>
        <v>177</v>
      </c>
    </row>
    <row r="67" spans="1:3" ht="15">
      <c r="A67" s="83" t="s">
        <v>809</v>
      </c>
      <c r="B67" s="103" t="s">
        <v>486</v>
      </c>
      <c r="C67" s="82">
        <f>VLOOKUP(GroupVertices[[#This Row],[Vertex]],Vertices[],MATCH("ID",Vertices[[#Headers],[Vertex]:[Top Word Pairs in Edit Comment by Salience]],0),FALSE)</f>
        <v>176</v>
      </c>
    </row>
    <row r="68" spans="1:3" ht="15">
      <c r="A68" s="83" t="s">
        <v>809</v>
      </c>
      <c r="B68" s="103" t="s">
        <v>485</v>
      </c>
      <c r="C68" s="82">
        <f>VLOOKUP(GroupVertices[[#This Row],[Vertex]],Vertices[],MATCH("ID",Vertices[[#Headers],[Vertex]:[Top Word Pairs in Edit Comment by Salience]],0),FALSE)</f>
        <v>175</v>
      </c>
    </row>
    <row r="69" spans="1:3" ht="15">
      <c r="A69" s="83" t="s">
        <v>809</v>
      </c>
      <c r="B69" s="103" t="s">
        <v>484</v>
      </c>
      <c r="C69" s="82">
        <f>VLOOKUP(GroupVertices[[#This Row],[Vertex]],Vertices[],MATCH("ID",Vertices[[#Headers],[Vertex]:[Top Word Pairs in Edit Comment by Salience]],0),FALSE)</f>
        <v>174</v>
      </c>
    </row>
    <row r="70" spans="1:3" ht="15">
      <c r="A70" s="83" t="s">
        <v>809</v>
      </c>
      <c r="B70" s="103" t="s">
        <v>483</v>
      </c>
      <c r="C70" s="82">
        <f>VLOOKUP(GroupVertices[[#This Row],[Vertex]],Vertices[],MATCH("ID",Vertices[[#Headers],[Vertex]:[Top Word Pairs in Edit Comment by Salience]],0),FALSE)</f>
        <v>173</v>
      </c>
    </row>
    <row r="71" spans="1:3" ht="15">
      <c r="A71" s="83" t="s">
        <v>809</v>
      </c>
      <c r="B71" s="103" t="s">
        <v>482</v>
      </c>
      <c r="C71" s="82">
        <f>VLOOKUP(GroupVertices[[#This Row],[Vertex]],Vertices[],MATCH("ID",Vertices[[#Headers],[Vertex]:[Top Word Pairs in Edit Comment by Salience]],0),FALSE)</f>
        <v>172</v>
      </c>
    </row>
    <row r="72" spans="1:3" ht="15">
      <c r="A72" s="83" t="s">
        <v>809</v>
      </c>
      <c r="B72" s="103" t="s">
        <v>480</v>
      </c>
      <c r="C72" s="82">
        <f>VLOOKUP(GroupVertices[[#This Row],[Vertex]],Vertices[],MATCH("ID",Vertices[[#Headers],[Vertex]:[Top Word Pairs in Edit Comment by Salience]],0),FALSE)</f>
        <v>170</v>
      </c>
    </row>
    <row r="73" spans="1:3" ht="15">
      <c r="A73" s="83" t="s">
        <v>809</v>
      </c>
      <c r="B73" s="103" t="s">
        <v>481</v>
      </c>
      <c r="C73" s="82">
        <f>VLOOKUP(GroupVertices[[#This Row],[Vertex]],Vertices[],MATCH("ID",Vertices[[#Headers],[Vertex]:[Top Word Pairs in Edit Comment by Salience]],0),FALSE)</f>
        <v>171</v>
      </c>
    </row>
    <row r="74" spans="1:3" ht="15">
      <c r="A74" s="83" t="s">
        <v>809</v>
      </c>
      <c r="B74" s="103" t="s">
        <v>479</v>
      </c>
      <c r="C74" s="82">
        <f>VLOOKUP(GroupVertices[[#This Row],[Vertex]],Vertices[],MATCH("ID",Vertices[[#Headers],[Vertex]:[Top Word Pairs in Edit Comment by Salience]],0),FALSE)</f>
        <v>169</v>
      </c>
    </row>
    <row r="75" spans="1:3" ht="15">
      <c r="A75" s="83" t="s">
        <v>810</v>
      </c>
      <c r="B75" s="103" t="s">
        <v>442</v>
      </c>
      <c r="C75" s="82">
        <f>VLOOKUP(GroupVertices[[#This Row],[Vertex]],Vertices[],MATCH("ID",Vertices[[#Headers],[Vertex]:[Top Word Pairs in Edit Comment by Salience]],0),FALSE)</f>
        <v>132</v>
      </c>
    </row>
    <row r="76" spans="1:3" ht="15">
      <c r="A76" s="83" t="s">
        <v>810</v>
      </c>
      <c r="B76" s="103" t="s">
        <v>396</v>
      </c>
      <c r="C76" s="82">
        <f>VLOOKUP(GroupVertices[[#This Row],[Vertex]],Vertices[],MATCH("ID",Vertices[[#Headers],[Vertex]:[Top Word Pairs in Edit Comment by Salience]],0),FALSE)</f>
        <v>85</v>
      </c>
    </row>
    <row r="77" spans="1:3" ht="15">
      <c r="A77" s="83" t="s">
        <v>810</v>
      </c>
      <c r="B77" s="103" t="s">
        <v>407</v>
      </c>
      <c r="C77" s="82">
        <f>VLOOKUP(GroupVertices[[#This Row],[Vertex]],Vertices[],MATCH("ID",Vertices[[#Headers],[Vertex]:[Top Word Pairs in Edit Comment by Salience]],0),FALSE)</f>
        <v>96</v>
      </c>
    </row>
    <row r="78" spans="1:3" ht="15">
      <c r="A78" s="83" t="s">
        <v>810</v>
      </c>
      <c r="B78" s="103" t="s">
        <v>378</v>
      </c>
      <c r="C78" s="82">
        <f>VLOOKUP(GroupVertices[[#This Row],[Vertex]],Vertices[],MATCH("ID",Vertices[[#Headers],[Vertex]:[Top Word Pairs in Edit Comment by Salience]],0),FALSE)</f>
        <v>67</v>
      </c>
    </row>
    <row r="79" spans="1:3" ht="15">
      <c r="A79" s="83" t="s">
        <v>810</v>
      </c>
      <c r="B79" s="103" t="s">
        <v>397</v>
      </c>
      <c r="C79" s="82">
        <f>VLOOKUP(GroupVertices[[#This Row],[Vertex]],Vertices[],MATCH("ID",Vertices[[#Headers],[Vertex]:[Top Word Pairs in Edit Comment by Salience]],0),FALSE)</f>
        <v>86</v>
      </c>
    </row>
    <row r="80" spans="1:3" ht="15">
      <c r="A80" s="83" t="s">
        <v>810</v>
      </c>
      <c r="B80" s="103" t="s">
        <v>395</v>
      </c>
      <c r="C80" s="82">
        <f>VLOOKUP(GroupVertices[[#This Row],[Vertex]],Vertices[],MATCH("ID",Vertices[[#Headers],[Vertex]:[Top Word Pairs in Edit Comment by Salience]],0),FALSE)</f>
        <v>84</v>
      </c>
    </row>
    <row r="81" spans="1:3" ht="15">
      <c r="A81" s="83" t="s">
        <v>810</v>
      </c>
      <c r="B81" s="103" t="s">
        <v>394</v>
      </c>
      <c r="C81" s="82">
        <f>VLOOKUP(GroupVertices[[#This Row],[Vertex]],Vertices[],MATCH("ID",Vertices[[#Headers],[Vertex]:[Top Word Pairs in Edit Comment by Salience]],0),FALSE)</f>
        <v>83</v>
      </c>
    </row>
    <row r="82" spans="1:3" ht="15">
      <c r="A82" s="83" t="s">
        <v>810</v>
      </c>
      <c r="B82" s="103" t="s">
        <v>393</v>
      </c>
      <c r="C82" s="82">
        <f>VLOOKUP(GroupVertices[[#This Row],[Vertex]],Vertices[],MATCH("ID",Vertices[[#Headers],[Vertex]:[Top Word Pairs in Edit Comment by Salience]],0),FALSE)</f>
        <v>82</v>
      </c>
    </row>
    <row r="83" spans="1:3" ht="15">
      <c r="A83" s="83" t="s">
        <v>810</v>
      </c>
      <c r="B83" s="103" t="s">
        <v>392</v>
      </c>
      <c r="C83" s="82">
        <f>VLOOKUP(GroupVertices[[#This Row],[Vertex]],Vertices[],MATCH("ID",Vertices[[#Headers],[Vertex]:[Top Word Pairs in Edit Comment by Salience]],0),FALSE)</f>
        <v>81</v>
      </c>
    </row>
    <row r="84" spans="1:3" ht="15">
      <c r="A84" s="83" t="s">
        <v>810</v>
      </c>
      <c r="B84" s="103" t="s">
        <v>361</v>
      </c>
      <c r="C84" s="82">
        <f>VLOOKUP(GroupVertices[[#This Row],[Vertex]],Vertices[],MATCH("ID",Vertices[[#Headers],[Vertex]:[Top Word Pairs in Edit Comment by Salience]],0),FALSE)</f>
        <v>50</v>
      </c>
    </row>
    <row r="85" spans="1:3" ht="15">
      <c r="A85" s="83" t="s">
        <v>810</v>
      </c>
      <c r="B85" s="103" t="s">
        <v>388</v>
      </c>
      <c r="C85" s="82">
        <f>VLOOKUP(GroupVertices[[#This Row],[Vertex]],Vertices[],MATCH("ID",Vertices[[#Headers],[Vertex]:[Top Word Pairs in Edit Comment by Salience]],0),FALSE)</f>
        <v>77</v>
      </c>
    </row>
    <row r="86" spans="1:3" ht="15">
      <c r="A86" s="83" t="s">
        <v>810</v>
      </c>
      <c r="B86" s="103" t="s">
        <v>391</v>
      </c>
      <c r="C86" s="82">
        <f>VLOOKUP(GroupVertices[[#This Row],[Vertex]],Vertices[],MATCH("ID",Vertices[[#Headers],[Vertex]:[Top Word Pairs in Edit Comment by Salience]],0),FALSE)</f>
        <v>80</v>
      </c>
    </row>
    <row r="87" spans="1:3" ht="15">
      <c r="A87" s="83" t="s">
        <v>810</v>
      </c>
      <c r="B87" s="103" t="s">
        <v>390</v>
      </c>
      <c r="C87" s="82">
        <f>VLOOKUP(GroupVertices[[#This Row],[Vertex]],Vertices[],MATCH("ID",Vertices[[#Headers],[Vertex]:[Top Word Pairs in Edit Comment by Salience]],0),FALSE)</f>
        <v>79</v>
      </c>
    </row>
    <row r="88" spans="1:3" ht="15">
      <c r="A88" s="83" t="s">
        <v>810</v>
      </c>
      <c r="B88" s="103" t="s">
        <v>389</v>
      </c>
      <c r="C88" s="82">
        <f>VLOOKUP(GroupVertices[[#This Row],[Vertex]],Vertices[],MATCH("ID",Vertices[[#Headers],[Vertex]:[Top Word Pairs in Edit Comment by Salience]],0),FALSE)</f>
        <v>78</v>
      </c>
    </row>
    <row r="89" spans="1:3" ht="15">
      <c r="A89" s="83" t="s">
        <v>810</v>
      </c>
      <c r="B89" s="103" t="s">
        <v>387</v>
      </c>
      <c r="C89" s="82">
        <f>VLOOKUP(GroupVertices[[#This Row],[Vertex]],Vertices[],MATCH("ID",Vertices[[#Headers],[Vertex]:[Top Word Pairs in Edit Comment by Salience]],0),FALSE)</f>
        <v>76</v>
      </c>
    </row>
    <row r="90" spans="1:3" ht="15">
      <c r="A90" s="83" t="s">
        <v>810</v>
      </c>
      <c r="B90" s="103" t="s">
        <v>386</v>
      </c>
      <c r="C90" s="82">
        <f>VLOOKUP(GroupVertices[[#This Row],[Vertex]],Vertices[],MATCH("ID",Vertices[[#Headers],[Vertex]:[Top Word Pairs in Edit Comment by Salience]],0),FALSE)</f>
        <v>75</v>
      </c>
    </row>
    <row r="91" spans="1:3" ht="15">
      <c r="A91" s="83" t="s">
        <v>810</v>
      </c>
      <c r="B91" s="103" t="s">
        <v>385</v>
      </c>
      <c r="C91" s="82">
        <f>VLOOKUP(GroupVertices[[#This Row],[Vertex]],Vertices[],MATCH("ID",Vertices[[#Headers],[Vertex]:[Top Word Pairs in Edit Comment by Salience]],0),FALSE)</f>
        <v>74</v>
      </c>
    </row>
    <row r="92" spans="1:3" ht="15">
      <c r="A92" s="83" t="s">
        <v>810</v>
      </c>
      <c r="B92" s="103" t="s">
        <v>384</v>
      </c>
      <c r="C92" s="82">
        <f>VLOOKUP(GroupVertices[[#This Row],[Vertex]],Vertices[],MATCH("ID",Vertices[[#Headers],[Vertex]:[Top Word Pairs in Edit Comment by Salience]],0),FALSE)</f>
        <v>73</v>
      </c>
    </row>
    <row r="93" spans="1:3" ht="15">
      <c r="A93" s="83" t="s">
        <v>810</v>
      </c>
      <c r="B93" s="103" t="s">
        <v>383</v>
      </c>
      <c r="C93" s="82">
        <f>VLOOKUP(GroupVertices[[#This Row],[Vertex]],Vertices[],MATCH("ID",Vertices[[#Headers],[Vertex]:[Top Word Pairs in Edit Comment by Salience]],0),FALSE)</f>
        <v>72</v>
      </c>
    </row>
    <row r="94" spans="1:3" ht="15">
      <c r="A94" s="83" t="s">
        <v>810</v>
      </c>
      <c r="B94" s="103" t="s">
        <v>382</v>
      </c>
      <c r="C94" s="82">
        <f>VLOOKUP(GroupVertices[[#This Row],[Vertex]],Vertices[],MATCH("ID",Vertices[[#Headers],[Vertex]:[Top Word Pairs in Edit Comment by Salience]],0),FALSE)</f>
        <v>71</v>
      </c>
    </row>
    <row r="95" spans="1:3" ht="15">
      <c r="A95" s="83" t="s">
        <v>811</v>
      </c>
      <c r="B95" s="103" t="s">
        <v>517</v>
      </c>
      <c r="C95" s="82">
        <f>VLOOKUP(GroupVertices[[#This Row],[Vertex]],Vertices[],MATCH("ID",Vertices[[#Headers],[Vertex]:[Top Word Pairs in Edit Comment by Salience]],0),FALSE)</f>
        <v>206</v>
      </c>
    </row>
    <row r="96" spans="1:3" ht="15">
      <c r="A96" s="83" t="s">
        <v>811</v>
      </c>
      <c r="B96" s="103" t="s">
        <v>505</v>
      </c>
      <c r="C96" s="82">
        <f>VLOOKUP(GroupVertices[[#This Row],[Vertex]],Vertices[],MATCH("ID",Vertices[[#Headers],[Vertex]:[Top Word Pairs in Edit Comment by Salience]],0),FALSE)</f>
        <v>128</v>
      </c>
    </row>
    <row r="97" spans="1:3" ht="15">
      <c r="A97" s="83" t="s">
        <v>811</v>
      </c>
      <c r="B97" s="103" t="s">
        <v>499</v>
      </c>
      <c r="C97" s="82">
        <f>VLOOKUP(GroupVertices[[#This Row],[Vertex]],Vertices[],MATCH("ID",Vertices[[#Headers],[Vertex]:[Top Word Pairs in Edit Comment by Salience]],0),FALSE)</f>
        <v>189</v>
      </c>
    </row>
    <row r="98" spans="1:3" ht="15">
      <c r="A98" s="83" t="s">
        <v>811</v>
      </c>
      <c r="B98" s="103" t="s">
        <v>516</v>
      </c>
      <c r="C98" s="82">
        <f>VLOOKUP(GroupVertices[[#This Row],[Vertex]],Vertices[],MATCH("ID",Vertices[[#Headers],[Vertex]:[Top Word Pairs in Edit Comment by Salience]],0),FALSE)</f>
        <v>205</v>
      </c>
    </row>
    <row r="99" spans="1:3" ht="15">
      <c r="A99" s="83" t="s">
        <v>811</v>
      </c>
      <c r="B99" s="103" t="s">
        <v>515</v>
      </c>
      <c r="C99" s="82">
        <f>VLOOKUP(GroupVertices[[#This Row],[Vertex]],Vertices[],MATCH("ID",Vertices[[#Headers],[Vertex]:[Top Word Pairs in Edit Comment by Salience]],0),FALSE)</f>
        <v>204</v>
      </c>
    </row>
    <row r="100" spans="1:3" ht="15">
      <c r="A100" s="83" t="s">
        <v>811</v>
      </c>
      <c r="B100" s="103" t="s">
        <v>514</v>
      </c>
      <c r="C100" s="82">
        <f>VLOOKUP(GroupVertices[[#This Row],[Vertex]],Vertices[],MATCH("ID",Vertices[[#Headers],[Vertex]:[Top Word Pairs in Edit Comment by Salience]],0),FALSE)</f>
        <v>203</v>
      </c>
    </row>
    <row r="101" spans="1:3" ht="15">
      <c r="A101" s="83" t="s">
        <v>811</v>
      </c>
      <c r="B101" s="103" t="s">
        <v>511</v>
      </c>
      <c r="C101" s="82">
        <f>VLOOKUP(GroupVertices[[#This Row],[Vertex]],Vertices[],MATCH("ID",Vertices[[#Headers],[Vertex]:[Top Word Pairs in Edit Comment by Salience]],0),FALSE)</f>
        <v>200</v>
      </c>
    </row>
    <row r="102" spans="1:3" ht="15">
      <c r="A102" s="83" t="s">
        <v>811</v>
      </c>
      <c r="B102" s="103" t="s">
        <v>513</v>
      </c>
      <c r="C102" s="82">
        <f>VLOOKUP(GroupVertices[[#This Row],[Vertex]],Vertices[],MATCH("ID",Vertices[[#Headers],[Vertex]:[Top Word Pairs in Edit Comment by Salience]],0),FALSE)</f>
        <v>202</v>
      </c>
    </row>
    <row r="103" spans="1:3" ht="15">
      <c r="A103" s="83" t="s">
        <v>811</v>
      </c>
      <c r="B103" s="103" t="s">
        <v>512</v>
      </c>
      <c r="C103" s="82">
        <f>VLOOKUP(GroupVertices[[#This Row],[Vertex]],Vertices[],MATCH("ID",Vertices[[#Headers],[Vertex]:[Top Word Pairs in Edit Comment by Salience]],0),FALSE)</f>
        <v>201</v>
      </c>
    </row>
    <row r="104" spans="1:3" ht="15">
      <c r="A104" s="83" t="s">
        <v>811</v>
      </c>
      <c r="B104" s="103" t="s">
        <v>510</v>
      </c>
      <c r="C104" s="82">
        <f>VLOOKUP(GroupVertices[[#This Row],[Vertex]],Vertices[],MATCH("ID",Vertices[[#Headers],[Vertex]:[Top Word Pairs in Edit Comment by Salience]],0),FALSE)</f>
        <v>199</v>
      </c>
    </row>
    <row r="105" spans="1:3" ht="15">
      <c r="A105" s="83" t="s">
        <v>811</v>
      </c>
      <c r="B105" s="103" t="s">
        <v>509</v>
      </c>
      <c r="C105" s="82">
        <f>VLOOKUP(GroupVertices[[#This Row],[Vertex]],Vertices[],MATCH("ID",Vertices[[#Headers],[Vertex]:[Top Word Pairs in Edit Comment by Salience]],0),FALSE)</f>
        <v>198</v>
      </c>
    </row>
    <row r="106" spans="1:3" ht="15">
      <c r="A106" s="83" t="s">
        <v>811</v>
      </c>
      <c r="B106" s="103" t="s">
        <v>508</v>
      </c>
      <c r="C106" s="82">
        <f>VLOOKUP(GroupVertices[[#This Row],[Vertex]],Vertices[],MATCH("ID",Vertices[[#Headers],[Vertex]:[Top Word Pairs in Edit Comment by Salience]],0),FALSE)</f>
        <v>197</v>
      </c>
    </row>
    <row r="107" spans="1:3" ht="15">
      <c r="A107" s="83" t="s">
        <v>811</v>
      </c>
      <c r="B107" s="103" t="s">
        <v>507</v>
      </c>
      <c r="C107" s="82">
        <f>VLOOKUP(GroupVertices[[#This Row],[Vertex]],Vertices[],MATCH("ID",Vertices[[#Headers],[Vertex]:[Top Word Pairs in Edit Comment by Salience]],0),FALSE)</f>
        <v>196</v>
      </c>
    </row>
    <row r="108" spans="1:3" ht="15">
      <c r="A108" s="83" t="s">
        <v>811</v>
      </c>
      <c r="B108" s="103" t="s">
        <v>506</v>
      </c>
      <c r="C108" s="82">
        <f>VLOOKUP(GroupVertices[[#This Row],[Vertex]],Vertices[],MATCH("ID",Vertices[[#Headers],[Vertex]:[Top Word Pairs in Edit Comment by Salience]],0),FALSE)</f>
        <v>195</v>
      </c>
    </row>
    <row r="109" spans="1:3" ht="15">
      <c r="A109" s="83" t="s">
        <v>811</v>
      </c>
      <c r="B109" s="103" t="s">
        <v>504</v>
      </c>
      <c r="C109" s="82">
        <f>VLOOKUP(GroupVertices[[#This Row],[Vertex]],Vertices[],MATCH("ID",Vertices[[#Headers],[Vertex]:[Top Word Pairs in Edit Comment by Salience]],0),FALSE)</f>
        <v>194</v>
      </c>
    </row>
    <row r="110" spans="1:3" ht="15">
      <c r="A110" s="83" t="s">
        <v>811</v>
      </c>
      <c r="B110" s="103" t="s">
        <v>503</v>
      </c>
      <c r="C110" s="82">
        <f>VLOOKUP(GroupVertices[[#This Row],[Vertex]],Vertices[],MATCH("ID",Vertices[[#Headers],[Vertex]:[Top Word Pairs in Edit Comment by Salience]],0),FALSE)</f>
        <v>193</v>
      </c>
    </row>
    <row r="111" spans="1:3" ht="15">
      <c r="A111" s="83" t="s">
        <v>811</v>
      </c>
      <c r="B111" s="103" t="s">
        <v>502</v>
      </c>
      <c r="C111" s="82">
        <f>VLOOKUP(GroupVertices[[#This Row],[Vertex]],Vertices[],MATCH("ID",Vertices[[#Headers],[Vertex]:[Top Word Pairs in Edit Comment by Salience]],0),FALSE)</f>
        <v>192</v>
      </c>
    </row>
    <row r="112" spans="1:3" ht="15">
      <c r="A112" s="83" t="s">
        <v>811</v>
      </c>
      <c r="B112" s="103" t="s">
        <v>501</v>
      </c>
      <c r="C112" s="82">
        <f>VLOOKUP(GroupVertices[[#This Row],[Vertex]],Vertices[],MATCH("ID",Vertices[[#Headers],[Vertex]:[Top Word Pairs in Edit Comment by Salience]],0),FALSE)</f>
        <v>191</v>
      </c>
    </row>
    <row r="113" spans="1:3" ht="15">
      <c r="A113" s="83" t="s">
        <v>811</v>
      </c>
      <c r="B113" s="103" t="s">
        <v>500</v>
      </c>
      <c r="C113" s="82">
        <f>VLOOKUP(GroupVertices[[#This Row],[Vertex]],Vertices[],MATCH("ID",Vertices[[#Headers],[Vertex]:[Top Word Pairs in Edit Comment by Salience]],0),FALSE)</f>
        <v>190</v>
      </c>
    </row>
    <row r="114" spans="1:3" ht="15">
      <c r="A114" s="83" t="s">
        <v>812</v>
      </c>
      <c r="B114" s="103" t="s">
        <v>461</v>
      </c>
      <c r="C114" s="82">
        <f>VLOOKUP(GroupVertices[[#This Row],[Vertex]],Vertices[],MATCH("ID",Vertices[[#Headers],[Vertex]:[Top Word Pairs in Edit Comment by Salience]],0),FALSE)</f>
        <v>151</v>
      </c>
    </row>
    <row r="115" spans="1:3" ht="15">
      <c r="A115" s="83" t="s">
        <v>812</v>
      </c>
      <c r="B115" s="103" t="s">
        <v>460</v>
      </c>
      <c r="C115" s="82">
        <f>VLOOKUP(GroupVertices[[#This Row],[Vertex]],Vertices[],MATCH("ID",Vertices[[#Headers],[Vertex]:[Top Word Pairs in Edit Comment by Salience]],0),FALSE)</f>
        <v>150</v>
      </c>
    </row>
    <row r="116" spans="1:3" ht="15">
      <c r="A116" s="83" t="s">
        <v>812</v>
      </c>
      <c r="B116" s="103" t="s">
        <v>458</v>
      </c>
      <c r="C116" s="82">
        <f>VLOOKUP(GroupVertices[[#This Row],[Vertex]],Vertices[],MATCH("ID",Vertices[[#Headers],[Vertex]:[Top Word Pairs in Edit Comment by Salience]],0),FALSE)</f>
        <v>148</v>
      </c>
    </row>
    <row r="117" spans="1:3" ht="15">
      <c r="A117" s="83" t="s">
        <v>812</v>
      </c>
      <c r="B117" s="103" t="s">
        <v>459</v>
      </c>
      <c r="C117" s="82">
        <f>VLOOKUP(GroupVertices[[#This Row],[Vertex]],Vertices[],MATCH("ID",Vertices[[#Headers],[Vertex]:[Top Word Pairs in Edit Comment by Salience]],0),FALSE)</f>
        <v>149</v>
      </c>
    </row>
    <row r="118" spans="1:3" ht="15">
      <c r="A118" s="83" t="s">
        <v>812</v>
      </c>
      <c r="B118" s="103" t="s">
        <v>457</v>
      </c>
      <c r="C118" s="82">
        <f>VLOOKUP(GroupVertices[[#This Row],[Vertex]],Vertices[],MATCH("ID",Vertices[[#Headers],[Vertex]:[Top Word Pairs in Edit Comment by Salience]],0),FALSE)</f>
        <v>147</v>
      </c>
    </row>
    <row r="119" spans="1:3" ht="15">
      <c r="A119" s="83" t="s">
        <v>812</v>
      </c>
      <c r="B119" s="103" t="s">
        <v>456</v>
      </c>
      <c r="C119" s="82">
        <f>VLOOKUP(GroupVertices[[#This Row],[Vertex]],Vertices[],MATCH("ID",Vertices[[#Headers],[Vertex]:[Top Word Pairs in Edit Comment by Salience]],0),FALSE)</f>
        <v>146</v>
      </c>
    </row>
    <row r="120" spans="1:3" ht="15">
      <c r="A120" s="83" t="s">
        <v>812</v>
      </c>
      <c r="B120" s="103" t="s">
        <v>455</v>
      </c>
      <c r="C120" s="82">
        <f>VLOOKUP(GroupVertices[[#This Row],[Vertex]],Vertices[],MATCH("ID",Vertices[[#Headers],[Vertex]:[Top Word Pairs in Edit Comment by Salience]],0),FALSE)</f>
        <v>145</v>
      </c>
    </row>
    <row r="121" spans="1:3" ht="15">
      <c r="A121" s="83" t="s">
        <v>812</v>
      </c>
      <c r="B121" s="103" t="s">
        <v>454</v>
      </c>
      <c r="C121" s="82">
        <f>VLOOKUP(GroupVertices[[#This Row],[Vertex]],Vertices[],MATCH("ID",Vertices[[#Headers],[Vertex]:[Top Word Pairs in Edit Comment by Salience]],0),FALSE)</f>
        <v>144</v>
      </c>
    </row>
    <row r="122" spans="1:3" ht="15">
      <c r="A122" s="83" t="s">
        <v>812</v>
      </c>
      <c r="B122" s="103" t="s">
        <v>452</v>
      </c>
      <c r="C122" s="82">
        <f>VLOOKUP(GroupVertices[[#This Row],[Vertex]],Vertices[],MATCH("ID",Vertices[[#Headers],[Vertex]:[Top Word Pairs in Edit Comment by Salience]],0),FALSE)</f>
        <v>142</v>
      </c>
    </row>
    <row r="123" spans="1:3" ht="15">
      <c r="A123" s="83" t="s">
        <v>812</v>
      </c>
      <c r="B123" s="103" t="s">
        <v>453</v>
      </c>
      <c r="C123" s="82">
        <f>VLOOKUP(GroupVertices[[#This Row],[Vertex]],Vertices[],MATCH("ID",Vertices[[#Headers],[Vertex]:[Top Word Pairs in Edit Comment by Salience]],0),FALSE)</f>
        <v>143</v>
      </c>
    </row>
    <row r="124" spans="1:3" ht="15">
      <c r="A124" s="83" t="s">
        <v>812</v>
      </c>
      <c r="B124" s="103" t="s">
        <v>445</v>
      </c>
      <c r="C124" s="82">
        <f>VLOOKUP(GroupVertices[[#This Row],[Vertex]],Vertices[],MATCH("ID",Vertices[[#Headers],[Vertex]:[Top Word Pairs in Edit Comment by Salience]],0),FALSE)</f>
        <v>135</v>
      </c>
    </row>
    <row r="125" spans="1:3" ht="15">
      <c r="A125" s="83" t="s">
        <v>812</v>
      </c>
      <c r="B125" s="103" t="s">
        <v>451</v>
      </c>
      <c r="C125" s="82">
        <f>VLOOKUP(GroupVertices[[#This Row],[Vertex]],Vertices[],MATCH("ID",Vertices[[#Headers],[Vertex]:[Top Word Pairs in Edit Comment by Salience]],0),FALSE)</f>
        <v>141</v>
      </c>
    </row>
    <row r="126" spans="1:3" ht="15">
      <c r="A126" s="83" t="s">
        <v>812</v>
      </c>
      <c r="B126" s="103" t="s">
        <v>450</v>
      </c>
      <c r="C126" s="82">
        <f>VLOOKUP(GroupVertices[[#This Row],[Vertex]],Vertices[],MATCH("ID",Vertices[[#Headers],[Vertex]:[Top Word Pairs in Edit Comment by Salience]],0),FALSE)</f>
        <v>140</v>
      </c>
    </row>
    <row r="127" spans="1:3" ht="15">
      <c r="A127" s="83" t="s">
        <v>812</v>
      </c>
      <c r="B127" s="103" t="s">
        <v>449</v>
      </c>
      <c r="C127" s="82">
        <f>VLOOKUP(GroupVertices[[#This Row],[Vertex]],Vertices[],MATCH("ID",Vertices[[#Headers],[Vertex]:[Top Word Pairs in Edit Comment by Salience]],0),FALSE)</f>
        <v>139</v>
      </c>
    </row>
    <row r="128" spans="1:3" ht="15">
      <c r="A128" s="83" t="s">
        <v>812</v>
      </c>
      <c r="B128" s="103" t="s">
        <v>447</v>
      </c>
      <c r="C128" s="82">
        <f>VLOOKUP(GroupVertices[[#This Row],[Vertex]],Vertices[],MATCH("ID",Vertices[[#Headers],[Vertex]:[Top Word Pairs in Edit Comment by Salience]],0),FALSE)</f>
        <v>137</v>
      </c>
    </row>
    <row r="129" spans="1:3" ht="15">
      <c r="A129" s="83" t="s">
        <v>812</v>
      </c>
      <c r="B129" s="103" t="s">
        <v>448</v>
      </c>
      <c r="C129" s="82">
        <f>VLOOKUP(GroupVertices[[#This Row],[Vertex]],Vertices[],MATCH("ID",Vertices[[#Headers],[Vertex]:[Top Word Pairs in Edit Comment by Salience]],0),FALSE)</f>
        <v>138</v>
      </c>
    </row>
    <row r="130" spans="1:3" ht="15">
      <c r="A130" s="83" t="s">
        <v>812</v>
      </c>
      <c r="B130" s="103" t="s">
        <v>446</v>
      </c>
      <c r="C130" s="82">
        <f>VLOOKUP(GroupVertices[[#This Row],[Vertex]],Vertices[],MATCH("ID",Vertices[[#Headers],[Vertex]:[Top Word Pairs in Edit Comment by Salience]],0),FALSE)</f>
        <v>136</v>
      </c>
    </row>
    <row r="131" spans="1:3" ht="15">
      <c r="A131" s="83" t="s">
        <v>812</v>
      </c>
      <c r="B131" s="103" t="s">
        <v>444</v>
      </c>
      <c r="C131" s="82">
        <f>VLOOKUP(GroupVertices[[#This Row],[Vertex]],Vertices[],MATCH("ID",Vertices[[#Headers],[Vertex]:[Top Word Pairs in Edit Comment by Salience]],0),FALSE)</f>
        <v>134</v>
      </c>
    </row>
    <row r="132" spans="1:3" ht="15">
      <c r="A132" s="83" t="s">
        <v>812</v>
      </c>
      <c r="B132" s="103" t="s">
        <v>443</v>
      </c>
      <c r="C132" s="82">
        <f>VLOOKUP(GroupVertices[[#This Row],[Vertex]],Vertices[],MATCH("ID",Vertices[[#Headers],[Vertex]:[Top Word Pairs in Edit Comment by Salience]],0),FALSE)</f>
        <v>133</v>
      </c>
    </row>
    <row r="133" spans="1:3" ht="15">
      <c r="A133" s="83" t="s">
        <v>813</v>
      </c>
      <c r="B133" s="103" t="s">
        <v>477</v>
      </c>
      <c r="C133" s="82">
        <f>VLOOKUP(GroupVertices[[#This Row],[Vertex]],Vertices[],MATCH("ID",Vertices[[#Headers],[Vertex]:[Top Word Pairs in Edit Comment by Salience]],0),FALSE)</f>
        <v>167</v>
      </c>
    </row>
    <row r="134" spans="1:3" ht="15">
      <c r="A134" s="83" t="s">
        <v>813</v>
      </c>
      <c r="B134" s="103" t="s">
        <v>467</v>
      </c>
      <c r="C134" s="82">
        <f>VLOOKUP(GroupVertices[[#This Row],[Vertex]],Vertices[],MATCH("ID",Vertices[[#Headers],[Vertex]:[Top Word Pairs in Edit Comment by Salience]],0),FALSE)</f>
        <v>157</v>
      </c>
    </row>
    <row r="135" spans="1:3" ht="15">
      <c r="A135" s="83" t="s">
        <v>813</v>
      </c>
      <c r="B135" s="103" t="s">
        <v>478</v>
      </c>
      <c r="C135" s="82">
        <f>VLOOKUP(GroupVertices[[#This Row],[Vertex]],Vertices[],MATCH("ID",Vertices[[#Headers],[Vertex]:[Top Word Pairs in Edit Comment by Salience]],0),FALSE)</f>
        <v>168</v>
      </c>
    </row>
    <row r="136" spans="1:3" ht="15">
      <c r="A136" s="83" t="s">
        <v>813</v>
      </c>
      <c r="B136" s="103" t="s">
        <v>476</v>
      </c>
      <c r="C136" s="82">
        <f>VLOOKUP(GroupVertices[[#This Row],[Vertex]],Vertices[],MATCH("ID",Vertices[[#Headers],[Vertex]:[Top Word Pairs in Edit Comment by Salience]],0),FALSE)</f>
        <v>166</v>
      </c>
    </row>
    <row r="137" spans="1:3" ht="15">
      <c r="A137" s="83" t="s">
        <v>813</v>
      </c>
      <c r="B137" s="103" t="s">
        <v>474</v>
      </c>
      <c r="C137" s="82">
        <f>VLOOKUP(GroupVertices[[#This Row],[Vertex]],Vertices[],MATCH("ID",Vertices[[#Headers],[Vertex]:[Top Word Pairs in Edit Comment by Salience]],0),FALSE)</f>
        <v>164</v>
      </c>
    </row>
    <row r="138" spans="1:3" ht="15">
      <c r="A138" s="83" t="s">
        <v>813</v>
      </c>
      <c r="B138" s="103" t="s">
        <v>465</v>
      </c>
      <c r="C138" s="82">
        <f>VLOOKUP(GroupVertices[[#This Row],[Vertex]],Vertices[],MATCH("ID",Vertices[[#Headers],[Vertex]:[Top Word Pairs in Edit Comment by Salience]],0),FALSE)</f>
        <v>155</v>
      </c>
    </row>
    <row r="139" spans="1:3" ht="15">
      <c r="A139" s="83" t="s">
        <v>813</v>
      </c>
      <c r="B139" s="103" t="s">
        <v>475</v>
      </c>
      <c r="C139" s="82">
        <f>VLOOKUP(GroupVertices[[#This Row],[Vertex]],Vertices[],MATCH("ID",Vertices[[#Headers],[Vertex]:[Top Word Pairs in Edit Comment by Salience]],0),FALSE)</f>
        <v>165</v>
      </c>
    </row>
    <row r="140" spans="1:3" ht="15">
      <c r="A140" s="83" t="s">
        <v>813</v>
      </c>
      <c r="B140" s="103" t="s">
        <v>473</v>
      </c>
      <c r="C140" s="82">
        <f>VLOOKUP(GroupVertices[[#This Row],[Vertex]],Vertices[],MATCH("ID",Vertices[[#Headers],[Vertex]:[Top Word Pairs in Edit Comment by Salience]],0),FALSE)</f>
        <v>163</v>
      </c>
    </row>
    <row r="141" spans="1:3" ht="15">
      <c r="A141" s="83" t="s">
        <v>813</v>
      </c>
      <c r="B141" s="103" t="s">
        <v>472</v>
      </c>
      <c r="C141" s="82">
        <f>VLOOKUP(GroupVertices[[#This Row],[Vertex]],Vertices[],MATCH("ID",Vertices[[#Headers],[Vertex]:[Top Word Pairs in Edit Comment by Salience]],0),FALSE)</f>
        <v>162</v>
      </c>
    </row>
    <row r="142" spans="1:3" ht="15">
      <c r="A142" s="83" t="s">
        <v>813</v>
      </c>
      <c r="B142" s="103" t="s">
        <v>471</v>
      </c>
      <c r="C142" s="82">
        <f>VLOOKUP(GroupVertices[[#This Row],[Vertex]],Vertices[],MATCH("ID",Vertices[[#Headers],[Vertex]:[Top Word Pairs in Edit Comment by Salience]],0),FALSE)</f>
        <v>161</v>
      </c>
    </row>
    <row r="143" spans="1:3" ht="15">
      <c r="A143" s="83" t="s">
        <v>813</v>
      </c>
      <c r="B143" s="103" t="s">
        <v>470</v>
      </c>
      <c r="C143" s="82">
        <f>VLOOKUP(GroupVertices[[#This Row],[Vertex]],Vertices[],MATCH("ID",Vertices[[#Headers],[Vertex]:[Top Word Pairs in Edit Comment by Salience]],0),FALSE)</f>
        <v>160</v>
      </c>
    </row>
    <row r="144" spans="1:3" ht="15">
      <c r="A144" s="83" t="s">
        <v>813</v>
      </c>
      <c r="B144" s="103" t="s">
        <v>469</v>
      </c>
      <c r="C144" s="82">
        <f>VLOOKUP(GroupVertices[[#This Row],[Vertex]],Vertices[],MATCH("ID",Vertices[[#Headers],[Vertex]:[Top Word Pairs in Edit Comment by Salience]],0),FALSE)</f>
        <v>159</v>
      </c>
    </row>
    <row r="145" spans="1:3" ht="15">
      <c r="A145" s="83" t="s">
        <v>813</v>
      </c>
      <c r="B145" s="103" t="s">
        <v>468</v>
      </c>
      <c r="C145" s="82">
        <f>VLOOKUP(GroupVertices[[#This Row],[Vertex]],Vertices[],MATCH("ID",Vertices[[#Headers],[Vertex]:[Top Word Pairs in Edit Comment by Salience]],0),FALSE)</f>
        <v>158</v>
      </c>
    </row>
    <row r="146" spans="1:3" ht="15">
      <c r="A146" s="83" t="s">
        <v>813</v>
      </c>
      <c r="B146" s="103" t="s">
        <v>466</v>
      </c>
      <c r="C146" s="82">
        <f>VLOOKUP(GroupVertices[[#This Row],[Vertex]],Vertices[],MATCH("ID",Vertices[[#Headers],[Vertex]:[Top Word Pairs in Edit Comment by Salience]],0),FALSE)</f>
        <v>156</v>
      </c>
    </row>
    <row r="147" spans="1:3" ht="15">
      <c r="A147" s="83" t="s">
        <v>813</v>
      </c>
      <c r="B147" s="103" t="s">
        <v>464</v>
      </c>
      <c r="C147" s="82">
        <f>VLOOKUP(GroupVertices[[#This Row],[Vertex]],Vertices[],MATCH("ID",Vertices[[#Headers],[Vertex]:[Top Word Pairs in Edit Comment by Salience]],0),FALSE)</f>
        <v>154</v>
      </c>
    </row>
    <row r="148" spans="1:3" ht="15">
      <c r="A148" s="83" t="s">
        <v>813</v>
      </c>
      <c r="B148" s="103" t="s">
        <v>463</v>
      </c>
      <c r="C148" s="82">
        <f>VLOOKUP(GroupVertices[[#This Row],[Vertex]],Vertices[],MATCH("ID",Vertices[[#Headers],[Vertex]:[Top Word Pairs in Edit Comment by Salience]],0),FALSE)</f>
        <v>153</v>
      </c>
    </row>
    <row r="149" spans="1:3" ht="15">
      <c r="A149" s="83" t="s">
        <v>814</v>
      </c>
      <c r="B149" s="103" t="s">
        <v>354</v>
      </c>
      <c r="C149" s="82">
        <f>VLOOKUP(GroupVertices[[#This Row],[Vertex]],Vertices[],MATCH("ID",Vertices[[#Headers],[Vertex]:[Top Word Pairs in Edit Comment by Salience]],0),FALSE)</f>
        <v>43</v>
      </c>
    </row>
    <row r="150" spans="1:3" ht="15">
      <c r="A150" s="83" t="s">
        <v>814</v>
      </c>
      <c r="B150" s="103" t="s">
        <v>353</v>
      </c>
      <c r="C150" s="82">
        <f>VLOOKUP(GroupVertices[[#This Row],[Vertex]],Vertices[],MATCH("ID",Vertices[[#Headers],[Vertex]:[Top Word Pairs in Edit Comment by Salience]],0),FALSE)</f>
        <v>42</v>
      </c>
    </row>
    <row r="151" spans="1:3" ht="15">
      <c r="A151" s="83" t="s">
        <v>814</v>
      </c>
      <c r="B151" s="103" t="s">
        <v>352</v>
      </c>
      <c r="C151" s="82">
        <f>VLOOKUP(GroupVertices[[#This Row],[Vertex]],Vertices[],MATCH("ID",Vertices[[#Headers],[Vertex]:[Top Word Pairs in Edit Comment by Salience]],0),FALSE)</f>
        <v>41</v>
      </c>
    </row>
    <row r="152" spans="1:3" ht="15">
      <c r="A152" s="83" t="s">
        <v>814</v>
      </c>
      <c r="B152" s="103" t="s">
        <v>349</v>
      </c>
      <c r="C152" s="82">
        <f>VLOOKUP(GroupVertices[[#This Row],[Vertex]],Vertices[],MATCH("ID",Vertices[[#Headers],[Vertex]:[Top Word Pairs in Edit Comment by Salience]],0),FALSE)</f>
        <v>38</v>
      </c>
    </row>
    <row r="153" spans="1:3" ht="15">
      <c r="A153" s="83" t="s">
        <v>814</v>
      </c>
      <c r="B153" s="103" t="s">
        <v>351</v>
      </c>
      <c r="C153" s="82">
        <f>VLOOKUP(GroupVertices[[#This Row],[Vertex]],Vertices[],MATCH("ID",Vertices[[#Headers],[Vertex]:[Top Word Pairs in Edit Comment by Salience]],0),FALSE)</f>
        <v>40</v>
      </c>
    </row>
    <row r="154" spans="1:3" ht="15">
      <c r="A154" s="83" t="s">
        <v>814</v>
      </c>
      <c r="B154" s="103" t="s">
        <v>350</v>
      </c>
      <c r="C154" s="82">
        <f>VLOOKUP(GroupVertices[[#This Row],[Vertex]],Vertices[],MATCH("ID",Vertices[[#Headers],[Vertex]:[Top Word Pairs in Edit Comment by Salience]],0),FALSE)</f>
        <v>39</v>
      </c>
    </row>
    <row r="155" spans="1:3" ht="15">
      <c r="A155" s="83" t="s">
        <v>814</v>
      </c>
      <c r="B155" s="103" t="s">
        <v>341</v>
      </c>
      <c r="C155" s="82">
        <f>VLOOKUP(GroupVertices[[#This Row],[Vertex]],Vertices[],MATCH("ID",Vertices[[#Headers],[Vertex]:[Top Word Pairs in Edit Comment by Salience]],0),FALSE)</f>
        <v>30</v>
      </c>
    </row>
    <row r="156" spans="1:3" ht="15">
      <c r="A156" s="83" t="s">
        <v>814</v>
      </c>
      <c r="B156" s="103" t="s">
        <v>348</v>
      </c>
      <c r="C156" s="82">
        <f>VLOOKUP(GroupVertices[[#This Row],[Vertex]],Vertices[],MATCH("ID",Vertices[[#Headers],[Vertex]:[Top Word Pairs in Edit Comment by Salience]],0),FALSE)</f>
        <v>37</v>
      </c>
    </row>
    <row r="157" spans="1:3" ht="15">
      <c r="A157" s="83" t="s">
        <v>814</v>
      </c>
      <c r="B157" s="103" t="s">
        <v>347</v>
      </c>
      <c r="C157" s="82">
        <f>VLOOKUP(GroupVertices[[#This Row],[Vertex]],Vertices[],MATCH("ID",Vertices[[#Headers],[Vertex]:[Top Word Pairs in Edit Comment by Salience]],0),FALSE)</f>
        <v>36</v>
      </c>
    </row>
    <row r="158" spans="1:3" ht="15">
      <c r="A158" s="83" t="s">
        <v>814</v>
      </c>
      <c r="B158" s="103" t="s">
        <v>346</v>
      </c>
      <c r="C158" s="82" t="e">
        <f>VLOOKUP(GroupVertices[[#This Row],[Vertex]],Vertices[],MATCH("ID",Vertices[[#Headers],[Vertex]:[Top Word Pairs in Edit Comment by Salience]],0),FALSE)</f>
        <v>#N/A</v>
      </c>
    </row>
    <row r="159" spans="1:3" ht="15">
      <c r="A159" s="83" t="s">
        <v>814</v>
      </c>
      <c r="B159" s="103" t="s">
        <v>345</v>
      </c>
      <c r="C159" s="82">
        <f>VLOOKUP(GroupVertices[[#This Row],[Vertex]],Vertices[],MATCH("ID",Vertices[[#Headers],[Vertex]:[Top Word Pairs in Edit Comment by Salience]],0),FALSE)</f>
        <v>34</v>
      </c>
    </row>
    <row r="160" spans="1:3" ht="15">
      <c r="A160" s="83" t="s">
        <v>814</v>
      </c>
      <c r="B160" s="103" t="s">
        <v>344</v>
      </c>
      <c r="C160" s="82">
        <f>VLOOKUP(GroupVertices[[#This Row],[Vertex]],Vertices[],MATCH("ID",Vertices[[#Headers],[Vertex]:[Top Word Pairs in Edit Comment by Salience]],0),FALSE)</f>
        <v>33</v>
      </c>
    </row>
    <row r="161" spans="1:3" ht="15">
      <c r="A161" s="83" t="s">
        <v>814</v>
      </c>
      <c r="B161" s="103" t="s">
        <v>343</v>
      </c>
      <c r="C161" s="82">
        <f>VLOOKUP(GroupVertices[[#This Row],[Vertex]],Vertices[],MATCH("ID",Vertices[[#Headers],[Vertex]:[Top Word Pairs in Edit Comment by Salience]],0),FALSE)</f>
        <v>32</v>
      </c>
    </row>
    <row r="162" spans="1:3" ht="15">
      <c r="A162" s="83" t="s">
        <v>814</v>
      </c>
      <c r="B162" s="103" t="s">
        <v>342</v>
      </c>
      <c r="C162" s="82">
        <f>VLOOKUP(GroupVertices[[#This Row],[Vertex]],Vertices[],MATCH("ID",Vertices[[#Headers],[Vertex]:[Top Word Pairs in Edit Comment by Salience]],0),FALSE)</f>
        <v>31</v>
      </c>
    </row>
    <row r="163" spans="1:3" ht="15">
      <c r="A163" s="83" t="s">
        <v>814</v>
      </c>
      <c r="B163" s="103" t="s">
        <v>340</v>
      </c>
      <c r="C163" s="82">
        <f>VLOOKUP(GroupVertices[[#This Row],[Vertex]],Vertices[],MATCH("ID",Vertices[[#Headers],[Vertex]:[Top Word Pairs in Edit Comment by Salience]],0),FALSE)</f>
        <v>29</v>
      </c>
    </row>
    <row r="164" spans="1:3" ht="15">
      <c r="A164" s="83" t="s">
        <v>814</v>
      </c>
      <c r="B164" s="103" t="s">
        <v>339</v>
      </c>
      <c r="C164" s="82">
        <f>VLOOKUP(GroupVertices[[#This Row],[Vertex]],Vertices[],MATCH("ID",Vertices[[#Headers],[Vertex]:[Top Word Pairs in Edit Comment by Salience]],0),FALSE)</f>
        <v>28</v>
      </c>
    </row>
    <row r="165" spans="1:3" ht="15">
      <c r="A165" s="83" t="s">
        <v>815</v>
      </c>
      <c r="B165" s="103" t="s">
        <v>376</v>
      </c>
      <c r="C165" s="82">
        <f>VLOOKUP(GroupVertices[[#This Row],[Vertex]],Vertices[],MATCH("ID",Vertices[[#Headers],[Vertex]:[Top Word Pairs in Edit Comment by Salience]],0),FALSE)</f>
        <v>65</v>
      </c>
    </row>
    <row r="166" spans="1:3" ht="15">
      <c r="A166" s="83" t="s">
        <v>815</v>
      </c>
      <c r="B166" s="103" t="s">
        <v>369</v>
      </c>
      <c r="C166" s="82">
        <f>VLOOKUP(GroupVertices[[#This Row],[Vertex]],Vertices[],MATCH("ID",Vertices[[#Headers],[Vertex]:[Top Word Pairs in Edit Comment by Salience]],0),FALSE)</f>
        <v>58</v>
      </c>
    </row>
    <row r="167" spans="1:3" ht="15">
      <c r="A167" s="83" t="s">
        <v>815</v>
      </c>
      <c r="B167" s="103" t="s">
        <v>375</v>
      </c>
      <c r="C167" s="82">
        <f>VLOOKUP(GroupVertices[[#This Row],[Vertex]],Vertices[],MATCH("ID",Vertices[[#Headers],[Vertex]:[Top Word Pairs in Edit Comment by Salience]],0),FALSE)</f>
        <v>64</v>
      </c>
    </row>
    <row r="168" spans="1:3" ht="15">
      <c r="A168" s="83" t="s">
        <v>815</v>
      </c>
      <c r="B168" s="103" t="s">
        <v>374</v>
      </c>
      <c r="C168" s="82">
        <f>VLOOKUP(GroupVertices[[#This Row],[Vertex]],Vertices[],MATCH("ID",Vertices[[#Headers],[Vertex]:[Top Word Pairs in Edit Comment by Salience]],0),FALSE)</f>
        <v>63</v>
      </c>
    </row>
    <row r="169" spans="1:3" ht="15">
      <c r="A169" s="83" t="s">
        <v>815</v>
      </c>
      <c r="B169" s="103" t="s">
        <v>373</v>
      </c>
      <c r="C169" s="82">
        <f>VLOOKUP(GroupVertices[[#This Row],[Vertex]],Vertices[],MATCH("ID",Vertices[[#Headers],[Vertex]:[Top Word Pairs in Edit Comment by Salience]],0),FALSE)</f>
        <v>62</v>
      </c>
    </row>
    <row r="170" spans="1:3" ht="15">
      <c r="A170" s="83" t="s">
        <v>815</v>
      </c>
      <c r="B170" s="103" t="s">
        <v>372</v>
      </c>
      <c r="C170" s="82">
        <f>VLOOKUP(GroupVertices[[#This Row],[Vertex]],Vertices[],MATCH("ID",Vertices[[#Headers],[Vertex]:[Top Word Pairs in Edit Comment by Salience]],0),FALSE)</f>
        <v>61</v>
      </c>
    </row>
    <row r="171" spans="1:3" ht="15">
      <c r="A171" s="83" t="s">
        <v>815</v>
      </c>
      <c r="B171" s="103" t="s">
        <v>371</v>
      </c>
      <c r="C171" s="82">
        <f>VLOOKUP(GroupVertices[[#This Row],[Vertex]],Vertices[],MATCH("ID",Vertices[[#Headers],[Vertex]:[Top Word Pairs in Edit Comment by Salience]],0),FALSE)</f>
        <v>60</v>
      </c>
    </row>
    <row r="172" spans="1:3" ht="15">
      <c r="A172" s="83" t="s">
        <v>815</v>
      </c>
      <c r="B172" s="103" t="s">
        <v>370</v>
      </c>
      <c r="C172" s="82">
        <f>VLOOKUP(GroupVertices[[#This Row],[Vertex]],Vertices[],MATCH("ID",Vertices[[#Headers],[Vertex]:[Top Word Pairs in Edit Comment by Salience]],0),FALSE)</f>
        <v>59</v>
      </c>
    </row>
    <row r="173" spans="1:3" ht="15">
      <c r="A173" s="83" t="s">
        <v>815</v>
      </c>
      <c r="B173" s="103" t="s">
        <v>368</v>
      </c>
      <c r="C173" s="82">
        <f>VLOOKUP(GroupVertices[[#This Row],[Vertex]],Vertices[],MATCH("ID",Vertices[[#Headers],[Vertex]:[Top Word Pairs in Edit Comment by Salience]],0),FALSE)</f>
        <v>57</v>
      </c>
    </row>
    <row r="174" spans="1:3" ht="15">
      <c r="A174" s="83" t="s">
        <v>815</v>
      </c>
      <c r="B174" s="103" t="s">
        <v>367</v>
      </c>
      <c r="C174" s="82">
        <f>VLOOKUP(GroupVertices[[#This Row],[Vertex]],Vertices[],MATCH("ID",Vertices[[#Headers],[Vertex]:[Top Word Pairs in Edit Comment by Salience]],0),FALSE)</f>
        <v>56</v>
      </c>
    </row>
    <row r="175" spans="1:3" ht="15">
      <c r="A175" s="83" t="s">
        <v>815</v>
      </c>
      <c r="B175" s="103" t="s">
        <v>366</v>
      </c>
      <c r="C175" s="82">
        <f>VLOOKUP(GroupVertices[[#This Row],[Vertex]],Vertices[],MATCH("ID",Vertices[[#Headers],[Vertex]:[Top Word Pairs in Edit Comment by Salience]],0),FALSE)</f>
        <v>55</v>
      </c>
    </row>
    <row r="176" spans="1:3" ht="15">
      <c r="A176" s="83" t="s">
        <v>815</v>
      </c>
      <c r="B176" s="103" t="s">
        <v>365</v>
      </c>
      <c r="C176" s="82">
        <f>VLOOKUP(GroupVertices[[#This Row],[Vertex]],Vertices[],MATCH("ID",Vertices[[#Headers],[Vertex]:[Top Word Pairs in Edit Comment by Salience]],0),FALSE)</f>
        <v>54</v>
      </c>
    </row>
    <row r="177" spans="1:3" ht="15">
      <c r="A177" s="83" t="s">
        <v>815</v>
      </c>
      <c r="B177" s="103" t="s">
        <v>364</v>
      </c>
      <c r="C177" s="82">
        <f>VLOOKUP(GroupVertices[[#This Row],[Vertex]],Vertices[],MATCH("ID",Vertices[[#Headers],[Vertex]:[Top Word Pairs in Edit Comment by Salience]],0),FALSE)</f>
        <v>53</v>
      </c>
    </row>
    <row r="178" spans="1:3" ht="15">
      <c r="A178" s="83" t="s">
        <v>816</v>
      </c>
      <c r="B178" s="103" t="s">
        <v>417</v>
      </c>
      <c r="C178" s="82">
        <f>VLOOKUP(GroupVertices[[#This Row],[Vertex]],Vertices[],MATCH("ID",Vertices[[#Headers],[Vertex]:[Top Word Pairs in Edit Comment by Salience]],0),FALSE)</f>
        <v>106</v>
      </c>
    </row>
    <row r="179" spans="1:3" ht="15">
      <c r="A179" s="83" t="s">
        <v>816</v>
      </c>
      <c r="B179" s="103" t="s">
        <v>431</v>
      </c>
      <c r="C179" s="82">
        <f>VLOOKUP(GroupVertices[[#This Row],[Vertex]],Vertices[],MATCH("ID",Vertices[[#Headers],[Vertex]:[Top Word Pairs in Edit Comment by Salience]],0),FALSE)</f>
        <v>120</v>
      </c>
    </row>
    <row r="180" spans="1:3" ht="15">
      <c r="A180" s="83" t="s">
        <v>816</v>
      </c>
      <c r="B180" s="103" t="s">
        <v>430</v>
      </c>
      <c r="C180" s="82">
        <f>VLOOKUP(GroupVertices[[#This Row],[Vertex]],Vertices[],MATCH("ID",Vertices[[#Headers],[Vertex]:[Top Word Pairs in Edit Comment by Salience]],0),FALSE)</f>
        <v>119</v>
      </c>
    </row>
    <row r="181" spans="1:3" ht="15">
      <c r="A181" s="83" t="s">
        <v>816</v>
      </c>
      <c r="B181" s="103" t="s">
        <v>429</v>
      </c>
      <c r="C181" s="82">
        <f>VLOOKUP(GroupVertices[[#This Row],[Vertex]],Vertices[],MATCH("ID",Vertices[[#Headers],[Vertex]:[Top Word Pairs in Edit Comment by Salience]],0),FALSE)</f>
        <v>118</v>
      </c>
    </row>
    <row r="182" spans="1:3" ht="15">
      <c r="A182" s="83" t="s">
        <v>816</v>
      </c>
      <c r="B182" s="103" t="s">
        <v>428</v>
      </c>
      <c r="C182" s="82">
        <f>VLOOKUP(GroupVertices[[#This Row],[Vertex]],Vertices[],MATCH("ID",Vertices[[#Headers],[Vertex]:[Top Word Pairs in Edit Comment by Salience]],0),FALSE)</f>
        <v>117</v>
      </c>
    </row>
    <row r="183" spans="1:3" ht="15">
      <c r="A183" s="83" t="s">
        <v>816</v>
      </c>
      <c r="B183" s="103" t="s">
        <v>422</v>
      </c>
      <c r="C183" s="82">
        <f>VLOOKUP(GroupVertices[[#This Row],[Vertex]],Vertices[],MATCH("ID",Vertices[[#Headers],[Vertex]:[Top Word Pairs in Edit Comment by Salience]],0),FALSE)</f>
        <v>111</v>
      </c>
    </row>
    <row r="184" spans="1:3" ht="15">
      <c r="A184" s="83" t="s">
        <v>816</v>
      </c>
      <c r="B184" s="103" t="s">
        <v>421</v>
      </c>
      <c r="C184" s="82">
        <f>VLOOKUP(GroupVertices[[#This Row],[Vertex]],Vertices[],MATCH("ID",Vertices[[#Headers],[Vertex]:[Top Word Pairs in Edit Comment by Salience]],0),FALSE)</f>
        <v>110</v>
      </c>
    </row>
    <row r="185" spans="1:3" ht="15">
      <c r="A185" s="83" t="s">
        <v>816</v>
      </c>
      <c r="B185" s="103" t="s">
        <v>420</v>
      </c>
      <c r="C185" s="82">
        <f>VLOOKUP(GroupVertices[[#This Row],[Vertex]],Vertices[],MATCH("ID",Vertices[[#Headers],[Vertex]:[Top Word Pairs in Edit Comment by Salience]],0),FALSE)</f>
        <v>109</v>
      </c>
    </row>
    <row r="186" spans="1:3" ht="15">
      <c r="A186" s="83" t="s">
        <v>816</v>
      </c>
      <c r="B186" s="103" t="s">
        <v>419</v>
      </c>
      <c r="C186" s="82">
        <f>VLOOKUP(GroupVertices[[#This Row],[Vertex]],Vertices[],MATCH("ID",Vertices[[#Headers],[Vertex]:[Top Word Pairs in Edit Comment by Salience]],0),FALSE)</f>
        <v>108</v>
      </c>
    </row>
    <row r="187" spans="1:3" ht="15">
      <c r="A187" s="83" t="s">
        <v>816</v>
      </c>
      <c r="B187" s="103" t="s">
        <v>418</v>
      </c>
      <c r="C187" s="82">
        <f>VLOOKUP(GroupVertices[[#This Row],[Vertex]],Vertices[],MATCH("ID",Vertices[[#Headers],[Vertex]:[Top Word Pairs in Edit Comment by Salience]],0),FALSE)</f>
        <v>107</v>
      </c>
    </row>
    <row r="188" spans="1:3" ht="15">
      <c r="A188" s="83" t="s">
        <v>816</v>
      </c>
      <c r="B188" s="103" t="s">
        <v>416</v>
      </c>
      <c r="C188" s="82">
        <f>VLOOKUP(GroupVertices[[#This Row],[Vertex]],Vertices[],MATCH("ID",Vertices[[#Headers],[Vertex]:[Top Word Pairs in Edit Comment by Salience]],0),FALSE)</f>
        <v>105</v>
      </c>
    </row>
    <row r="189" spans="1:3" ht="15">
      <c r="A189" s="83" t="s">
        <v>816</v>
      </c>
      <c r="B189" s="103" t="s">
        <v>415</v>
      </c>
      <c r="C189" s="82">
        <f>VLOOKUP(GroupVertices[[#This Row],[Vertex]],Vertices[],MATCH("ID",Vertices[[#Headers],[Vertex]:[Top Word Pairs in Edit Comment by Salience]],0),FALSE)</f>
        <v>104</v>
      </c>
    </row>
    <row r="190" spans="1:3" ht="15">
      <c r="A190" s="83" t="s">
        <v>817</v>
      </c>
      <c r="B190" s="103" t="s">
        <v>441</v>
      </c>
      <c r="C190" s="82">
        <f>VLOOKUP(GroupVertices[[#This Row],[Vertex]],Vertices[],MATCH("ID",Vertices[[#Headers],[Vertex]:[Top Word Pairs in Edit Comment by Salience]],0),FALSE)</f>
        <v>131</v>
      </c>
    </row>
    <row r="191" spans="1:3" ht="15">
      <c r="A191" s="83" t="s">
        <v>817</v>
      </c>
      <c r="B191" s="103" t="s">
        <v>440</v>
      </c>
      <c r="C191" s="82">
        <f>VLOOKUP(GroupVertices[[#This Row],[Vertex]],Vertices[],MATCH("ID",Vertices[[#Headers],[Vertex]:[Top Word Pairs in Edit Comment by Salience]],0),FALSE)</f>
        <v>130</v>
      </c>
    </row>
    <row r="192" spans="1:3" ht="15">
      <c r="A192" s="83" t="s">
        <v>817</v>
      </c>
      <c r="B192" s="103" t="s">
        <v>439</v>
      </c>
      <c r="C192" s="82">
        <f>VLOOKUP(GroupVertices[[#This Row],[Vertex]],Vertices[],MATCH("ID",Vertices[[#Headers],[Vertex]:[Top Word Pairs in Edit Comment by Salience]],0),FALSE)</f>
        <v>129</v>
      </c>
    </row>
    <row r="193" spans="1:3" ht="15">
      <c r="A193" s="83" t="s">
        <v>817</v>
      </c>
      <c r="B193" s="103" t="s">
        <v>435</v>
      </c>
      <c r="C193" s="82">
        <f>VLOOKUP(GroupVertices[[#This Row],[Vertex]],Vertices[],MATCH("ID",Vertices[[#Headers],[Vertex]:[Top Word Pairs in Edit Comment by Salience]],0),FALSE)</f>
        <v>122</v>
      </c>
    </row>
    <row r="194" spans="1:3" ht="15">
      <c r="A194" s="83" t="s">
        <v>817</v>
      </c>
      <c r="B194" s="103" t="s">
        <v>438</v>
      </c>
      <c r="C194" s="82">
        <f>VLOOKUP(GroupVertices[[#This Row],[Vertex]],Vertices[],MATCH("ID",Vertices[[#Headers],[Vertex]:[Top Word Pairs in Edit Comment by Salience]],0),FALSE)</f>
        <v>127</v>
      </c>
    </row>
    <row r="195" spans="1:3" ht="15">
      <c r="A195" s="83" t="s">
        <v>817</v>
      </c>
      <c r="B195" s="103" t="s">
        <v>437</v>
      </c>
      <c r="C195" s="82">
        <f>VLOOKUP(GroupVertices[[#This Row],[Vertex]],Vertices[],MATCH("ID",Vertices[[#Headers],[Vertex]:[Top Word Pairs in Edit Comment by Salience]],0),FALSE)</f>
        <v>126</v>
      </c>
    </row>
    <row r="196" spans="1:3" ht="15">
      <c r="A196" s="83" t="s">
        <v>817</v>
      </c>
      <c r="B196" s="103" t="s">
        <v>436</v>
      </c>
      <c r="C196" s="82">
        <f>VLOOKUP(GroupVertices[[#This Row],[Vertex]],Vertices[],MATCH("ID",Vertices[[#Headers],[Vertex]:[Top Word Pairs in Edit Comment by Salience]],0),FALSE)</f>
        <v>125</v>
      </c>
    </row>
    <row r="197" spans="1:3" ht="15">
      <c r="A197" s="83" t="s">
        <v>817</v>
      </c>
      <c r="B197" s="103" t="s">
        <v>433</v>
      </c>
      <c r="C197" s="82">
        <f>VLOOKUP(GroupVertices[[#This Row],[Vertex]],Vertices[],MATCH("ID",Vertices[[#Headers],[Vertex]:[Top Word Pairs in Edit Comment by Salience]],0),FALSE)</f>
        <v>123</v>
      </c>
    </row>
    <row r="198" spans="1:3" ht="15">
      <c r="A198" s="83" t="s">
        <v>817</v>
      </c>
      <c r="B198" s="103" t="s">
        <v>434</v>
      </c>
      <c r="C198" s="82">
        <f>VLOOKUP(GroupVertices[[#This Row],[Vertex]],Vertices[],MATCH("ID",Vertices[[#Headers],[Vertex]:[Top Word Pairs in Edit Comment by Salience]],0),FALSE)</f>
        <v>124</v>
      </c>
    </row>
    <row r="199" spans="1:3" ht="15">
      <c r="A199" s="83" t="s">
        <v>817</v>
      </c>
      <c r="B199" s="103" t="s">
        <v>432</v>
      </c>
      <c r="C199" s="82">
        <f>VLOOKUP(GroupVertices[[#This Row],[Vertex]],Vertices[],MATCH("ID",Vertices[[#Headers],[Vertex]:[Top Word Pairs in Edit Comment by Salience]],0),FALSE)</f>
        <v>121</v>
      </c>
    </row>
    <row r="200" spans="1:3" ht="15">
      <c r="A200" s="83" t="s">
        <v>818</v>
      </c>
      <c r="B200" s="103" t="s">
        <v>413</v>
      </c>
      <c r="C200" s="82">
        <f>VLOOKUP(GroupVertices[[#This Row],[Vertex]],Vertices[],MATCH("ID",Vertices[[#Headers],[Vertex]:[Top Word Pairs in Edit Comment by Salience]],0),FALSE)</f>
        <v>102</v>
      </c>
    </row>
    <row r="201" spans="1:3" ht="15">
      <c r="A201" s="83" t="s">
        <v>818</v>
      </c>
      <c r="B201" s="103" t="s">
        <v>412</v>
      </c>
      <c r="C201" s="82">
        <f>VLOOKUP(GroupVertices[[#This Row],[Vertex]],Vertices[],MATCH("ID",Vertices[[#Headers],[Vertex]:[Top Word Pairs in Edit Comment by Salience]],0),FALSE)</f>
        <v>101</v>
      </c>
    </row>
    <row r="202" spans="1:3" ht="15">
      <c r="A202" s="83" t="s">
        <v>818</v>
      </c>
      <c r="B202" s="103" t="s">
        <v>411</v>
      </c>
      <c r="C202" s="82">
        <f>VLOOKUP(GroupVertices[[#This Row],[Vertex]],Vertices[],MATCH("ID",Vertices[[#Headers],[Vertex]:[Top Word Pairs in Edit Comment by Salience]],0),FALSE)</f>
        <v>100</v>
      </c>
    </row>
    <row r="203" spans="1:3" ht="15">
      <c r="A203" s="83" t="s">
        <v>818</v>
      </c>
      <c r="B203" s="103" t="s">
        <v>410</v>
      </c>
      <c r="C203" s="82">
        <f>VLOOKUP(GroupVertices[[#This Row],[Vertex]],Vertices[],MATCH("ID",Vertices[[#Headers],[Vertex]:[Top Word Pairs in Edit Comment by Salience]],0),FALSE)</f>
        <v>99</v>
      </c>
    </row>
    <row r="204" spans="1:3" ht="15">
      <c r="A204" s="83" t="s">
        <v>818</v>
      </c>
      <c r="B204" s="103" t="s">
        <v>409</v>
      </c>
      <c r="C204" s="82">
        <f>VLOOKUP(GroupVertices[[#This Row],[Vertex]],Vertices[],MATCH("ID",Vertices[[#Headers],[Vertex]:[Top Word Pairs in Edit Comment by Salience]],0),FALSE)</f>
        <v>98</v>
      </c>
    </row>
    <row r="205" spans="1:3" ht="15">
      <c r="A205" s="83" t="s">
        <v>818</v>
      </c>
      <c r="B205" s="103" t="s">
        <v>408</v>
      </c>
      <c r="C205" s="82">
        <f>VLOOKUP(GroupVertices[[#This Row],[Vertex]],Vertices[],MATCH("ID",Vertices[[#Headers],[Vertex]:[Top Word Pairs in Edit Comment by Salience]],0),FALSE)</f>
        <v>97</v>
      </c>
    </row>
  </sheetData>
  <dataValidations count="3" xWindow="58" yWindow="226">
    <dataValidation allowBlank="1" showInputMessage="1" showErrorMessage="1" promptTitle="Group Name" prompt="Enter the name of the group.  The group name must also be entered on the Groups worksheet." sqref="A2:A205"/>
    <dataValidation allowBlank="1" showInputMessage="1" showErrorMessage="1" promptTitle="Vertex Name" prompt="Enter the name of a vertex to include in the group." sqref="B2:B205"/>
    <dataValidation allowBlank="1" showInputMessage="1" promptTitle="Vertex ID" prompt="This is the value of the hidden ID cell in the Vertices worksheet.  It gets filled in by the items on the NodeXL, Analysis, Groups menu." sqref="C2:C20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1251</v>
      </c>
      <c r="B2" s="35" t="s">
        <v>306</v>
      </c>
      <c r="D2" s="32">
        <f>MIN(Vertices[Degree])</f>
        <v>0</v>
      </c>
      <c r="E2" s="3">
        <f>COUNTIF(Vertices[Degree],"&gt;= "&amp;D2)-COUNTIF(Vertices[Degree],"&gt;="&amp;D3)</f>
        <v>0</v>
      </c>
      <c r="F2" s="38">
        <f>MIN(Vertices[In-Degree])</f>
        <v>1</v>
      </c>
      <c r="G2" s="39">
        <f>COUNTIF(Vertices[In-Degree],"&gt;= "&amp;F2)-COUNTIF(Vertices[In-Degree],"&gt;="&amp;F3)</f>
        <v>125</v>
      </c>
      <c r="H2" s="38">
        <f>MIN(Vertices[Out-Degree])</f>
        <v>0</v>
      </c>
      <c r="I2" s="39">
        <f>COUNTIF(Vertices[Out-Degree],"&gt;= "&amp;H2)-COUNTIF(Vertices[Out-Degree],"&gt;="&amp;H3)</f>
        <v>1</v>
      </c>
      <c r="J2" s="38">
        <f>MIN(Vertices[Betweenness Centrality])</f>
        <v>0</v>
      </c>
      <c r="K2" s="39">
        <f>COUNTIF(Vertices[Betweenness Centrality],"&gt;= "&amp;J2)-COUNTIF(Vertices[Betweenness Centrality],"&gt;="&amp;J3)</f>
        <v>154</v>
      </c>
      <c r="L2" s="38">
        <f>MIN(Vertices[Closeness Centrality])</f>
        <v>0.000441</v>
      </c>
      <c r="M2" s="39">
        <f>COUNTIF(Vertices[Closeness Centrality],"&gt;= "&amp;L2)-COUNTIF(Vertices[Closeness Centrality],"&gt;="&amp;L3)</f>
        <v>1</v>
      </c>
      <c r="N2" s="38">
        <f>MIN(Vertices[Eigenvector Centrality])</f>
        <v>0</v>
      </c>
      <c r="O2" s="39">
        <f>COUNTIF(Vertices[Eigenvector Centrality],"&gt;= "&amp;N2)-COUNTIF(Vertices[Eigenvector Centrality],"&gt;="&amp;N3)</f>
        <v>102</v>
      </c>
      <c r="P2" s="38">
        <f>MIN(Vertices[PageRank])</f>
        <v>0.391038</v>
      </c>
      <c r="Q2" s="39">
        <f>COUNTIF(Vertices[PageRank],"&gt;= "&amp;P2)-COUNTIF(Vertices[PageRank],"&gt;="&amp;P3)</f>
        <v>37</v>
      </c>
      <c r="R2" s="38">
        <f>MIN(Vertices[Clustering Coefficient])</f>
        <v>0</v>
      </c>
      <c r="S2" s="44">
        <f>COUNTIF(Vertices[Clustering Coefficient],"&gt;= "&amp;R2)-COUNTIF(Vertices[Clustering Coefficient],"&gt;="&amp;R3)</f>
        <v>157</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0"/>
      <c r="B3" s="110"/>
      <c r="D3" s="33">
        <f aca="true" t="shared" si="1" ref="D3:D26">D2+($D$50-$D$2)/BinDivisor</f>
        <v>0</v>
      </c>
      <c r="E3" s="3">
        <f>COUNTIF(Vertices[Degree],"&gt;= "&amp;D3)-COUNTIF(Vertices[Degree],"&gt;="&amp;D4)</f>
        <v>0</v>
      </c>
      <c r="F3" s="40">
        <f aca="true" t="shared" si="2" ref="F3:F26">F2+($F$50-$F$2)/BinDivisor</f>
        <v>1.625</v>
      </c>
      <c r="G3" s="41">
        <f>COUNTIF(Vertices[In-Degree],"&gt;= "&amp;F3)-COUNTIF(Vertices[In-Degree],"&gt;="&amp;F4)</f>
        <v>51</v>
      </c>
      <c r="H3" s="40">
        <f aca="true" t="shared" si="3" ref="H3:H26">H2+($H$50-$H$2)/BinDivisor</f>
        <v>0.625</v>
      </c>
      <c r="I3" s="41">
        <f>COUNTIF(Vertices[Out-Degree],"&gt;= "&amp;H3)-COUNTIF(Vertices[Out-Degree],"&gt;="&amp;H4)</f>
        <v>121</v>
      </c>
      <c r="J3" s="40">
        <f aca="true" t="shared" si="4" ref="J3:J26">J2+($J$50-$J$2)/BinDivisor</f>
        <v>774.8223394583333</v>
      </c>
      <c r="K3" s="41">
        <f>COUNTIF(Vertices[Betweenness Centrality],"&gt;= "&amp;J3)-COUNTIF(Vertices[Betweenness Centrality],"&gt;="&amp;J4)</f>
        <v>25</v>
      </c>
      <c r="L3" s="40">
        <f aca="true" t="shared" si="5" ref="L3:L26">L2+($L$50-$L$2)/BinDivisor</f>
        <v>0.00047010416666666663</v>
      </c>
      <c r="M3" s="41">
        <f>COUNTIF(Vertices[Closeness Centrality],"&gt;= "&amp;L3)-COUNTIF(Vertices[Closeness Centrality],"&gt;="&amp;L4)</f>
        <v>2</v>
      </c>
      <c r="N3" s="40">
        <f aca="true" t="shared" si="6" ref="N3:N26">N2+($N$50-$N$2)/BinDivisor</f>
        <v>0.0019016458333333333</v>
      </c>
      <c r="O3" s="41">
        <f>COUNTIF(Vertices[Eigenvector Centrality],"&gt;= "&amp;N3)-COUNTIF(Vertices[Eigenvector Centrality],"&gt;="&amp;N4)</f>
        <v>46</v>
      </c>
      <c r="P3" s="40">
        <f aca="true" t="shared" si="7" ref="P3:P26">P2+($P$50-$P$2)/BinDivisor</f>
        <v>0.6841885833333333</v>
      </c>
      <c r="Q3" s="41">
        <f>COUNTIF(Vertices[PageRank],"&gt;= "&amp;P3)-COUNTIF(Vertices[PageRank],"&gt;="&amp;P4)</f>
        <v>106</v>
      </c>
      <c r="R3" s="40">
        <f aca="true" t="shared" si="8" ref="R3:R26">R2+($R$50-$R$2)/BinDivisor</f>
        <v>0.020833333333333332</v>
      </c>
      <c r="S3" s="45">
        <f>COUNTIF(Vertices[Clustering Coefficient],"&gt;= "&amp;R3)-COUNTIF(Vertices[Clustering Coefficient],"&gt;="&amp;R4)</f>
        <v>3</v>
      </c>
      <c r="T3" s="40" t="e">
        <f aca="true" t="shared" si="9" ref="T3:T26">T2+($T$50-$T$2)/BinDivisor</f>
        <v>#REF!</v>
      </c>
      <c r="U3" s="41" t="e">
        <f ca="1" t="shared" si="0"/>
        <v>#REF!</v>
      </c>
      <c r="W3" t="s">
        <v>125</v>
      </c>
      <c r="X3" t="s">
        <v>85</v>
      </c>
    </row>
    <row r="4" spans="1:24" ht="15">
      <c r="A4" s="35" t="s">
        <v>146</v>
      </c>
      <c r="B4" s="35">
        <v>204</v>
      </c>
      <c r="D4" s="33">
        <f t="shared" si="1"/>
        <v>0</v>
      </c>
      <c r="E4" s="3">
        <f>COUNTIF(Vertices[Degree],"&gt;= "&amp;D4)-COUNTIF(Vertices[Degree],"&gt;="&amp;D5)</f>
        <v>0</v>
      </c>
      <c r="F4" s="38">
        <f t="shared" si="2"/>
        <v>2.25</v>
      </c>
      <c r="G4" s="39">
        <f>COUNTIF(Vertices[In-Degree],"&gt;= "&amp;F4)-COUNTIF(Vertices[In-Degree],"&gt;="&amp;F5)</f>
        <v>0</v>
      </c>
      <c r="H4" s="38">
        <f t="shared" si="3"/>
        <v>1.25</v>
      </c>
      <c r="I4" s="39">
        <f>COUNTIF(Vertices[Out-Degree],"&gt;= "&amp;H4)-COUNTIF(Vertices[Out-Degree],"&gt;="&amp;H5)</f>
        <v>0</v>
      </c>
      <c r="J4" s="38">
        <f t="shared" si="4"/>
        <v>1549.6446789166666</v>
      </c>
      <c r="K4" s="39">
        <f>COUNTIF(Vertices[Betweenness Centrality],"&gt;= "&amp;J4)-COUNTIF(Vertices[Betweenness Centrality],"&gt;="&amp;J5)</f>
        <v>12</v>
      </c>
      <c r="L4" s="38">
        <f t="shared" si="5"/>
        <v>0.0004992083333333333</v>
      </c>
      <c r="M4" s="39">
        <f>COUNTIF(Vertices[Closeness Centrality],"&gt;= "&amp;L4)-COUNTIF(Vertices[Closeness Centrality],"&gt;="&amp;L5)</f>
        <v>3</v>
      </c>
      <c r="N4" s="38">
        <f t="shared" si="6"/>
        <v>0.0038032916666666666</v>
      </c>
      <c r="O4" s="39">
        <f>COUNTIF(Vertices[Eigenvector Centrality],"&gt;= "&amp;N4)-COUNTIF(Vertices[Eigenvector Centrality],"&gt;="&amp;N5)</f>
        <v>2</v>
      </c>
      <c r="P4" s="38">
        <f t="shared" si="7"/>
        <v>0.9773391666666666</v>
      </c>
      <c r="Q4" s="39">
        <f>COUNTIF(Vertices[PageRank],"&gt;= "&amp;P4)-COUNTIF(Vertices[PageRank],"&gt;="&amp;P5)</f>
        <v>34</v>
      </c>
      <c r="R4" s="38">
        <f t="shared" si="8"/>
        <v>0.041666666666666664</v>
      </c>
      <c r="S4" s="44">
        <f>COUNTIF(Vertices[Clustering Coefficient],"&gt;= "&amp;R4)-COUNTIF(Vertices[Clustering Coefficient],"&gt;="&amp;R5)</f>
        <v>1</v>
      </c>
      <c r="T4" s="38" t="e">
        <f ca="1" t="shared" si="9"/>
        <v>#REF!</v>
      </c>
      <c r="U4" s="39" t="e">
        <f ca="1" t="shared" si="0"/>
        <v>#REF!</v>
      </c>
      <c r="W4" s="12" t="s">
        <v>126</v>
      </c>
      <c r="X4" s="12" t="s">
        <v>128</v>
      </c>
    </row>
    <row r="5" spans="1:21" ht="15">
      <c r="A5" s="110"/>
      <c r="B5" s="110"/>
      <c r="D5" s="33">
        <f t="shared" si="1"/>
        <v>0</v>
      </c>
      <c r="E5" s="3">
        <f>COUNTIF(Vertices[Degree],"&gt;= "&amp;D5)-COUNTIF(Vertices[Degree],"&gt;="&amp;D6)</f>
        <v>0</v>
      </c>
      <c r="F5" s="40">
        <f t="shared" si="2"/>
        <v>2.875</v>
      </c>
      <c r="G5" s="41">
        <f>COUNTIF(Vertices[In-Degree],"&gt;= "&amp;F5)-COUNTIF(Vertices[In-Degree],"&gt;="&amp;F6)</f>
        <v>18</v>
      </c>
      <c r="H5" s="40">
        <f t="shared" si="3"/>
        <v>1.875</v>
      </c>
      <c r="I5" s="41">
        <f>COUNTIF(Vertices[Out-Degree],"&gt;= "&amp;H5)-COUNTIF(Vertices[Out-Degree],"&gt;="&amp;H6)</f>
        <v>56</v>
      </c>
      <c r="J5" s="40">
        <f t="shared" si="4"/>
        <v>2324.467018375</v>
      </c>
      <c r="K5" s="41">
        <f>COUNTIF(Vertices[Betweenness Centrality],"&gt;= "&amp;J5)-COUNTIF(Vertices[Betweenness Centrality],"&gt;="&amp;J6)</f>
        <v>1</v>
      </c>
      <c r="L5" s="40">
        <f t="shared" si="5"/>
        <v>0.0005283124999999999</v>
      </c>
      <c r="M5" s="41">
        <f>COUNTIF(Vertices[Closeness Centrality],"&gt;= "&amp;L5)-COUNTIF(Vertices[Closeness Centrality],"&gt;="&amp;L6)</f>
        <v>0</v>
      </c>
      <c r="N5" s="40">
        <f t="shared" si="6"/>
        <v>0.0057049375</v>
      </c>
      <c r="O5" s="41">
        <f>COUNTIF(Vertices[Eigenvector Centrality],"&gt;= "&amp;N5)-COUNTIF(Vertices[Eigenvector Centrality],"&gt;="&amp;N6)</f>
        <v>2</v>
      </c>
      <c r="P5" s="40">
        <f t="shared" si="7"/>
        <v>1.2704897499999999</v>
      </c>
      <c r="Q5" s="41">
        <f>COUNTIF(Vertices[PageRank],"&gt;= "&amp;P5)-COUNTIF(Vertices[PageRank],"&gt;="&amp;P6)</f>
        <v>15</v>
      </c>
      <c r="R5" s="40">
        <f t="shared" si="8"/>
        <v>0.0625</v>
      </c>
      <c r="S5" s="45">
        <f>COUNTIF(Vertices[Clustering Coefficient],"&gt;= "&amp;R5)-COUNTIF(Vertices[Clustering Coefficient],"&gt;="&amp;R6)</f>
        <v>3</v>
      </c>
      <c r="T5" s="40" t="e">
        <f ca="1" t="shared" si="9"/>
        <v>#REF!</v>
      </c>
      <c r="U5" s="41" t="e">
        <f ca="1" t="shared" si="0"/>
        <v>#REF!</v>
      </c>
    </row>
    <row r="6" spans="1:21" ht="15">
      <c r="A6" s="35" t="s">
        <v>148</v>
      </c>
      <c r="B6" s="35">
        <v>359</v>
      </c>
      <c r="D6" s="33">
        <f t="shared" si="1"/>
        <v>0</v>
      </c>
      <c r="E6" s="3">
        <f>COUNTIF(Vertices[Degree],"&gt;= "&amp;D6)-COUNTIF(Vertices[Degree],"&gt;="&amp;D7)</f>
        <v>0</v>
      </c>
      <c r="F6" s="38">
        <f t="shared" si="2"/>
        <v>3.5</v>
      </c>
      <c r="G6" s="39">
        <f>COUNTIF(Vertices[In-Degree],"&gt;= "&amp;F6)-COUNTIF(Vertices[In-Degree],"&gt;="&amp;F7)</f>
        <v>4</v>
      </c>
      <c r="H6" s="38">
        <f t="shared" si="3"/>
        <v>2.5</v>
      </c>
      <c r="I6" s="39">
        <f>COUNTIF(Vertices[Out-Degree],"&gt;= "&amp;H6)-COUNTIF(Vertices[Out-Degree],"&gt;="&amp;H7)</f>
        <v>15</v>
      </c>
      <c r="J6" s="38">
        <f t="shared" si="4"/>
        <v>3099.2893578333333</v>
      </c>
      <c r="K6" s="39">
        <f>COUNTIF(Vertices[Betweenness Centrality],"&gt;= "&amp;J6)-COUNTIF(Vertices[Betweenness Centrality],"&gt;="&amp;J7)</f>
        <v>4</v>
      </c>
      <c r="L6" s="38">
        <f t="shared" si="5"/>
        <v>0.0005574166666666666</v>
      </c>
      <c r="M6" s="39">
        <f>COUNTIF(Vertices[Closeness Centrality],"&gt;= "&amp;L6)-COUNTIF(Vertices[Closeness Centrality],"&gt;="&amp;L7)</f>
        <v>4</v>
      </c>
      <c r="N6" s="38">
        <f t="shared" si="6"/>
        <v>0.007606583333333333</v>
      </c>
      <c r="O6" s="39">
        <f>COUNTIF(Vertices[Eigenvector Centrality],"&gt;= "&amp;N6)-COUNTIF(Vertices[Eigenvector Centrality],"&gt;="&amp;N7)</f>
        <v>0</v>
      </c>
      <c r="P6" s="38">
        <f t="shared" si="7"/>
        <v>1.5636403333333333</v>
      </c>
      <c r="Q6" s="39">
        <f>COUNTIF(Vertices[PageRank],"&gt;= "&amp;P6)-COUNTIF(Vertices[PageRank],"&gt;="&amp;P7)</f>
        <v>4</v>
      </c>
      <c r="R6" s="38">
        <f t="shared" si="8"/>
        <v>0.08333333333333333</v>
      </c>
      <c r="S6" s="44">
        <f>COUNTIF(Vertices[Clustering Coefficient],"&gt;= "&amp;R6)-COUNTIF(Vertices[Clustering Coefficient],"&gt;="&amp;R7)</f>
        <v>9</v>
      </c>
      <c r="T6" s="38" t="e">
        <f ca="1" t="shared" si="9"/>
        <v>#REF!</v>
      </c>
      <c r="U6" s="39" t="e">
        <f ca="1" t="shared" si="0"/>
        <v>#REF!</v>
      </c>
    </row>
    <row r="7" spans="1:21" ht="15">
      <c r="A7" s="35" t="s">
        <v>149</v>
      </c>
      <c r="B7" s="35">
        <v>0</v>
      </c>
      <c r="D7" s="33">
        <f t="shared" si="1"/>
        <v>0</v>
      </c>
      <c r="E7" s="3">
        <f>COUNTIF(Vertices[Degree],"&gt;= "&amp;D7)-COUNTIF(Vertices[Degree],"&gt;="&amp;D8)</f>
        <v>0</v>
      </c>
      <c r="F7" s="40">
        <f t="shared" si="2"/>
        <v>4.125</v>
      </c>
      <c r="G7" s="41">
        <f>COUNTIF(Vertices[In-Degree],"&gt;= "&amp;F7)-COUNTIF(Vertices[In-Degree],"&gt;="&amp;F8)</f>
        <v>0</v>
      </c>
      <c r="H7" s="40">
        <f t="shared" si="3"/>
        <v>3.125</v>
      </c>
      <c r="I7" s="41">
        <f>COUNTIF(Vertices[Out-Degree],"&gt;= "&amp;H7)-COUNTIF(Vertices[Out-Degree],"&gt;="&amp;H8)</f>
        <v>0</v>
      </c>
      <c r="J7" s="40">
        <f t="shared" si="4"/>
        <v>3874.1116972916666</v>
      </c>
      <c r="K7" s="41">
        <f>COUNTIF(Vertices[Betweenness Centrality],"&gt;= "&amp;J7)-COUNTIF(Vertices[Betweenness Centrality],"&gt;="&amp;J8)</f>
        <v>4</v>
      </c>
      <c r="L7" s="40">
        <f t="shared" si="5"/>
        <v>0.0005865208333333332</v>
      </c>
      <c r="M7" s="41">
        <f>COUNTIF(Vertices[Closeness Centrality],"&gt;= "&amp;L7)-COUNTIF(Vertices[Closeness Centrality],"&gt;="&amp;L8)</f>
        <v>0</v>
      </c>
      <c r="N7" s="40">
        <f t="shared" si="6"/>
        <v>0.009508229166666667</v>
      </c>
      <c r="O7" s="41">
        <f>COUNTIF(Vertices[Eigenvector Centrality],"&gt;= "&amp;N7)-COUNTIF(Vertices[Eigenvector Centrality],"&gt;="&amp;N8)</f>
        <v>0</v>
      </c>
      <c r="P7" s="40">
        <f t="shared" si="7"/>
        <v>1.8567909166666667</v>
      </c>
      <c r="Q7" s="41">
        <f>COUNTIF(Vertices[PageRank],"&gt;= "&amp;P7)-COUNTIF(Vertices[PageRank],"&gt;="&amp;P8)</f>
        <v>3</v>
      </c>
      <c r="R7" s="40">
        <f t="shared" si="8"/>
        <v>0.10416666666666666</v>
      </c>
      <c r="S7" s="45">
        <f>COUNTIF(Vertices[Clustering Coefficient],"&gt;= "&amp;R7)-COUNTIF(Vertices[Clustering Coefficient],"&gt;="&amp;R8)</f>
        <v>0</v>
      </c>
      <c r="T7" s="40" t="e">
        <f ca="1" t="shared" si="9"/>
        <v>#REF!</v>
      </c>
      <c r="U7" s="41" t="e">
        <f ca="1" t="shared" si="0"/>
        <v>#REF!</v>
      </c>
    </row>
    <row r="8" spans="1:21" ht="15">
      <c r="A8" s="35" t="s">
        <v>150</v>
      </c>
      <c r="B8" s="35">
        <v>359</v>
      </c>
      <c r="D8" s="33">
        <f t="shared" si="1"/>
        <v>0</v>
      </c>
      <c r="E8" s="3">
        <f>COUNTIF(Vertices[Degree],"&gt;= "&amp;D8)-COUNTIF(Vertices[Degree],"&gt;="&amp;D9)</f>
        <v>0</v>
      </c>
      <c r="F8" s="38">
        <f t="shared" si="2"/>
        <v>4.75</v>
      </c>
      <c r="G8" s="39">
        <f>COUNTIF(Vertices[In-Degree],"&gt;= "&amp;F8)-COUNTIF(Vertices[In-Degree],"&gt;="&amp;F9)</f>
        <v>3</v>
      </c>
      <c r="H8" s="38">
        <f t="shared" si="3"/>
        <v>3.75</v>
      </c>
      <c r="I8" s="39">
        <f>COUNTIF(Vertices[Out-Degree],"&gt;= "&amp;H8)-COUNTIF(Vertices[Out-Degree],"&gt;="&amp;H9)</f>
        <v>5</v>
      </c>
      <c r="J8" s="38">
        <f t="shared" si="4"/>
        <v>4648.93403675</v>
      </c>
      <c r="K8" s="39">
        <f>COUNTIF(Vertices[Betweenness Centrality],"&gt;= "&amp;J8)-COUNTIF(Vertices[Betweenness Centrality],"&gt;="&amp;J9)</f>
        <v>0</v>
      </c>
      <c r="L8" s="38">
        <f t="shared" si="5"/>
        <v>0.0006156249999999999</v>
      </c>
      <c r="M8" s="39">
        <f>COUNTIF(Vertices[Closeness Centrality],"&gt;= "&amp;L8)-COUNTIF(Vertices[Closeness Centrality],"&gt;="&amp;L9)</f>
        <v>4</v>
      </c>
      <c r="N8" s="38">
        <f t="shared" si="6"/>
        <v>0.011409875</v>
      </c>
      <c r="O8" s="39">
        <f>COUNTIF(Vertices[Eigenvector Centrality],"&gt;= "&amp;N8)-COUNTIF(Vertices[Eigenvector Centrality],"&gt;="&amp;N9)</f>
        <v>28</v>
      </c>
      <c r="P8" s="38">
        <f t="shared" si="7"/>
        <v>2.1499415</v>
      </c>
      <c r="Q8" s="39">
        <f>COUNTIF(Vertices[PageRank],"&gt;= "&amp;P8)-COUNTIF(Vertices[PageRank],"&gt;="&amp;P9)</f>
        <v>1</v>
      </c>
      <c r="R8" s="38">
        <f t="shared" si="8"/>
        <v>0.12499999999999999</v>
      </c>
      <c r="S8" s="44">
        <f>COUNTIF(Vertices[Clustering Coefficient],"&gt;= "&amp;R8)-COUNTIF(Vertices[Clustering Coefficient],"&gt;="&amp;R9)</f>
        <v>0</v>
      </c>
      <c r="T8" s="38" t="e">
        <f ca="1" t="shared" si="9"/>
        <v>#REF!</v>
      </c>
      <c r="U8" s="39" t="e">
        <f ca="1" t="shared" si="0"/>
        <v>#REF!</v>
      </c>
    </row>
    <row r="9" spans="1:21" ht="15">
      <c r="A9" s="110"/>
      <c r="B9" s="110"/>
      <c r="D9" s="33">
        <f t="shared" si="1"/>
        <v>0</v>
      </c>
      <c r="E9" s="3">
        <f>COUNTIF(Vertices[Degree],"&gt;= "&amp;D9)-COUNTIF(Vertices[Degree],"&gt;="&amp;D10)</f>
        <v>0</v>
      </c>
      <c r="F9" s="40">
        <f t="shared" si="2"/>
        <v>5.375</v>
      </c>
      <c r="G9" s="41">
        <f>COUNTIF(Vertices[In-Degree],"&gt;= "&amp;F9)-COUNTIF(Vertices[In-Degree],"&gt;="&amp;F10)</f>
        <v>0</v>
      </c>
      <c r="H9" s="40">
        <f t="shared" si="3"/>
        <v>4.375</v>
      </c>
      <c r="I9" s="41">
        <f>COUNTIF(Vertices[Out-Degree],"&gt;= "&amp;H9)-COUNTIF(Vertices[Out-Degree],"&gt;="&amp;H10)</f>
        <v>0</v>
      </c>
      <c r="J9" s="40">
        <f t="shared" si="4"/>
        <v>5423.756376208334</v>
      </c>
      <c r="K9" s="41">
        <f>COUNTIF(Vertices[Betweenness Centrality],"&gt;= "&amp;J9)-COUNTIF(Vertices[Betweenness Centrality],"&gt;="&amp;J10)</f>
        <v>1</v>
      </c>
      <c r="L9" s="40">
        <f t="shared" si="5"/>
        <v>0.0006447291666666665</v>
      </c>
      <c r="M9" s="41">
        <f>COUNTIF(Vertices[Closeness Centrality],"&gt;= "&amp;L9)-COUNTIF(Vertices[Closeness Centrality],"&gt;="&amp;L10)</f>
        <v>1</v>
      </c>
      <c r="N9" s="40">
        <f t="shared" si="6"/>
        <v>0.013311520833333333</v>
      </c>
      <c r="O9" s="41">
        <f>COUNTIF(Vertices[Eigenvector Centrality],"&gt;= "&amp;N9)-COUNTIF(Vertices[Eigenvector Centrality],"&gt;="&amp;N10)</f>
        <v>8</v>
      </c>
      <c r="P9" s="40">
        <f t="shared" si="7"/>
        <v>2.4430920833333336</v>
      </c>
      <c r="Q9" s="41">
        <f>COUNTIF(Vertices[PageRank],"&gt;= "&amp;P9)-COUNTIF(Vertices[PageRank],"&gt;="&amp;P10)</f>
        <v>1</v>
      </c>
      <c r="R9" s="40">
        <f t="shared" si="8"/>
        <v>0.14583333333333331</v>
      </c>
      <c r="S9" s="45">
        <f>COUNTIF(Vertices[Clustering Coefficient],"&gt;= "&amp;R9)-COUNTIF(Vertices[Clustering Coefficient],"&gt;="&amp;R10)</f>
        <v>0</v>
      </c>
      <c r="T9" s="40" t="e">
        <f ca="1" t="shared" si="9"/>
        <v>#REF!</v>
      </c>
      <c r="U9" s="41" t="e">
        <f ca="1" t="shared" si="0"/>
        <v>#REF!</v>
      </c>
    </row>
    <row r="10" spans="1:21" ht="15">
      <c r="A10" s="35" t="s">
        <v>151</v>
      </c>
      <c r="B10" s="35">
        <v>61</v>
      </c>
      <c r="D10" s="33">
        <f t="shared" si="1"/>
        <v>0</v>
      </c>
      <c r="E10" s="3">
        <f>COUNTIF(Vertices[Degree],"&gt;= "&amp;D10)-COUNTIF(Vertices[Degree],"&gt;="&amp;D11)</f>
        <v>0</v>
      </c>
      <c r="F10" s="38">
        <f t="shared" si="2"/>
        <v>6</v>
      </c>
      <c r="G10" s="39">
        <f>COUNTIF(Vertices[In-Degree],"&gt;= "&amp;F10)-COUNTIF(Vertices[In-Degree],"&gt;="&amp;F11)</f>
        <v>1</v>
      </c>
      <c r="H10" s="38">
        <f t="shared" si="3"/>
        <v>5</v>
      </c>
      <c r="I10" s="39">
        <f>COUNTIF(Vertices[Out-Degree],"&gt;= "&amp;H10)-COUNTIF(Vertices[Out-Degree],"&gt;="&amp;H11)</f>
        <v>2</v>
      </c>
      <c r="J10" s="38">
        <f t="shared" si="4"/>
        <v>6198.5787156666665</v>
      </c>
      <c r="K10" s="39">
        <f>COUNTIF(Vertices[Betweenness Centrality],"&gt;= "&amp;J10)-COUNTIF(Vertices[Betweenness Centrality],"&gt;="&amp;J11)</f>
        <v>1</v>
      </c>
      <c r="L10" s="38">
        <f t="shared" si="5"/>
        <v>0.0006738333333333331</v>
      </c>
      <c r="M10" s="39">
        <f>COUNTIF(Vertices[Closeness Centrality],"&gt;= "&amp;L10)-COUNTIF(Vertices[Closeness Centrality],"&gt;="&amp;L11)</f>
        <v>2</v>
      </c>
      <c r="N10" s="38">
        <f t="shared" si="6"/>
        <v>0.015213166666666667</v>
      </c>
      <c r="O10" s="39">
        <f>COUNTIF(Vertices[Eigenvector Centrality],"&gt;= "&amp;N10)-COUNTIF(Vertices[Eigenvector Centrality],"&gt;="&amp;N11)</f>
        <v>9</v>
      </c>
      <c r="P10" s="38">
        <f t="shared" si="7"/>
        <v>2.736242666666667</v>
      </c>
      <c r="Q10" s="39">
        <f>COUNTIF(Vertices[PageRank],"&gt;= "&amp;P10)-COUNTIF(Vertices[PageRank],"&gt;="&amp;P11)</f>
        <v>0</v>
      </c>
      <c r="R10" s="38">
        <f t="shared" si="8"/>
        <v>0.16666666666666666</v>
      </c>
      <c r="S10" s="44">
        <f>COUNTIF(Vertices[Clustering Coefficient],"&gt;= "&amp;R10)-COUNTIF(Vertices[Clustering Coefficient],"&gt;="&amp;R11)</f>
        <v>11</v>
      </c>
      <c r="T10" s="38" t="e">
        <f ca="1" t="shared" si="9"/>
        <v>#REF!</v>
      </c>
      <c r="U10" s="39" t="e">
        <f ca="1" t="shared" si="0"/>
        <v>#REF!</v>
      </c>
    </row>
    <row r="11" spans="1:21" ht="15">
      <c r="A11" s="110"/>
      <c r="B11" s="110"/>
      <c r="D11" s="33">
        <f t="shared" si="1"/>
        <v>0</v>
      </c>
      <c r="E11" s="3">
        <f>COUNTIF(Vertices[Degree],"&gt;= "&amp;D11)-COUNTIF(Vertices[Degree],"&gt;="&amp;D12)</f>
        <v>0</v>
      </c>
      <c r="F11" s="40">
        <f t="shared" si="2"/>
        <v>6.625</v>
      </c>
      <c r="G11" s="41">
        <f>COUNTIF(Vertices[In-Degree],"&gt;= "&amp;F11)-COUNTIF(Vertices[In-Degree],"&gt;="&amp;F12)</f>
        <v>0</v>
      </c>
      <c r="H11" s="40">
        <f t="shared" si="3"/>
        <v>5.625</v>
      </c>
      <c r="I11" s="41">
        <f>COUNTIF(Vertices[Out-Degree],"&gt;= "&amp;H11)-COUNTIF(Vertices[Out-Degree],"&gt;="&amp;H12)</f>
        <v>2</v>
      </c>
      <c r="J11" s="40">
        <f t="shared" si="4"/>
        <v>6973.401055124999</v>
      </c>
      <c r="K11" s="41">
        <f>COUNTIF(Vertices[Betweenness Centrality],"&gt;= "&amp;J11)-COUNTIF(Vertices[Betweenness Centrality],"&gt;="&amp;J12)</f>
        <v>1</v>
      </c>
      <c r="L11" s="40">
        <f t="shared" si="5"/>
        <v>0.0007029374999999998</v>
      </c>
      <c r="M11" s="41">
        <f>COUNTIF(Vertices[Closeness Centrality],"&gt;= "&amp;L11)-COUNTIF(Vertices[Closeness Centrality],"&gt;="&amp;L12)</f>
        <v>5</v>
      </c>
      <c r="N11" s="40">
        <f t="shared" si="6"/>
        <v>0.0171148125</v>
      </c>
      <c r="O11" s="41">
        <f>COUNTIF(Vertices[Eigenvector Centrality],"&gt;= "&amp;N11)-COUNTIF(Vertices[Eigenvector Centrality],"&gt;="&amp;N12)</f>
        <v>3</v>
      </c>
      <c r="P11" s="40">
        <f t="shared" si="7"/>
        <v>3.0293932500000005</v>
      </c>
      <c r="Q11" s="41">
        <f>COUNTIF(Vertices[PageRank],"&gt;= "&amp;P11)-COUNTIF(Vertices[PageRank],"&gt;="&amp;P12)</f>
        <v>1</v>
      </c>
      <c r="R11" s="40">
        <f t="shared" si="8"/>
        <v>0.1875</v>
      </c>
      <c r="S11" s="45">
        <f>COUNTIF(Vertices[Clustering Coefficient],"&gt;= "&amp;R11)-COUNTIF(Vertices[Clustering Coefficient],"&gt;="&amp;R12)</f>
        <v>0</v>
      </c>
      <c r="T11" s="40" t="e">
        <f ca="1" t="shared" si="9"/>
        <v>#REF!</v>
      </c>
      <c r="U11" s="41" t="e">
        <f ca="1" t="shared" si="0"/>
        <v>#REF!</v>
      </c>
    </row>
    <row r="12" spans="1:21" ht="15">
      <c r="A12" s="35" t="s">
        <v>170</v>
      </c>
      <c r="B12" s="35">
        <v>0.10780669144981413</v>
      </c>
      <c r="D12" s="33">
        <f t="shared" si="1"/>
        <v>0</v>
      </c>
      <c r="E12" s="3">
        <f>COUNTIF(Vertices[Degree],"&gt;= "&amp;D12)-COUNTIF(Vertices[Degree],"&gt;="&amp;D13)</f>
        <v>0</v>
      </c>
      <c r="F12" s="38">
        <f t="shared" si="2"/>
        <v>7.25</v>
      </c>
      <c r="G12" s="39">
        <f>COUNTIF(Vertices[In-Degree],"&gt;= "&amp;F12)-COUNTIF(Vertices[In-Degree],"&gt;="&amp;F13)</f>
        <v>0</v>
      </c>
      <c r="H12" s="38">
        <f t="shared" si="3"/>
        <v>6.25</v>
      </c>
      <c r="I12" s="39">
        <f>COUNTIF(Vertices[Out-Degree],"&gt;= "&amp;H12)-COUNTIF(Vertices[Out-Degree],"&gt;="&amp;H13)</f>
        <v>0</v>
      </c>
      <c r="J12" s="38">
        <f t="shared" si="4"/>
        <v>7748.223394583332</v>
      </c>
      <c r="K12" s="39">
        <f>COUNTIF(Vertices[Betweenness Centrality],"&gt;= "&amp;J12)-COUNTIF(Vertices[Betweenness Centrality],"&gt;="&amp;J13)</f>
        <v>0</v>
      </c>
      <c r="L12" s="38">
        <f t="shared" si="5"/>
        <v>0.0007320416666666664</v>
      </c>
      <c r="M12" s="39">
        <f>COUNTIF(Vertices[Closeness Centrality],"&gt;= "&amp;L12)-COUNTIF(Vertices[Closeness Centrality],"&gt;="&amp;L13)</f>
        <v>6</v>
      </c>
      <c r="N12" s="38">
        <f t="shared" si="6"/>
        <v>0.019016458333333333</v>
      </c>
      <c r="O12" s="39">
        <f>COUNTIF(Vertices[Eigenvector Centrality],"&gt;= "&amp;N12)-COUNTIF(Vertices[Eigenvector Centrality],"&gt;="&amp;N13)</f>
        <v>2</v>
      </c>
      <c r="P12" s="38">
        <f t="shared" si="7"/>
        <v>3.322543833333334</v>
      </c>
      <c r="Q12" s="39">
        <f>COUNTIF(Vertices[PageRank],"&gt;= "&amp;P12)-COUNTIF(Vertices[PageRank],"&gt;="&amp;P13)</f>
        <v>0</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171</v>
      </c>
      <c r="B13" s="35">
        <v>0.19463087248322147</v>
      </c>
      <c r="D13" s="33">
        <f t="shared" si="1"/>
        <v>0</v>
      </c>
      <c r="E13" s="3">
        <f>COUNTIF(Vertices[Degree],"&gt;= "&amp;D13)-COUNTIF(Vertices[Degree],"&gt;="&amp;D14)</f>
        <v>0</v>
      </c>
      <c r="F13" s="40">
        <f t="shared" si="2"/>
        <v>7.875</v>
      </c>
      <c r="G13" s="41">
        <f>COUNTIF(Vertices[In-Degree],"&gt;= "&amp;F13)-COUNTIF(Vertices[In-Degree],"&gt;="&amp;F14)</f>
        <v>0</v>
      </c>
      <c r="H13" s="40">
        <f t="shared" si="3"/>
        <v>6.875</v>
      </c>
      <c r="I13" s="41">
        <f>COUNTIF(Vertices[Out-Degree],"&gt;= "&amp;H13)-COUNTIF(Vertices[Out-Degree],"&gt;="&amp;H14)</f>
        <v>0</v>
      </c>
      <c r="J13" s="40">
        <f t="shared" si="4"/>
        <v>8523.045734041665</v>
      </c>
      <c r="K13" s="41">
        <f>COUNTIF(Vertices[Betweenness Centrality],"&gt;= "&amp;J13)-COUNTIF(Vertices[Betweenness Centrality],"&gt;="&amp;J14)</f>
        <v>0</v>
      </c>
      <c r="L13" s="40">
        <f t="shared" si="5"/>
        <v>0.0007611458333333331</v>
      </c>
      <c r="M13" s="41">
        <f>COUNTIF(Vertices[Closeness Centrality],"&gt;= "&amp;L13)-COUNTIF(Vertices[Closeness Centrality],"&gt;="&amp;L14)</f>
        <v>11</v>
      </c>
      <c r="N13" s="40">
        <f t="shared" si="6"/>
        <v>0.020918104166666666</v>
      </c>
      <c r="O13" s="41">
        <f>COUNTIF(Vertices[Eigenvector Centrality],"&gt;= "&amp;N13)-COUNTIF(Vertices[Eigenvector Centrality],"&gt;="&amp;N14)</f>
        <v>1</v>
      </c>
      <c r="P13" s="40">
        <f t="shared" si="7"/>
        <v>3.6156944166666674</v>
      </c>
      <c r="Q13" s="41">
        <f>COUNTIF(Vertices[PageRank],"&gt;= "&amp;P13)-COUNTIF(Vertices[PageRank],"&gt;="&amp;P14)</f>
        <v>0</v>
      </c>
      <c r="R13" s="40">
        <f t="shared" si="8"/>
        <v>0.22916666666666669</v>
      </c>
      <c r="S13" s="45">
        <f>COUNTIF(Vertices[Clustering Coefficient],"&gt;= "&amp;R13)-COUNTIF(Vertices[Clustering Coefficient],"&gt;="&amp;R14)</f>
        <v>0</v>
      </c>
      <c r="T13" s="40" t="e">
        <f ca="1" t="shared" si="9"/>
        <v>#REF!</v>
      </c>
      <c r="U13" s="41" t="e">
        <f ca="1" t="shared" si="0"/>
        <v>#REF!</v>
      </c>
    </row>
    <row r="14" spans="1:21" ht="15">
      <c r="A14" s="110"/>
      <c r="B14" s="110"/>
      <c r="D14" s="33">
        <f t="shared" si="1"/>
        <v>0</v>
      </c>
      <c r="E14" s="3">
        <f>COUNTIF(Vertices[Degree],"&gt;= "&amp;D14)-COUNTIF(Vertices[Degree],"&gt;="&amp;D15)</f>
        <v>0</v>
      </c>
      <c r="F14" s="38">
        <f t="shared" si="2"/>
        <v>8.5</v>
      </c>
      <c r="G14" s="39">
        <f>COUNTIF(Vertices[In-Degree],"&gt;= "&amp;F14)-COUNTIF(Vertices[In-Degree],"&gt;="&amp;F15)</f>
        <v>0</v>
      </c>
      <c r="H14" s="38">
        <f t="shared" si="3"/>
        <v>7.5</v>
      </c>
      <c r="I14" s="39">
        <f>COUNTIF(Vertices[Out-Degree],"&gt;= "&amp;H14)-COUNTIF(Vertices[Out-Degree],"&gt;="&amp;H15)</f>
        <v>0</v>
      </c>
      <c r="J14" s="38">
        <f t="shared" si="4"/>
        <v>9297.868073499998</v>
      </c>
      <c r="K14" s="39">
        <f>COUNTIF(Vertices[Betweenness Centrality],"&gt;= "&amp;J14)-COUNTIF(Vertices[Betweenness Centrality],"&gt;="&amp;J15)</f>
        <v>0</v>
      </c>
      <c r="L14" s="38">
        <f t="shared" si="5"/>
        <v>0.0007902499999999997</v>
      </c>
      <c r="M14" s="39">
        <f>COUNTIF(Vertices[Closeness Centrality],"&gt;= "&amp;L14)-COUNTIF(Vertices[Closeness Centrality],"&gt;="&amp;L15)</f>
        <v>5</v>
      </c>
      <c r="N14" s="38">
        <f t="shared" si="6"/>
        <v>0.02281975</v>
      </c>
      <c r="O14" s="39">
        <f>COUNTIF(Vertices[Eigenvector Centrality],"&gt;= "&amp;N14)-COUNTIF(Vertices[Eigenvector Centrality],"&gt;="&amp;N15)</f>
        <v>0</v>
      </c>
      <c r="P14" s="38">
        <f t="shared" si="7"/>
        <v>3.908845000000001</v>
      </c>
      <c r="Q14" s="39">
        <f>COUNTIF(Vertices[PageRank],"&gt;= "&amp;P14)-COUNTIF(Vertices[PageRank],"&gt;="&amp;P15)</f>
        <v>0</v>
      </c>
      <c r="R14" s="38">
        <f t="shared" si="8"/>
        <v>0.25</v>
      </c>
      <c r="S14" s="44">
        <f>COUNTIF(Vertices[Clustering Coefficient],"&gt;= "&amp;R14)-COUNTIF(Vertices[Clustering Coefficient],"&gt;="&amp;R15)</f>
        <v>1</v>
      </c>
      <c r="T14" s="38" t="e">
        <f ca="1" t="shared" si="9"/>
        <v>#REF!</v>
      </c>
      <c r="U14" s="39" t="e">
        <f ca="1" t="shared" si="0"/>
        <v>#REF!</v>
      </c>
    </row>
    <row r="15" spans="1:21" ht="15">
      <c r="A15" s="35" t="s">
        <v>152</v>
      </c>
      <c r="B15" s="35">
        <v>1</v>
      </c>
      <c r="D15" s="33">
        <f t="shared" si="1"/>
        <v>0</v>
      </c>
      <c r="E15" s="3">
        <f>COUNTIF(Vertices[Degree],"&gt;= "&amp;D15)-COUNTIF(Vertices[Degree],"&gt;="&amp;D16)</f>
        <v>0</v>
      </c>
      <c r="F15" s="40">
        <f t="shared" si="2"/>
        <v>9.125</v>
      </c>
      <c r="G15" s="41">
        <f>COUNTIF(Vertices[In-Degree],"&gt;= "&amp;F15)-COUNTIF(Vertices[In-Degree],"&gt;="&amp;F16)</f>
        <v>0</v>
      </c>
      <c r="H15" s="40">
        <f t="shared" si="3"/>
        <v>8.125</v>
      </c>
      <c r="I15" s="41">
        <f>COUNTIF(Vertices[Out-Degree],"&gt;= "&amp;H15)-COUNTIF(Vertices[Out-Degree],"&gt;="&amp;H16)</f>
        <v>0</v>
      </c>
      <c r="J15" s="40">
        <f t="shared" si="4"/>
        <v>10072.69041295833</v>
      </c>
      <c r="K15" s="41">
        <f>COUNTIF(Vertices[Betweenness Centrality],"&gt;= "&amp;J15)-COUNTIF(Vertices[Betweenness Centrality],"&gt;="&amp;J16)</f>
        <v>0</v>
      </c>
      <c r="L15" s="40">
        <f t="shared" si="5"/>
        <v>0.0008193541666666664</v>
      </c>
      <c r="M15" s="41">
        <f>COUNTIF(Vertices[Closeness Centrality],"&gt;= "&amp;L15)-COUNTIF(Vertices[Closeness Centrality],"&gt;="&amp;L16)</f>
        <v>2</v>
      </c>
      <c r="N15" s="40">
        <f t="shared" si="6"/>
        <v>0.024721395833333333</v>
      </c>
      <c r="O15" s="41">
        <f>COUNTIF(Vertices[Eigenvector Centrality],"&gt;= "&amp;N15)-COUNTIF(Vertices[Eigenvector Centrality],"&gt;="&amp;N16)</f>
        <v>0</v>
      </c>
      <c r="P15" s="40">
        <f t="shared" si="7"/>
        <v>4.201995583333334</v>
      </c>
      <c r="Q15" s="41">
        <f>COUNTIF(Vertices[PageRank],"&gt;= "&amp;P15)-COUNTIF(Vertices[PageRank],"&gt;="&amp;P16)</f>
        <v>1</v>
      </c>
      <c r="R15" s="40">
        <f t="shared" si="8"/>
        <v>0.2708333333333333</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9.75</v>
      </c>
      <c r="G16" s="39">
        <f>COUNTIF(Vertices[In-Degree],"&gt;= "&amp;F16)-COUNTIF(Vertices[In-Degree],"&gt;="&amp;F17)</f>
        <v>1</v>
      </c>
      <c r="H16" s="38">
        <f t="shared" si="3"/>
        <v>8.75</v>
      </c>
      <c r="I16" s="39">
        <f>COUNTIF(Vertices[Out-Degree],"&gt;= "&amp;H16)-COUNTIF(Vertices[Out-Degree],"&gt;="&amp;H17)</f>
        <v>1</v>
      </c>
      <c r="J16" s="38">
        <f t="shared" si="4"/>
        <v>10847.512752416664</v>
      </c>
      <c r="K16" s="39">
        <f>COUNTIF(Vertices[Betweenness Centrality],"&gt;= "&amp;J16)-COUNTIF(Vertices[Betweenness Centrality],"&gt;="&amp;J17)</f>
        <v>0</v>
      </c>
      <c r="L16" s="38">
        <f t="shared" si="5"/>
        <v>0.000848458333333333</v>
      </c>
      <c r="M16" s="39">
        <f>COUNTIF(Vertices[Closeness Centrality],"&gt;= "&amp;L16)-COUNTIF(Vertices[Closeness Centrality],"&gt;="&amp;L17)</f>
        <v>0</v>
      </c>
      <c r="N16" s="38">
        <f t="shared" si="6"/>
        <v>0.026623041666666666</v>
      </c>
      <c r="O16" s="39">
        <f>COUNTIF(Vertices[Eigenvector Centrality],"&gt;= "&amp;N16)-COUNTIF(Vertices[Eigenvector Centrality],"&gt;="&amp;N17)</f>
        <v>0</v>
      </c>
      <c r="P16" s="38">
        <f t="shared" si="7"/>
        <v>4.495146166666667</v>
      </c>
      <c r="Q16" s="39">
        <f>COUNTIF(Vertices[PageRank],"&gt;= "&amp;P16)-COUNTIF(Vertices[PageRank],"&gt;="&amp;P17)</f>
        <v>0</v>
      </c>
      <c r="R16" s="38">
        <f t="shared" si="8"/>
        <v>0.29166666666666663</v>
      </c>
      <c r="S16" s="44">
        <f>COUNTIF(Vertices[Clustering Coefficient],"&gt;= "&amp;R16)-COUNTIF(Vertices[Clustering Coefficient],"&gt;="&amp;R17)</f>
        <v>0</v>
      </c>
      <c r="T16" s="38" t="e">
        <f ca="1" t="shared" si="9"/>
        <v>#REF!</v>
      </c>
      <c r="U16" s="39" t="e">
        <f ca="1" t="shared" si="0"/>
        <v>#REF!</v>
      </c>
    </row>
    <row r="17" spans="1:21" ht="15">
      <c r="A17" s="35" t="s">
        <v>154</v>
      </c>
      <c r="B17" s="35">
        <v>204</v>
      </c>
      <c r="D17" s="33">
        <f t="shared" si="1"/>
        <v>0</v>
      </c>
      <c r="E17" s="3">
        <f>COUNTIF(Vertices[Degree],"&gt;= "&amp;D17)-COUNTIF(Vertices[Degree],"&gt;="&amp;D18)</f>
        <v>0</v>
      </c>
      <c r="F17" s="40">
        <f t="shared" si="2"/>
        <v>10.375</v>
      </c>
      <c r="G17" s="41">
        <f>COUNTIF(Vertices[In-Degree],"&gt;= "&amp;F17)-COUNTIF(Vertices[In-Degree],"&gt;="&amp;F18)</f>
        <v>0</v>
      </c>
      <c r="H17" s="40">
        <f t="shared" si="3"/>
        <v>9.375</v>
      </c>
      <c r="I17" s="41">
        <f>COUNTIF(Vertices[Out-Degree],"&gt;= "&amp;H17)-COUNTIF(Vertices[Out-Degree],"&gt;="&amp;H18)</f>
        <v>0</v>
      </c>
      <c r="J17" s="40">
        <f t="shared" si="4"/>
        <v>11622.335091874997</v>
      </c>
      <c r="K17" s="41">
        <f>COUNTIF(Vertices[Betweenness Centrality],"&gt;= "&amp;J17)-COUNTIF(Vertices[Betweenness Centrality],"&gt;="&amp;J18)</f>
        <v>0</v>
      </c>
      <c r="L17" s="40">
        <f t="shared" si="5"/>
        <v>0.0008775624999999997</v>
      </c>
      <c r="M17" s="41">
        <f>COUNTIF(Vertices[Closeness Centrality],"&gt;= "&amp;L17)-COUNTIF(Vertices[Closeness Centrality],"&gt;="&amp;L18)</f>
        <v>23</v>
      </c>
      <c r="N17" s="40">
        <f t="shared" si="6"/>
        <v>0.0285246875</v>
      </c>
      <c r="O17" s="41">
        <f>COUNTIF(Vertices[Eigenvector Centrality],"&gt;= "&amp;N17)-COUNTIF(Vertices[Eigenvector Centrality],"&gt;="&amp;N18)</f>
        <v>0</v>
      </c>
      <c r="P17" s="40">
        <f t="shared" si="7"/>
        <v>4.788296750000001</v>
      </c>
      <c r="Q17" s="41">
        <f>COUNTIF(Vertices[PageRank],"&gt;= "&amp;P17)-COUNTIF(Vertices[PageRank],"&gt;="&amp;P18)</f>
        <v>0</v>
      </c>
      <c r="R17" s="40">
        <f t="shared" si="8"/>
        <v>0.31249999999999994</v>
      </c>
      <c r="S17" s="45">
        <f>COUNTIF(Vertices[Clustering Coefficient],"&gt;= "&amp;R17)-COUNTIF(Vertices[Clustering Coefficient],"&gt;="&amp;R18)</f>
        <v>0</v>
      </c>
      <c r="T17" s="40" t="e">
        <f ca="1" t="shared" si="9"/>
        <v>#REF!</v>
      </c>
      <c r="U17" s="41" t="e">
        <f ca="1" t="shared" si="0"/>
        <v>#REF!</v>
      </c>
    </row>
    <row r="18" spans="1:21" ht="15">
      <c r="A18" s="35" t="s">
        <v>155</v>
      </c>
      <c r="B18" s="35">
        <v>359</v>
      </c>
      <c r="D18" s="33">
        <f t="shared" si="1"/>
        <v>0</v>
      </c>
      <c r="E18" s="3">
        <f>COUNTIF(Vertices[Degree],"&gt;= "&amp;D18)-COUNTIF(Vertices[Degree],"&gt;="&amp;D19)</f>
        <v>0</v>
      </c>
      <c r="F18" s="38">
        <f t="shared" si="2"/>
        <v>11</v>
      </c>
      <c r="G18" s="39">
        <f>COUNTIF(Vertices[In-Degree],"&gt;= "&amp;F18)-COUNTIF(Vertices[In-Degree],"&gt;="&amp;F19)</f>
        <v>0</v>
      </c>
      <c r="H18" s="38">
        <f t="shared" si="3"/>
        <v>10</v>
      </c>
      <c r="I18" s="39">
        <f>COUNTIF(Vertices[Out-Degree],"&gt;= "&amp;H18)-COUNTIF(Vertices[Out-Degree],"&gt;="&amp;H19)</f>
        <v>0</v>
      </c>
      <c r="J18" s="38">
        <f t="shared" si="4"/>
        <v>12397.15743133333</v>
      </c>
      <c r="K18" s="39">
        <f>COUNTIF(Vertices[Betweenness Centrality],"&gt;= "&amp;J18)-COUNTIF(Vertices[Betweenness Centrality],"&gt;="&amp;J19)</f>
        <v>0</v>
      </c>
      <c r="L18" s="38">
        <f t="shared" si="5"/>
        <v>0.0009066666666666663</v>
      </c>
      <c r="M18" s="39">
        <f>COUNTIF(Vertices[Closeness Centrality],"&gt;= "&amp;L18)-COUNTIF(Vertices[Closeness Centrality],"&gt;="&amp;L19)</f>
        <v>15</v>
      </c>
      <c r="N18" s="38">
        <f t="shared" si="6"/>
        <v>0.030426333333333333</v>
      </c>
      <c r="O18" s="39">
        <f>COUNTIF(Vertices[Eigenvector Centrality],"&gt;= "&amp;N18)-COUNTIF(Vertices[Eigenvector Centrality],"&gt;="&amp;N19)</f>
        <v>0</v>
      </c>
      <c r="P18" s="38">
        <f t="shared" si="7"/>
        <v>5.081447333333334</v>
      </c>
      <c r="Q18" s="39">
        <f>COUNTIF(Vertices[PageRank],"&gt;= "&amp;P18)-COUNTIF(Vertices[PageRank],"&gt;="&amp;P19)</f>
        <v>0</v>
      </c>
      <c r="R18" s="38">
        <f t="shared" si="8"/>
        <v>0.33333333333333326</v>
      </c>
      <c r="S18" s="44">
        <f>COUNTIF(Vertices[Clustering Coefficient],"&gt;= "&amp;R18)-COUNTIF(Vertices[Clustering Coefficient],"&gt;="&amp;R19)</f>
        <v>1</v>
      </c>
      <c r="T18" s="38" t="e">
        <f ca="1" t="shared" si="9"/>
        <v>#REF!</v>
      </c>
      <c r="U18" s="39" t="e">
        <f ca="1" t="shared" si="0"/>
        <v>#REF!</v>
      </c>
    </row>
    <row r="19" spans="1:21" ht="15">
      <c r="A19" s="110"/>
      <c r="B19" s="110"/>
      <c r="D19" s="33">
        <f t="shared" si="1"/>
        <v>0</v>
      </c>
      <c r="E19" s="3">
        <f>COUNTIF(Vertices[Degree],"&gt;= "&amp;D19)-COUNTIF(Vertices[Degree],"&gt;="&amp;D20)</f>
        <v>0</v>
      </c>
      <c r="F19" s="40">
        <f t="shared" si="2"/>
        <v>11.625</v>
      </c>
      <c r="G19" s="41">
        <f>COUNTIF(Vertices[In-Degree],"&gt;= "&amp;F19)-COUNTIF(Vertices[In-Degree],"&gt;="&amp;F20)</f>
        <v>0</v>
      </c>
      <c r="H19" s="40">
        <f t="shared" si="3"/>
        <v>10.625</v>
      </c>
      <c r="I19" s="41">
        <f>COUNTIF(Vertices[Out-Degree],"&gt;= "&amp;H19)-COUNTIF(Vertices[Out-Degree],"&gt;="&amp;H20)</f>
        <v>0</v>
      </c>
      <c r="J19" s="40">
        <f t="shared" si="4"/>
        <v>13171.979770791662</v>
      </c>
      <c r="K19" s="41">
        <f>COUNTIF(Vertices[Betweenness Centrality],"&gt;= "&amp;J19)-COUNTIF(Vertices[Betweenness Centrality],"&gt;="&amp;J20)</f>
        <v>0</v>
      </c>
      <c r="L19" s="40">
        <f t="shared" si="5"/>
        <v>0.0009357708333333329</v>
      </c>
      <c r="M19" s="41">
        <f>COUNTIF(Vertices[Closeness Centrality],"&gt;= "&amp;L19)-COUNTIF(Vertices[Closeness Centrality],"&gt;="&amp;L20)</f>
        <v>2</v>
      </c>
      <c r="N19" s="40">
        <f t="shared" si="6"/>
        <v>0.032327979166666666</v>
      </c>
      <c r="O19" s="41">
        <f>COUNTIF(Vertices[Eigenvector Centrality],"&gt;= "&amp;N19)-COUNTIF(Vertices[Eigenvector Centrality],"&gt;="&amp;N20)</f>
        <v>0</v>
      </c>
      <c r="P19" s="40">
        <f t="shared" si="7"/>
        <v>5.3745979166666675</v>
      </c>
      <c r="Q19" s="41">
        <f>COUNTIF(Vertices[PageRank],"&gt;= "&amp;P19)-COUNTIF(Vertices[PageRank],"&gt;="&amp;P20)</f>
        <v>0</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156</v>
      </c>
      <c r="B20" s="35">
        <v>15</v>
      </c>
      <c r="D20" s="33">
        <f t="shared" si="1"/>
        <v>0</v>
      </c>
      <c r="E20" s="3">
        <f>COUNTIF(Vertices[Degree],"&gt;= "&amp;D20)-COUNTIF(Vertices[Degree],"&gt;="&amp;D21)</f>
        <v>0</v>
      </c>
      <c r="F20" s="38">
        <f t="shared" si="2"/>
        <v>12.25</v>
      </c>
      <c r="G20" s="39">
        <f>COUNTIF(Vertices[In-Degree],"&gt;= "&amp;F20)-COUNTIF(Vertices[In-Degree],"&gt;="&amp;F21)</f>
        <v>0</v>
      </c>
      <c r="H20" s="38">
        <f t="shared" si="3"/>
        <v>11.25</v>
      </c>
      <c r="I20" s="39">
        <f>COUNTIF(Vertices[Out-Degree],"&gt;= "&amp;H20)-COUNTIF(Vertices[Out-Degree],"&gt;="&amp;H21)</f>
        <v>0</v>
      </c>
      <c r="J20" s="38">
        <f t="shared" si="4"/>
        <v>13946.802110249995</v>
      </c>
      <c r="K20" s="39">
        <f>COUNTIF(Vertices[Betweenness Centrality],"&gt;= "&amp;J20)-COUNTIF(Vertices[Betweenness Centrality],"&gt;="&amp;J21)</f>
        <v>0</v>
      </c>
      <c r="L20" s="38">
        <f t="shared" si="5"/>
        <v>0.0009648749999999996</v>
      </c>
      <c r="M20" s="39">
        <f>COUNTIF(Vertices[Closeness Centrality],"&gt;= "&amp;L20)-COUNTIF(Vertices[Closeness Centrality],"&gt;="&amp;L21)</f>
        <v>1</v>
      </c>
      <c r="N20" s="38">
        <f t="shared" si="6"/>
        <v>0.034229625</v>
      </c>
      <c r="O20" s="39">
        <f>COUNTIF(Vertices[Eigenvector Centrality],"&gt;= "&amp;N20)-COUNTIF(Vertices[Eigenvector Centrality],"&gt;="&amp;N21)</f>
        <v>0</v>
      </c>
      <c r="P20" s="38">
        <f t="shared" si="7"/>
        <v>5.667748500000001</v>
      </c>
      <c r="Q20" s="39">
        <f>COUNTIF(Vertices[PageRank],"&gt;= "&amp;P20)-COUNTIF(Vertices[PageRank],"&gt;="&amp;P21)</f>
        <v>0</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157</v>
      </c>
      <c r="B21" s="35">
        <v>5.061371</v>
      </c>
      <c r="D21" s="33">
        <f t="shared" si="1"/>
        <v>0</v>
      </c>
      <c r="E21" s="3">
        <f>COUNTIF(Vertices[Degree],"&gt;= "&amp;D21)-COUNTIF(Vertices[Degree],"&gt;="&amp;D22)</f>
        <v>0</v>
      </c>
      <c r="F21" s="40">
        <f t="shared" si="2"/>
        <v>12.875</v>
      </c>
      <c r="G21" s="41">
        <f>COUNTIF(Vertices[In-Degree],"&gt;= "&amp;F21)-COUNTIF(Vertices[In-Degree],"&gt;="&amp;F22)</f>
        <v>0</v>
      </c>
      <c r="H21" s="40">
        <f t="shared" si="3"/>
        <v>11.875</v>
      </c>
      <c r="I21" s="41">
        <f>COUNTIF(Vertices[Out-Degree],"&gt;= "&amp;H21)-COUNTIF(Vertices[Out-Degree],"&gt;="&amp;H22)</f>
        <v>0</v>
      </c>
      <c r="J21" s="40">
        <f t="shared" si="4"/>
        <v>14721.624449708328</v>
      </c>
      <c r="K21" s="41">
        <f>COUNTIF(Vertices[Betweenness Centrality],"&gt;= "&amp;J21)-COUNTIF(Vertices[Betweenness Centrality],"&gt;="&amp;J22)</f>
        <v>0</v>
      </c>
      <c r="L21" s="40">
        <f t="shared" si="5"/>
        <v>0.0009939791666666662</v>
      </c>
      <c r="M21" s="41">
        <f>COUNTIF(Vertices[Closeness Centrality],"&gt;= "&amp;L21)-COUNTIF(Vertices[Closeness Centrality],"&gt;="&amp;L22)</f>
        <v>0</v>
      </c>
      <c r="N21" s="40">
        <f t="shared" si="6"/>
        <v>0.03613127083333333</v>
      </c>
      <c r="O21" s="41">
        <f>COUNTIF(Vertices[Eigenvector Centrality],"&gt;= "&amp;N21)-COUNTIF(Vertices[Eigenvector Centrality],"&gt;="&amp;N22)</f>
        <v>0</v>
      </c>
      <c r="P21" s="40">
        <f t="shared" si="7"/>
        <v>5.960899083333334</v>
      </c>
      <c r="Q21" s="41">
        <f>COUNTIF(Vertices[PageRank],"&gt;= "&amp;P21)-COUNTIF(Vertices[PageRank],"&gt;="&amp;P22)</f>
        <v>0</v>
      </c>
      <c r="R21" s="40">
        <f t="shared" si="8"/>
        <v>0.3958333333333332</v>
      </c>
      <c r="S21" s="45">
        <f>COUNTIF(Vertices[Clustering Coefficient],"&gt;= "&amp;R21)-COUNTIF(Vertices[Clustering Coefficient],"&gt;="&amp;R22)</f>
        <v>0</v>
      </c>
      <c r="T21" s="40" t="e">
        <f ca="1" t="shared" si="9"/>
        <v>#REF!</v>
      </c>
      <c r="U21" s="41" t="e">
        <f ca="1" t="shared" si="0"/>
        <v>#REF!</v>
      </c>
    </row>
    <row r="22" spans="1:21" ht="15">
      <c r="A22" s="110"/>
      <c r="B22" s="110"/>
      <c r="D22" s="33">
        <f t="shared" si="1"/>
        <v>0</v>
      </c>
      <c r="E22" s="3">
        <f>COUNTIF(Vertices[Degree],"&gt;= "&amp;D22)-COUNTIF(Vertices[Degree],"&gt;="&amp;D23)</f>
        <v>0</v>
      </c>
      <c r="F22" s="38">
        <f t="shared" si="2"/>
        <v>13.5</v>
      </c>
      <c r="G22" s="39">
        <f>COUNTIF(Vertices[In-Degree],"&gt;= "&amp;F22)-COUNTIF(Vertices[In-Degree],"&gt;="&amp;F23)</f>
        <v>0</v>
      </c>
      <c r="H22" s="38">
        <f t="shared" si="3"/>
        <v>12.5</v>
      </c>
      <c r="I22" s="39">
        <f>COUNTIF(Vertices[Out-Degree],"&gt;= "&amp;H22)-COUNTIF(Vertices[Out-Degree],"&gt;="&amp;H23)</f>
        <v>0</v>
      </c>
      <c r="J22" s="38">
        <f t="shared" si="4"/>
        <v>15496.44678916666</v>
      </c>
      <c r="K22" s="39">
        <f>COUNTIF(Vertices[Betweenness Centrality],"&gt;= "&amp;J22)-COUNTIF(Vertices[Betweenness Centrality],"&gt;="&amp;J23)</f>
        <v>0</v>
      </c>
      <c r="L22" s="38">
        <f t="shared" si="5"/>
        <v>0.0010230833333333329</v>
      </c>
      <c r="M22" s="39">
        <f>COUNTIF(Vertices[Closeness Centrality],"&gt;= "&amp;L22)-COUNTIF(Vertices[Closeness Centrality],"&gt;="&amp;L23)</f>
        <v>0</v>
      </c>
      <c r="N22" s="38">
        <f t="shared" si="6"/>
        <v>0.038032916666666666</v>
      </c>
      <c r="O22" s="39">
        <f>COUNTIF(Vertices[Eigenvector Centrality],"&gt;= "&amp;N22)-COUNTIF(Vertices[Eigenvector Centrality],"&gt;="&amp;N23)</f>
        <v>0</v>
      </c>
      <c r="P22" s="38">
        <f t="shared" si="7"/>
        <v>6.254049666666668</v>
      </c>
      <c r="Q22" s="39">
        <f>COUNTIF(Vertices[PageRank],"&gt;= "&amp;P22)-COUNTIF(Vertices[PageRank],"&gt;="&amp;P23)</f>
        <v>0</v>
      </c>
      <c r="R22" s="38">
        <f t="shared" si="8"/>
        <v>0.4166666666666665</v>
      </c>
      <c r="S22" s="44">
        <f>COUNTIF(Vertices[Clustering Coefficient],"&gt;= "&amp;R22)-COUNTIF(Vertices[Clustering Coefficient],"&gt;="&amp;R23)</f>
        <v>0</v>
      </c>
      <c r="T22" s="38" t="e">
        <f ca="1" t="shared" si="9"/>
        <v>#REF!</v>
      </c>
      <c r="U22" s="39" t="e">
        <f ca="1" t="shared" si="0"/>
        <v>#REF!</v>
      </c>
    </row>
    <row r="23" spans="1:21" ht="15">
      <c r="A23" s="35" t="s">
        <v>158</v>
      </c>
      <c r="B23" s="35">
        <v>0.007195981841012267</v>
      </c>
      <c r="D23" s="33">
        <f t="shared" si="1"/>
        <v>0</v>
      </c>
      <c r="E23" s="3">
        <f>COUNTIF(Vertices[Degree],"&gt;= "&amp;D23)-COUNTIF(Vertices[Degree],"&gt;="&amp;D24)</f>
        <v>0</v>
      </c>
      <c r="F23" s="40">
        <f t="shared" si="2"/>
        <v>14.125</v>
      </c>
      <c r="G23" s="41">
        <f>COUNTIF(Vertices[In-Degree],"&gt;= "&amp;F23)-COUNTIF(Vertices[In-Degree],"&gt;="&amp;F24)</f>
        <v>0</v>
      </c>
      <c r="H23" s="40">
        <f t="shared" si="3"/>
        <v>13.125</v>
      </c>
      <c r="I23" s="41">
        <f>COUNTIF(Vertices[Out-Degree],"&gt;= "&amp;H23)-COUNTIF(Vertices[Out-Degree],"&gt;="&amp;H24)</f>
        <v>0</v>
      </c>
      <c r="J23" s="40">
        <f t="shared" si="4"/>
        <v>16271.269128624994</v>
      </c>
      <c r="K23" s="41">
        <f>COUNTIF(Vertices[Betweenness Centrality],"&gt;= "&amp;J23)-COUNTIF(Vertices[Betweenness Centrality],"&gt;="&amp;J24)</f>
        <v>0</v>
      </c>
      <c r="L23" s="40">
        <f t="shared" si="5"/>
        <v>0.0010521874999999995</v>
      </c>
      <c r="M23" s="41">
        <f>COUNTIF(Vertices[Closeness Centrality],"&gt;= "&amp;L23)-COUNTIF(Vertices[Closeness Centrality],"&gt;="&amp;L24)</f>
        <v>24</v>
      </c>
      <c r="N23" s="40">
        <f t="shared" si="6"/>
        <v>0.0399345625</v>
      </c>
      <c r="O23" s="41">
        <f>COUNTIF(Vertices[Eigenvector Centrality],"&gt;= "&amp;N23)-COUNTIF(Vertices[Eigenvector Centrality],"&gt;="&amp;N24)</f>
        <v>0</v>
      </c>
      <c r="P23" s="40">
        <f t="shared" si="7"/>
        <v>6.547200250000001</v>
      </c>
      <c r="Q23" s="41">
        <f>COUNTIF(Vertices[PageRank],"&gt;= "&amp;P23)-COUNTIF(Vertices[PageRank],"&gt;="&amp;P24)</f>
        <v>0</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1252</v>
      </c>
      <c r="B24" s="35">
        <v>0.63513</v>
      </c>
      <c r="D24" s="33">
        <f t="shared" si="1"/>
        <v>0</v>
      </c>
      <c r="E24" s="3">
        <f>COUNTIF(Vertices[Degree],"&gt;= "&amp;D24)-COUNTIF(Vertices[Degree],"&gt;="&amp;D25)</f>
        <v>0</v>
      </c>
      <c r="F24" s="38">
        <f t="shared" si="2"/>
        <v>14.75</v>
      </c>
      <c r="G24" s="39">
        <f>COUNTIF(Vertices[In-Degree],"&gt;= "&amp;F24)-COUNTIF(Vertices[In-Degree],"&gt;="&amp;F25)</f>
        <v>0</v>
      </c>
      <c r="H24" s="38">
        <f t="shared" si="3"/>
        <v>13.75</v>
      </c>
      <c r="I24" s="39">
        <f>COUNTIF(Vertices[Out-Degree],"&gt;= "&amp;H24)-COUNTIF(Vertices[Out-Degree],"&gt;="&amp;H25)</f>
        <v>0</v>
      </c>
      <c r="J24" s="38">
        <f t="shared" si="4"/>
        <v>17046.091468083327</v>
      </c>
      <c r="K24" s="39">
        <f>COUNTIF(Vertices[Betweenness Centrality],"&gt;= "&amp;J24)-COUNTIF(Vertices[Betweenness Centrality],"&gt;="&amp;J25)</f>
        <v>0</v>
      </c>
      <c r="L24" s="38">
        <f t="shared" si="5"/>
        <v>0.0010812916666666662</v>
      </c>
      <c r="M24" s="39">
        <f>COUNTIF(Vertices[Closeness Centrality],"&gt;= "&amp;L24)-COUNTIF(Vertices[Closeness Centrality],"&gt;="&amp;L25)</f>
        <v>34</v>
      </c>
      <c r="N24" s="38">
        <f t="shared" si="6"/>
        <v>0.04183620833333333</v>
      </c>
      <c r="O24" s="39">
        <f>COUNTIF(Vertices[Eigenvector Centrality],"&gt;= "&amp;N24)-COUNTIF(Vertices[Eigenvector Centrality],"&gt;="&amp;N25)</f>
        <v>0</v>
      </c>
      <c r="P24" s="38">
        <f t="shared" si="7"/>
        <v>6.840350833333335</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110"/>
      <c r="B25" s="110"/>
      <c r="D25" s="33">
        <f t="shared" si="1"/>
        <v>0</v>
      </c>
      <c r="E25" s="3">
        <f>COUNTIF(Vertices[Degree],"&gt;= "&amp;D25)-COUNTIF(Vertices[Degree],"&gt;="&amp;D26)</f>
        <v>0</v>
      </c>
      <c r="F25" s="40">
        <f t="shared" si="2"/>
        <v>15.375</v>
      </c>
      <c r="G25" s="41">
        <f>COUNTIF(Vertices[In-Degree],"&gt;= "&amp;F25)-COUNTIF(Vertices[In-Degree],"&gt;="&amp;F26)</f>
        <v>0</v>
      </c>
      <c r="H25" s="40">
        <f t="shared" si="3"/>
        <v>14.375</v>
      </c>
      <c r="I25" s="41">
        <f>COUNTIF(Vertices[Out-Degree],"&gt;= "&amp;H25)-COUNTIF(Vertices[Out-Degree],"&gt;="&amp;H26)</f>
        <v>0</v>
      </c>
      <c r="J25" s="40">
        <f t="shared" si="4"/>
        <v>17820.91380754166</v>
      </c>
      <c r="K25" s="41">
        <f>COUNTIF(Vertices[Betweenness Centrality],"&gt;= "&amp;J25)-COUNTIF(Vertices[Betweenness Centrality],"&gt;="&amp;J26)</f>
        <v>0</v>
      </c>
      <c r="L25" s="40">
        <f t="shared" si="5"/>
        <v>0.0011103958333333328</v>
      </c>
      <c r="M25" s="41">
        <f>COUNTIF(Vertices[Closeness Centrality],"&gt;= "&amp;L25)-COUNTIF(Vertices[Closeness Centrality],"&gt;="&amp;L26)</f>
        <v>6</v>
      </c>
      <c r="N25" s="40">
        <f t="shared" si="6"/>
        <v>0.043737854166666666</v>
      </c>
      <c r="O25" s="41">
        <f>COUNTIF(Vertices[Eigenvector Centrality],"&gt;= "&amp;N25)-COUNTIF(Vertices[Eigenvector Centrality],"&gt;="&amp;N26)</f>
        <v>0</v>
      </c>
      <c r="P25" s="40">
        <f t="shared" si="7"/>
        <v>7.133501416666668</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1253</v>
      </c>
      <c r="B26" s="35" t="s">
        <v>1267</v>
      </c>
      <c r="D26" s="33">
        <f t="shared" si="1"/>
        <v>0</v>
      </c>
      <c r="E26" s="3">
        <f>COUNTIF(Vertices[Degree],"&gt;= "&amp;D26)-COUNTIF(Vertices[Degree],"&gt;="&amp;D28)</f>
        <v>0</v>
      </c>
      <c r="F26" s="38">
        <f t="shared" si="2"/>
        <v>16</v>
      </c>
      <c r="G26" s="39">
        <f>COUNTIF(Vertices[In-Degree],"&gt;= "&amp;F26)-COUNTIF(Vertices[In-Degree],"&gt;="&amp;F28)</f>
        <v>0</v>
      </c>
      <c r="H26" s="38">
        <f t="shared" si="3"/>
        <v>15</v>
      </c>
      <c r="I26" s="39">
        <f>COUNTIF(Vertices[Out-Degree],"&gt;= "&amp;H26)-COUNTIF(Vertices[Out-Degree],"&gt;="&amp;H28)</f>
        <v>0</v>
      </c>
      <c r="J26" s="38">
        <f t="shared" si="4"/>
        <v>18595.736146999992</v>
      </c>
      <c r="K26" s="39">
        <f>COUNTIF(Vertices[Betweenness Centrality],"&gt;= "&amp;J26)-COUNTIF(Vertices[Betweenness Centrality],"&gt;="&amp;J28)</f>
        <v>0</v>
      </c>
      <c r="L26" s="38">
        <f t="shared" si="5"/>
        <v>0.0011394999999999995</v>
      </c>
      <c r="M26" s="39">
        <f>COUNTIF(Vertices[Closeness Centrality],"&gt;= "&amp;L26)-COUNTIF(Vertices[Closeness Centrality],"&gt;="&amp;L28)</f>
        <v>1</v>
      </c>
      <c r="N26" s="38">
        <f t="shared" si="6"/>
        <v>0.0456395</v>
      </c>
      <c r="O26" s="39">
        <f>COUNTIF(Vertices[Eigenvector Centrality],"&gt;= "&amp;N26)-COUNTIF(Vertices[Eigenvector Centrality],"&gt;="&amp;N28)</f>
        <v>0</v>
      </c>
      <c r="P26" s="38">
        <f t="shared" si="7"/>
        <v>7.426652000000002</v>
      </c>
      <c r="Q26" s="39">
        <f>COUNTIF(Vertices[PageRank],"&gt;= "&amp;P26)-COUNTIF(Vertices[PageRank],"&gt;="&amp;P28)</f>
        <v>0</v>
      </c>
      <c r="R26" s="38">
        <f t="shared" si="8"/>
        <v>0.4999999999999998</v>
      </c>
      <c r="S26" s="44">
        <f>COUNTIF(Vertices[Clustering Coefficient],"&gt;= "&amp;R26)-COUNTIF(Vertices[Clustering Coefficient],"&gt;="&amp;R28)</f>
        <v>17</v>
      </c>
      <c r="T26" s="38" t="e">
        <f ca="1" t="shared" si="9"/>
        <v>#REF!</v>
      </c>
      <c r="U26" s="39" t="e">
        <f ca="1">COUNTIF(INDIRECT(DynamicFilterSourceColumnRange),"&gt;= "&amp;T26)-COUNTIF(INDIRECT(DynamicFilterSourceColumnRange),"&gt;="&amp;T28)</f>
        <v>#REF!</v>
      </c>
    </row>
    <row r="27" spans="1:21" ht="15">
      <c r="A27" s="110"/>
      <c r="B27" s="110"/>
      <c r="D27" s="33"/>
      <c r="E27" s="3">
        <f>COUNTIF(Vertices[Degree],"&gt;= "&amp;D27)-COUNTIF(Vertices[Degree],"&gt;="&amp;D28)</f>
        <v>0</v>
      </c>
      <c r="F27" s="65"/>
      <c r="G27" s="66">
        <f>COUNTIF(Vertices[In-Degree],"&gt;= "&amp;F27)-COUNTIF(Vertices[In-Degree],"&gt;="&amp;F28)</f>
        <v>-1</v>
      </c>
      <c r="H27" s="65"/>
      <c r="I27" s="66">
        <f>COUNTIF(Vertices[Out-Degree],"&gt;= "&amp;H27)-COUNTIF(Vertices[Out-Degree],"&gt;="&amp;H28)</f>
        <v>-1</v>
      </c>
      <c r="J27" s="65"/>
      <c r="K27" s="66">
        <f>COUNTIF(Vertices[Betweenness Centrality],"&gt;= "&amp;J27)-COUNTIF(Vertices[Betweenness Centrality],"&gt;="&amp;J28)</f>
        <v>-1</v>
      </c>
      <c r="L27" s="65"/>
      <c r="M27" s="66">
        <f>COUNTIF(Vertices[Closeness Centrality],"&gt;= "&amp;L27)-COUNTIF(Vertices[Closeness Centrality],"&gt;="&amp;L28)</f>
        <v>-52</v>
      </c>
      <c r="N27" s="65"/>
      <c r="O27" s="66">
        <f>COUNTIF(Vertices[Eigenvector Centrality],"&gt;= "&amp;N27)-COUNTIF(Vertices[Eigenvector Centrality],"&gt;="&amp;N28)</f>
        <v>-1</v>
      </c>
      <c r="P27" s="65"/>
      <c r="Q27" s="66">
        <f>COUNTIF(Vertices[Eigenvector Centrality],"&gt;= "&amp;P27)-COUNTIF(Vertices[Eigenvector Centrality],"&gt;="&amp;P28)</f>
        <v>0</v>
      </c>
      <c r="R27" s="65"/>
      <c r="S27" s="67">
        <f>COUNTIF(Vertices[Clustering Coefficient],"&gt;= "&amp;R27)-COUNTIF(Vertices[Clustering Coefficient],"&gt;="&amp;R28)</f>
        <v>-1</v>
      </c>
      <c r="T27" s="65"/>
      <c r="U27" s="66">
        <f ca="1">COUNTIF(Vertices[Clustering Coefficient],"&gt;= "&amp;T27)-COUNTIF(Vertices[Clustering Coefficient],"&gt;="&amp;T28)</f>
        <v>0</v>
      </c>
    </row>
    <row r="28" spans="1:21" ht="15">
      <c r="A28" s="35" t="s">
        <v>1254</v>
      </c>
      <c r="B28" s="35" t="s">
        <v>1753</v>
      </c>
      <c r="D28" s="33">
        <f>D26+($D$50-$D$2)/BinDivisor</f>
        <v>0</v>
      </c>
      <c r="E28" s="3">
        <f>COUNTIF(Vertices[Degree],"&gt;= "&amp;D28)-COUNTIF(Vertices[Degree],"&gt;="&amp;D42)</f>
        <v>0</v>
      </c>
      <c r="F28" s="40">
        <f>F26+($F$50-$F$2)/BinDivisor</f>
        <v>16.625</v>
      </c>
      <c r="G28" s="41">
        <f>COUNTIF(Vertices[In-Degree],"&gt;= "&amp;F28)-COUNTIF(Vertices[In-Degree],"&gt;="&amp;F42)</f>
        <v>0</v>
      </c>
      <c r="H28" s="40">
        <f>H26+($H$50-$H$2)/BinDivisor</f>
        <v>15.625</v>
      </c>
      <c r="I28" s="41">
        <f>COUNTIF(Vertices[Out-Degree],"&gt;= "&amp;H28)-COUNTIF(Vertices[Out-Degree],"&gt;="&amp;H42)</f>
        <v>0</v>
      </c>
      <c r="J28" s="40">
        <f>J26+($J$50-$J$2)/BinDivisor</f>
        <v>19370.558486458325</v>
      </c>
      <c r="K28" s="41">
        <f>COUNTIF(Vertices[Betweenness Centrality],"&gt;= "&amp;J28)-COUNTIF(Vertices[Betweenness Centrality],"&gt;="&amp;J42)</f>
        <v>0</v>
      </c>
      <c r="L28" s="40">
        <f>L26+($L$50-$L$2)/BinDivisor</f>
        <v>0.001168604166666666</v>
      </c>
      <c r="M28" s="41">
        <f>COUNTIF(Vertices[Closeness Centrality],"&gt;= "&amp;L28)-COUNTIF(Vertices[Closeness Centrality],"&gt;="&amp;L42)</f>
        <v>0</v>
      </c>
      <c r="N28" s="40">
        <f>N26+($N$50-$N$2)/BinDivisor</f>
        <v>0.04754114583333333</v>
      </c>
      <c r="O28" s="41">
        <f>COUNTIF(Vertices[Eigenvector Centrality],"&gt;= "&amp;N28)-COUNTIF(Vertices[Eigenvector Centrality],"&gt;="&amp;N42)</f>
        <v>0</v>
      </c>
      <c r="P28" s="40">
        <f>P26+($P$50-$P$2)/BinDivisor</f>
        <v>7.719802583333335</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110"/>
      <c r="B29" s="110"/>
      <c r="D29" s="33"/>
      <c r="E29" s="3">
        <f>COUNTIF(Vertices[Degree],"&gt;= "&amp;D29)-COUNTIF(Vertices[Degree],"&gt;="&amp;D30)</f>
        <v>0</v>
      </c>
      <c r="F29" s="65"/>
      <c r="G29" s="66">
        <f>COUNTIF(Vertices[In-Degree],"&gt;= "&amp;F29)-COUNTIF(Vertices[In-Degree],"&gt;="&amp;F30)</f>
        <v>0</v>
      </c>
      <c r="H29" s="65"/>
      <c r="I29" s="66">
        <f>COUNTIF(Vertices[Out-Degree],"&gt;= "&amp;H29)-COUNTIF(Vertices[Out-Degree],"&gt;="&amp;H30)</f>
        <v>0</v>
      </c>
      <c r="J29" s="65"/>
      <c r="K29" s="66">
        <f>COUNTIF(Vertices[Betweenness Centrality],"&gt;= "&amp;J29)-COUNTIF(Vertices[Betweenness Centrality],"&gt;="&amp;J30)</f>
        <v>0</v>
      </c>
      <c r="L29" s="65"/>
      <c r="M29" s="66">
        <f>COUNTIF(Vertices[Closeness Centrality],"&gt;= "&amp;L29)-COUNTIF(Vertices[Closeness Centrality],"&gt;="&amp;L30)</f>
        <v>0</v>
      </c>
      <c r="N29" s="65"/>
      <c r="O29" s="66">
        <f>COUNTIF(Vertices[Eigenvector Centrality],"&gt;= "&amp;N29)-COUNTIF(Vertices[Eigenvector Centrality],"&gt;="&amp;N30)</f>
        <v>0</v>
      </c>
      <c r="P29" s="65"/>
      <c r="Q29" s="66">
        <f>COUNTIF(Vertices[Eigenvector Centrality],"&gt;= "&amp;P29)-COUNTIF(Vertices[Eigenvector Centrality],"&gt;="&amp;P30)</f>
        <v>0</v>
      </c>
      <c r="R29" s="65"/>
      <c r="S29" s="67">
        <f>COUNTIF(Vertices[Clustering Coefficient],"&gt;= "&amp;R29)-COUNTIF(Vertices[Clustering Coefficient],"&gt;="&amp;R30)</f>
        <v>0</v>
      </c>
      <c r="T29" s="65"/>
      <c r="U29" s="66">
        <f>COUNTIF(Vertices[Clustering Coefficient],"&gt;= "&amp;T29)-COUNTIF(Vertices[Clustering Coefficient],"&gt;="&amp;T30)</f>
        <v>0</v>
      </c>
    </row>
    <row r="30" spans="1:21" ht="15">
      <c r="A30" s="35" t="s">
        <v>1255</v>
      </c>
      <c r="B30" s="35" t="s">
        <v>1704</v>
      </c>
      <c r="D30" s="33"/>
      <c r="E30" s="3">
        <f>COUNTIF(Vertices[Degree],"&gt;= "&amp;D30)-COUNTIF(Vertices[Degree],"&gt;="&amp;D31)</f>
        <v>0</v>
      </c>
      <c r="F30" s="65"/>
      <c r="G30" s="66">
        <f>COUNTIF(Vertices[In-Degree],"&gt;= "&amp;F30)-COUNTIF(Vertices[In-Degree],"&gt;="&amp;F31)</f>
        <v>0</v>
      </c>
      <c r="H30" s="65"/>
      <c r="I30" s="66">
        <f>COUNTIF(Vertices[Out-Degree],"&gt;= "&amp;H30)-COUNTIF(Vertices[Out-Degree],"&gt;="&amp;H31)</f>
        <v>0</v>
      </c>
      <c r="J30" s="65"/>
      <c r="K30" s="66">
        <f>COUNTIF(Vertices[Betweenness Centrality],"&gt;= "&amp;J30)-COUNTIF(Vertices[Betweenness Centrality],"&gt;="&amp;J31)</f>
        <v>0</v>
      </c>
      <c r="L30" s="65"/>
      <c r="M30" s="66">
        <f>COUNTIF(Vertices[Closeness Centrality],"&gt;= "&amp;L30)-COUNTIF(Vertices[Closeness Centrality],"&gt;="&amp;L31)</f>
        <v>0</v>
      </c>
      <c r="N30" s="65"/>
      <c r="O30" s="66">
        <f>COUNTIF(Vertices[Eigenvector Centrality],"&gt;= "&amp;N30)-COUNTIF(Vertices[Eigenvector Centrality],"&gt;="&amp;N31)</f>
        <v>0</v>
      </c>
      <c r="P30" s="65"/>
      <c r="Q30" s="66">
        <f>COUNTIF(Vertices[Eigenvector Centrality],"&gt;= "&amp;P30)-COUNTIF(Vertices[Eigenvector Centrality],"&gt;="&amp;P31)</f>
        <v>0</v>
      </c>
      <c r="R30" s="65"/>
      <c r="S30" s="67">
        <f>COUNTIF(Vertices[Clustering Coefficient],"&gt;= "&amp;R30)-COUNTIF(Vertices[Clustering Coefficient],"&gt;="&amp;R31)</f>
        <v>0</v>
      </c>
      <c r="T30" s="65"/>
      <c r="U30" s="66">
        <f>COUNTIF(Vertices[Clustering Coefficient],"&gt;= "&amp;T30)-COUNTIF(Vertices[Clustering Coefficient],"&gt;="&amp;T31)</f>
        <v>0</v>
      </c>
    </row>
    <row r="31" spans="1:21" ht="15">
      <c r="A31" s="35" t="s">
        <v>1256</v>
      </c>
      <c r="B31" s="35" t="s">
        <v>1705</v>
      </c>
      <c r="D31" s="33"/>
      <c r="E31" s="3">
        <f>COUNTIF(Vertices[Degree],"&gt;= "&amp;D31)-COUNTIF(Vertices[Degree],"&gt;="&amp;D32)</f>
        <v>0</v>
      </c>
      <c r="F31" s="65"/>
      <c r="G31" s="66">
        <f>COUNTIF(Vertices[In-Degree],"&gt;= "&amp;F31)-COUNTIF(Vertices[In-Degree],"&gt;="&amp;F32)</f>
        <v>0</v>
      </c>
      <c r="H31" s="65"/>
      <c r="I31" s="66">
        <f>COUNTIF(Vertices[Out-Degree],"&gt;= "&amp;H31)-COUNTIF(Vertices[Out-Degree],"&gt;="&amp;H32)</f>
        <v>0</v>
      </c>
      <c r="J31" s="65"/>
      <c r="K31" s="66">
        <f>COUNTIF(Vertices[Betweenness Centrality],"&gt;= "&amp;J31)-COUNTIF(Vertices[Betweenness Centrality],"&gt;="&amp;J32)</f>
        <v>0</v>
      </c>
      <c r="L31" s="65"/>
      <c r="M31" s="66">
        <f>COUNTIF(Vertices[Closeness Centrality],"&gt;= "&amp;L31)-COUNTIF(Vertices[Closeness Centrality],"&gt;="&amp;L32)</f>
        <v>0</v>
      </c>
      <c r="N31" s="65"/>
      <c r="O31" s="66">
        <f>COUNTIF(Vertices[Eigenvector Centrality],"&gt;= "&amp;N31)-COUNTIF(Vertices[Eigenvector Centrality],"&gt;="&amp;N32)</f>
        <v>0</v>
      </c>
      <c r="P31" s="65"/>
      <c r="Q31" s="66">
        <f>COUNTIF(Vertices[Eigenvector Centrality],"&gt;= "&amp;P31)-COUNTIF(Vertices[Eigenvector Centrality],"&gt;="&amp;P32)</f>
        <v>0</v>
      </c>
      <c r="R31" s="65"/>
      <c r="S31" s="67">
        <f>COUNTIF(Vertices[Clustering Coefficient],"&gt;= "&amp;R31)-COUNTIF(Vertices[Clustering Coefficient],"&gt;="&amp;R32)</f>
        <v>0</v>
      </c>
      <c r="T31" s="65"/>
      <c r="U31" s="66">
        <f>COUNTIF(Vertices[Clustering Coefficient],"&gt;= "&amp;T31)-COUNTIF(Vertices[Clustering Coefficient],"&gt;="&amp;T32)</f>
        <v>0</v>
      </c>
    </row>
    <row r="32" spans="1:21" ht="390">
      <c r="A32" s="35" t="s">
        <v>1257</v>
      </c>
      <c r="B32" s="54" t="s">
        <v>1706</v>
      </c>
      <c r="D32" s="33"/>
      <c r="E32" s="3">
        <f>COUNTIF(Vertices[Degree],"&gt;= "&amp;D32)-COUNTIF(Vertices[Degree],"&gt;="&amp;D33)</f>
        <v>0</v>
      </c>
      <c r="F32" s="65"/>
      <c r="G32" s="66">
        <f>COUNTIF(Vertices[In-Degree],"&gt;= "&amp;F32)-COUNTIF(Vertices[In-Degree],"&gt;="&amp;F33)</f>
        <v>0</v>
      </c>
      <c r="H32" s="65"/>
      <c r="I32" s="66">
        <f>COUNTIF(Vertices[Out-Degree],"&gt;= "&amp;H32)-COUNTIF(Vertices[Out-Degree],"&gt;="&amp;H33)</f>
        <v>0</v>
      </c>
      <c r="J32" s="65"/>
      <c r="K32" s="66">
        <f>COUNTIF(Vertices[Betweenness Centrality],"&gt;= "&amp;J32)-COUNTIF(Vertices[Betweenness Centrality],"&gt;="&amp;J33)</f>
        <v>0</v>
      </c>
      <c r="L32" s="65"/>
      <c r="M32" s="66">
        <f>COUNTIF(Vertices[Closeness Centrality],"&gt;= "&amp;L32)-COUNTIF(Vertices[Closeness Centrality],"&gt;="&amp;L33)</f>
        <v>0</v>
      </c>
      <c r="N32" s="65"/>
      <c r="O32" s="66">
        <f>COUNTIF(Vertices[Eigenvector Centrality],"&gt;= "&amp;N32)-COUNTIF(Vertices[Eigenvector Centrality],"&gt;="&amp;N33)</f>
        <v>0</v>
      </c>
      <c r="P32" s="65"/>
      <c r="Q32" s="66">
        <f>COUNTIF(Vertices[Eigenvector Centrality],"&gt;= "&amp;P32)-COUNTIF(Vertices[Eigenvector Centrality],"&gt;="&amp;P33)</f>
        <v>0</v>
      </c>
      <c r="R32" s="65"/>
      <c r="S32" s="67">
        <f>COUNTIF(Vertices[Clustering Coefficient],"&gt;= "&amp;R32)-COUNTIF(Vertices[Clustering Coefficient],"&gt;="&amp;R33)</f>
        <v>0</v>
      </c>
      <c r="T32" s="65"/>
      <c r="U32" s="66">
        <f>COUNTIF(Vertices[Clustering Coefficient],"&gt;= "&amp;T32)-COUNTIF(Vertices[Clustering Coefficient],"&gt;="&amp;T33)</f>
        <v>0</v>
      </c>
    </row>
    <row r="33" spans="1:21" ht="15">
      <c r="A33" s="35" t="s">
        <v>1258</v>
      </c>
      <c r="B33" s="35" t="s">
        <v>1707</v>
      </c>
      <c r="D33" s="33"/>
      <c r="E33" s="3">
        <f>COUNTIF(Vertices[Degree],"&gt;= "&amp;D33)-COUNTIF(Vertices[Degree],"&gt;="&amp;D38)</f>
        <v>0</v>
      </c>
      <c r="F33" s="65"/>
      <c r="G33" s="66">
        <f>COUNTIF(Vertices[In-Degree],"&gt;= "&amp;F33)-COUNTIF(Vertices[In-Degree],"&gt;="&amp;F38)</f>
        <v>0</v>
      </c>
      <c r="H33" s="65"/>
      <c r="I33" s="66">
        <f>COUNTIF(Vertices[Out-Degree],"&gt;= "&amp;H33)-COUNTIF(Vertices[Out-Degree],"&gt;="&amp;H38)</f>
        <v>0</v>
      </c>
      <c r="J33" s="65"/>
      <c r="K33" s="66">
        <f>COUNTIF(Vertices[Betweenness Centrality],"&gt;= "&amp;J33)-COUNTIF(Vertices[Betweenness Centrality],"&gt;="&amp;J38)</f>
        <v>0</v>
      </c>
      <c r="L33" s="65"/>
      <c r="M33" s="66">
        <f>COUNTIF(Vertices[Closeness Centrality],"&gt;= "&amp;L33)-COUNTIF(Vertices[Closeness Centrality],"&gt;="&amp;L38)</f>
        <v>0</v>
      </c>
      <c r="N33" s="65"/>
      <c r="O33" s="66">
        <f>COUNTIF(Vertices[Eigenvector Centrality],"&gt;= "&amp;N33)-COUNTIF(Vertices[Eigenvector Centrality],"&gt;="&amp;N38)</f>
        <v>0</v>
      </c>
      <c r="P33" s="65"/>
      <c r="Q33" s="66">
        <f>COUNTIF(Vertices[Eigenvector Centrality],"&gt;= "&amp;P33)-COUNTIF(Vertices[Eigenvector Centrality],"&gt;="&amp;P38)</f>
        <v>0</v>
      </c>
      <c r="R33" s="65"/>
      <c r="S33" s="67">
        <f>COUNTIF(Vertices[Clustering Coefficient],"&gt;= "&amp;R33)-COUNTIF(Vertices[Clustering Coefficient],"&gt;="&amp;R38)</f>
        <v>0</v>
      </c>
      <c r="T33" s="65"/>
      <c r="U33" s="66">
        <f>COUNTIF(Vertices[Clustering Coefficient],"&gt;= "&amp;T33)-COUNTIF(Vertices[Clustering Coefficient],"&gt;="&amp;T38)</f>
        <v>0</v>
      </c>
    </row>
    <row r="34" spans="1:21" ht="15">
      <c r="A34" s="35" t="s">
        <v>1259</v>
      </c>
      <c r="B34" s="35" t="s">
        <v>1708</v>
      </c>
      <c r="D34" s="33"/>
      <c r="E34" s="3">
        <f>COUNTIF(Vertices[Degree],"&gt;= "&amp;D34)-COUNTIF(Vertices[Degree],"&gt;="&amp;D35)</f>
        <v>0</v>
      </c>
      <c r="F34" s="65"/>
      <c r="G34" s="66">
        <f>COUNTIF(Vertices[In-Degree],"&gt;= "&amp;F34)-COUNTIF(Vertices[In-Degree],"&gt;="&amp;F35)</f>
        <v>0</v>
      </c>
      <c r="H34" s="65"/>
      <c r="I34" s="66">
        <f>COUNTIF(Vertices[Out-Degree],"&gt;= "&amp;H34)-COUNTIF(Vertices[Out-Degree],"&gt;="&amp;H35)</f>
        <v>0</v>
      </c>
      <c r="J34" s="65"/>
      <c r="K34" s="66">
        <f>COUNTIF(Vertices[Betweenness Centrality],"&gt;= "&amp;J34)-COUNTIF(Vertices[Betweenness Centrality],"&gt;="&amp;J35)</f>
        <v>0</v>
      </c>
      <c r="L34" s="65"/>
      <c r="M34" s="66">
        <f>COUNTIF(Vertices[Closeness Centrality],"&gt;= "&amp;L34)-COUNTIF(Vertices[Closeness Centrality],"&gt;="&amp;L35)</f>
        <v>0</v>
      </c>
      <c r="N34" s="65"/>
      <c r="O34" s="66">
        <f>COUNTIF(Vertices[Eigenvector Centrality],"&gt;= "&amp;N34)-COUNTIF(Vertices[Eigenvector Centrality],"&gt;="&amp;N35)</f>
        <v>0</v>
      </c>
      <c r="P34" s="65"/>
      <c r="Q34" s="66">
        <f>COUNTIF(Vertices[Eigenvector Centrality],"&gt;= "&amp;P34)-COUNTIF(Vertices[Eigenvector Centrality],"&gt;="&amp;P35)</f>
        <v>0</v>
      </c>
      <c r="R34" s="65"/>
      <c r="S34" s="67">
        <f>COUNTIF(Vertices[Clustering Coefficient],"&gt;= "&amp;R34)-COUNTIF(Vertices[Clustering Coefficient],"&gt;="&amp;R35)</f>
        <v>0</v>
      </c>
      <c r="T34" s="65"/>
      <c r="U34" s="66">
        <f>COUNTIF(Vertices[Clustering Coefficient],"&gt;= "&amp;T34)-COUNTIF(Vertices[Clustering Coefficient],"&gt;="&amp;T35)</f>
        <v>0</v>
      </c>
    </row>
    <row r="35" spans="1:21" ht="15">
      <c r="A35" s="35" t="s">
        <v>1260</v>
      </c>
      <c r="B35" s="35" t="s">
        <v>312</v>
      </c>
      <c r="D35" s="33"/>
      <c r="E35" s="3">
        <f>COUNTIF(Vertices[Degree],"&gt;= "&amp;D35)-COUNTIF(Vertices[Degree],"&gt;="&amp;D36)</f>
        <v>0</v>
      </c>
      <c r="F35" s="65"/>
      <c r="G35" s="66">
        <f>COUNTIF(Vertices[In-Degree],"&gt;= "&amp;F35)-COUNTIF(Vertices[In-Degree],"&gt;="&amp;F36)</f>
        <v>0</v>
      </c>
      <c r="H35" s="65"/>
      <c r="I35" s="66">
        <f>COUNTIF(Vertices[Out-Degree],"&gt;= "&amp;H35)-COUNTIF(Vertices[Out-Degree],"&gt;="&amp;H36)</f>
        <v>0</v>
      </c>
      <c r="J35" s="65"/>
      <c r="K35" s="66">
        <f>COUNTIF(Vertices[Betweenness Centrality],"&gt;= "&amp;J35)-COUNTIF(Vertices[Betweenness Centrality],"&gt;="&amp;J36)</f>
        <v>0</v>
      </c>
      <c r="L35" s="65"/>
      <c r="M35" s="66">
        <f>COUNTIF(Vertices[Closeness Centrality],"&gt;= "&amp;L35)-COUNTIF(Vertices[Closeness Centrality],"&gt;="&amp;L36)</f>
        <v>0</v>
      </c>
      <c r="N35" s="65"/>
      <c r="O35" s="66">
        <f>COUNTIF(Vertices[Eigenvector Centrality],"&gt;= "&amp;N35)-COUNTIF(Vertices[Eigenvector Centrality],"&gt;="&amp;N36)</f>
        <v>0</v>
      </c>
      <c r="P35" s="65"/>
      <c r="Q35" s="66">
        <f>COUNTIF(Vertices[Eigenvector Centrality],"&gt;= "&amp;P35)-COUNTIF(Vertices[Eigenvector Centrality],"&gt;="&amp;P36)</f>
        <v>0</v>
      </c>
      <c r="R35" s="65"/>
      <c r="S35" s="67">
        <f>COUNTIF(Vertices[Clustering Coefficient],"&gt;= "&amp;R35)-COUNTIF(Vertices[Clustering Coefficient],"&gt;="&amp;R36)</f>
        <v>0</v>
      </c>
      <c r="T35" s="65"/>
      <c r="U35" s="66">
        <f>COUNTIF(Vertices[Clustering Coefficient],"&gt;= "&amp;T35)-COUNTIF(Vertices[Clustering Coefficient],"&gt;="&amp;T36)</f>
        <v>0</v>
      </c>
    </row>
    <row r="36" spans="1:21" ht="15">
      <c r="A36" s="35" t="s">
        <v>1261</v>
      </c>
      <c r="B36" s="35" t="s">
        <v>312</v>
      </c>
      <c r="D36" s="33"/>
      <c r="E36" s="3">
        <f>COUNTIF(Vertices[Degree],"&gt;= "&amp;D36)-COUNTIF(Vertices[Degree],"&gt;="&amp;D37)</f>
        <v>0</v>
      </c>
      <c r="F36" s="65"/>
      <c r="G36" s="66">
        <f>COUNTIF(Vertices[In-Degree],"&gt;= "&amp;F36)-COUNTIF(Vertices[In-Degree],"&gt;="&amp;F37)</f>
        <v>0</v>
      </c>
      <c r="H36" s="65"/>
      <c r="I36" s="66">
        <f>COUNTIF(Vertices[Out-Degree],"&gt;= "&amp;H36)-COUNTIF(Vertices[Out-Degree],"&gt;="&amp;H37)</f>
        <v>0</v>
      </c>
      <c r="J36" s="65"/>
      <c r="K36" s="66">
        <f>COUNTIF(Vertices[Betweenness Centrality],"&gt;= "&amp;J36)-COUNTIF(Vertices[Betweenness Centrality],"&gt;="&amp;J37)</f>
        <v>0</v>
      </c>
      <c r="L36" s="65"/>
      <c r="M36" s="66">
        <f>COUNTIF(Vertices[Closeness Centrality],"&gt;= "&amp;L36)-COUNTIF(Vertices[Closeness Centrality],"&gt;="&amp;L37)</f>
        <v>0</v>
      </c>
      <c r="N36" s="65"/>
      <c r="O36" s="66">
        <f>COUNTIF(Vertices[Eigenvector Centrality],"&gt;= "&amp;N36)-COUNTIF(Vertices[Eigenvector Centrality],"&gt;="&amp;N37)</f>
        <v>0</v>
      </c>
      <c r="P36" s="65"/>
      <c r="Q36" s="66">
        <f>COUNTIF(Vertices[Eigenvector Centrality],"&gt;= "&amp;P36)-COUNTIF(Vertices[Eigenvector Centrality],"&gt;="&amp;P37)</f>
        <v>0</v>
      </c>
      <c r="R36" s="65"/>
      <c r="S36" s="67">
        <f>COUNTIF(Vertices[Clustering Coefficient],"&gt;= "&amp;R36)-COUNTIF(Vertices[Clustering Coefficient],"&gt;="&amp;R37)</f>
        <v>0</v>
      </c>
      <c r="T36" s="65"/>
      <c r="U36" s="66">
        <f>COUNTIF(Vertices[Clustering Coefficient],"&gt;= "&amp;T36)-COUNTIF(Vertices[Clustering Coefficient],"&gt;="&amp;T37)</f>
        <v>0</v>
      </c>
    </row>
    <row r="37" spans="1:21" ht="15">
      <c r="A37" s="35" t="s">
        <v>1262</v>
      </c>
      <c r="B37" s="35" t="s">
        <v>312</v>
      </c>
      <c r="D37" s="33"/>
      <c r="E37" s="3">
        <f>COUNTIF(Vertices[Degree],"&gt;= "&amp;D37)-COUNTIF(Vertices[Degree],"&gt;="&amp;D38)</f>
        <v>0</v>
      </c>
      <c r="F37" s="65"/>
      <c r="G37" s="66">
        <f>COUNTIF(Vertices[In-Degree],"&gt;= "&amp;F37)-COUNTIF(Vertices[In-Degree],"&gt;="&amp;F38)</f>
        <v>0</v>
      </c>
      <c r="H37" s="65"/>
      <c r="I37" s="66">
        <f>COUNTIF(Vertices[Out-Degree],"&gt;= "&amp;H37)-COUNTIF(Vertices[Out-Degree],"&gt;="&amp;H38)</f>
        <v>0</v>
      </c>
      <c r="J37" s="65"/>
      <c r="K37" s="66">
        <f>COUNTIF(Vertices[Betweenness Centrality],"&gt;= "&amp;J37)-COUNTIF(Vertices[Betweenness Centrality],"&gt;="&amp;J38)</f>
        <v>0</v>
      </c>
      <c r="L37" s="65"/>
      <c r="M37" s="66">
        <f>COUNTIF(Vertices[Closeness Centrality],"&gt;= "&amp;L37)-COUNTIF(Vertices[Closeness Centrality],"&gt;="&amp;L38)</f>
        <v>0</v>
      </c>
      <c r="N37" s="65"/>
      <c r="O37" s="66">
        <f>COUNTIF(Vertices[Eigenvector Centrality],"&gt;= "&amp;N37)-COUNTIF(Vertices[Eigenvector Centrality],"&gt;="&amp;N38)</f>
        <v>0</v>
      </c>
      <c r="P37" s="65"/>
      <c r="Q37" s="66">
        <f>COUNTIF(Vertices[Eigenvector Centrality],"&gt;= "&amp;P37)-COUNTIF(Vertices[Eigenvector Centrality],"&gt;="&amp;P38)</f>
        <v>0</v>
      </c>
      <c r="R37" s="65"/>
      <c r="S37" s="67">
        <f>COUNTIF(Vertices[Clustering Coefficient],"&gt;= "&amp;R37)-COUNTIF(Vertices[Clustering Coefficient],"&gt;="&amp;R38)</f>
        <v>0</v>
      </c>
      <c r="T37" s="65"/>
      <c r="U37" s="66">
        <f>COUNTIF(Vertices[Clustering Coefficient],"&gt;= "&amp;T37)-COUNTIF(Vertices[Clustering Coefficient],"&gt;="&amp;T38)</f>
        <v>0</v>
      </c>
    </row>
    <row r="38" spans="1:21" ht="15">
      <c r="A38" s="35" t="s">
        <v>1263</v>
      </c>
      <c r="B38" s="35"/>
      <c r="D38" s="33"/>
      <c r="E38" s="3">
        <f>COUNTIF(Vertices[Degree],"&gt;= "&amp;D38)-COUNTIF(Vertices[Degree],"&gt;="&amp;D42)</f>
        <v>0</v>
      </c>
      <c r="F38" s="65"/>
      <c r="G38" s="66">
        <f>COUNTIF(Vertices[In-Degree],"&gt;= "&amp;F38)-COUNTIF(Vertices[In-Degree],"&gt;="&amp;F42)</f>
        <v>-1</v>
      </c>
      <c r="H38" s="65"/>
      <c r="I38" s="66">
        <f>COUNTIF(Vertices[Out-Degree],"&gt;= "&amp;H38)-COUNTIF(Vertices[Out-Degree],"&gt;="&amp;H42)</f>
        <v>-1</v>
      </c>
      <c r="J38" s="65"/>
      <c r="K38" s="66">
        <f>COUNTIF(Vertices[Betweenness Centrality],"&gt;= "&amp;J38)-COUNTIF(Vertices[Betweenness Centrality],"&gt;="&amp;J42)</f>
        <v>-1</v>
      </c>
      <c r="L38" s="65"/>
      <c r="M38" s="66">
        <f>COUNTIF(Vertices[Closeness Centrality],"&gt;= "&amp;L38)-COUNTIF(Vertices[Closeness Centrality],"&gt;="&amp;L42)</f>
        <v>-52</v>
      </c>
      <c r="N38" s="65"/>
      <c r="O38" s="66">
        <f>COUNTIF(Vertices[Eigenvector Centrality],"&gt;= "&amp;N38)-COUNTIF(Vertices[Eigenvector Centrality],"&gt;="&amp;N42)</f>
        <v>-1</v>
      </c>
      <c r="P38" s="65"/>
      <c r="Q38" s="66">
        <f>COUNTIF(Vertices[Eigenvector Centrality],"&gt;= "&amp;P38)-COUNTIF(Vertices[Eigenvector Centrality],"&gt;="&amp;P42)</f>
        <v>0</v>
      </c>
      <c r="R38" s="65"/>
      <c r="S38" s="67">
        <f>COUNTIF(Vertices[Clustering Coefficient],"&gt;= "&amp;R38)-COUNTIF(Vertices[Clustering Coefficient],"&gt;="&amp;R42)</f>
        <v>-1</v>
      </c>
      <c r="T38" s="65"/>
      <c r="U38" s="66">
        <f ca="1">COUNTIF(Vertices[Clustering Coefficient],"&gt;= "&amp;T38)-COUNTIF(Vertices[Clustering Coefficient],"&gt;="&amp;T42)</f>
        <v>0</v>
      </c>
    </row>
    <row r="39" spans="1:21" ht="15">
      <c r="A39" s="35" t="s">
        <v>21</v>
      </c>
      <c r="B39" s="35"/>
      <c r="D39" s="33"/>
      <c r="E39" s="3">
        <f>COUNTIF(Vertices[Degree],"&gt;= "&amp;D39)-COUNTIF(Vertices[Degree],"&gt;="&amp;D42)</f>
        <v>0</v>
      </c>
      <c r="F39" s="65"/>
      <c r="G39" s="66">
        <f>COUNTIF(Vertices[In-Degree],"&gt;= "&amp;F39)-COUNTIF(Vertices[In-Degree],"&gt;="&amp;F42)</f>
        <v>-1</v>
      </c>
      <c r="H39" s="65"/>
      <c r="I39" s="66">
        <f>COUNTIF(Vertices[Out-Degree],"&gt;= "&amp;H39)-COUNTIF(Vertices[Out-Degree],"&gt;="&amp;H42)</f>
        <v>-1</v>
      </c>
      <c r="J39" s="65"/>
      <c r="K39" s="66">
        <f>COUNTIF(Vertices[Betweenness Centrality],"&gt;= "&amp;J39)-COUNTIF(Vertices[Betweenness Centrality],"&gt;="&amp;J42)</f>
        <v>-1</v>
      </c>
      <c r="L39" s="65"/>
      <c r="M39" s="66">
        <f>COUNTIF(Vertices[Closeness Centrality],"&gt;= "&amp;L39)-COUNTIF(Vertices[Closeness Centrality],"&gt;="&amp;L42)</f>
        <v>-52</v>
      </c>
      <c r="N39" s="65"/>
      <c r="O39" s="66">
        <f>COUNTIF(Vertices[Eigenvector Centrality],"&gt;= "&amp;N39)-COUNTIF(Vertices[Eigenvector Centrality],"&gt;="&amp;N42)</f>
        <v>-1</v>
      </c>
      <c r="P39" s="65"/>
      <c r="Q39" s="66">
        <f>COUNTIF(Vertices[Eigenvector Centrality],"&gt;= "&amp;P39)-COUNTIF(Vertices[Eigenvector Centrality],"&gt;="&amp;P42)</f>
        <v>0</v>
      </c>
      <c r="R39" s="65"/>
      <c r="S39" s="67">
        <f>COUNTIF(Vertices[Clustering Coefficient],"&gt;= "&amp;R39)-COUNTIF(Vertices[Clustering Coefficient],"&gt;="&amp;R42)</f>
        <v>-1</v>
      </c>
      <c r="T39" s="65"/>
      <c r="U39" s="66">
        <f ca="1">COUNTIF(Vertices[Clustering Coefficient],"&gt;= "&amp;T39)-COUNTIF(Vertices[Clustering Coefficient],"&gt;="&amp;T42)</f>
        <v>0</v>
      </c>
    </row>
    <row r="40" spans="1:21" ht="15">
      <c r="A40" s="35" t="s">
        <v>1264</v>
      </c>
      <c r="B40" s="35" t="s">
        <v>34</v>
      </c>
      <c r="D40" s="33"/>
      <c r="E40" s="3">
        <f>COUNTIF(Vertices[Degree],"&gt;= "&amp;D40)-COUNTIF(Vertices[Degree],"&gt;="&amp;D42)</f>
        <v>0</v>
      </c>
      <c r="F40" s="65"/>
      <c r="G40" s="66">
        <f>COUNTIF(Vertices[In-Degree],"&gt;= "&amp;F40)-COUNTIF(Vertices[In-Degree],"&gt;="&amp;F42)</f>
        <v>-1</v>
      </c>
      <c r="H40" s="65"/>
      <c r="I40" s="66">
        <f>COUNTIF(Vertices[Out-Degree],"&gt;= "&amp;H40)-COUNTIF(Vertices[Out-Degree],"&gt;="&amp;H42)</f>
        <v>-1</v>
      </c>
      <c r="J40" s="65"/>
      <c r="K40" s="66">
        <f>COUNTIF(Vertices[Betweenness Centrality],"&gt;= "&amp;J40)-COUNTIF(Vertices[Betweenness Centrality],"&gt;="&amp;J42)</f>
        <v>-1</v>
      </c>
      <c r="L40" s="65"/>
      <c r="M40" s="66">
        <f>COUNTIF(Vertices[Closeness Centrality],"&gt;= "&amp;L40)-COUNTIF(Vertices[Closeness Centrality],"&gt;="&amp;L42)</f>
        <v>-52</v>
      </c>
      <c r="N40" s="65"/>
      <c r="O40" s="66">
        <f>COUNTIF(Vertices[Eigenvector Centrality],"&gt;= "&amp;N40)-COUNTIF(Vertices[Eigenvector Centrality],"&gt;="&amp;N42)</f>
        <v>-1</v>
      </c>
      <c r="P40" s="65"/>
      <c r="Q40" s="66">
        <f>COUNTIF(Vertices[Eigenvector Centrality],"&gt;= "&amp;P40)-COUNTIF(Vertices[Eigenvector Centrality],"&gt;="&amp;P42)</f>
        <v>0</v>
      </c>
      <c r="R40" s="65"/>
      <c r="S40" s="67">
        <f>COUNTIF(Vertices[Clustering Coefficient],"&gt;= "&amp;R40)-COUNTIF(Vertices[Clustering Coefficient],"&gt;="&amp;R42)</f>
        <v>-1</v>
      </c>
      <c r="T40" s="65"/>
      <c r="U40" s="66">
        <f ca="1">COUNTIF(Vertices[Clustering Coefficient],"&gt;= "&amp;T40)-COUNTIF(Vertices[Clustering Coefficient],"&gt;="&amp;T42)</f>
        <v>0</v>
      </c>
    </row>
    <row r="41" spans="1:21" ht="15">
      <c r="A41" s="35" t="s">
        <v>1265</v>
      </c>
      <c r="B41" s="35"/>
      <c r="D41" s="33"/>
      <c r="E41" s="3">
        <f>COUNTIF(Vertices[Degree],"&gt;= "&amp;D41)-COUNTIF(Vertices[Degree],"&gt;="&amp;D42)</f>
        <v>0</v>
      </c>
      <c r="F41" s="65"/>
      <c r="G41" s="66">
        <f>COUNTIF(Vertices[In-Degree],"&gt;= "&amp;F41)-COUNTIF(Vertices[In-Degree],"&gt;="&amp;F42)</f>
        <v>-1</v>
      </c>
      <c r="H41" s="65"/>
      <c r="I41" s="66">
        <f>COUNTIF(Vertices[Out-Degree],"&gt;= "&amp;H41)-COUNTIF(Vertices[Out-Degree],"&gt;="&amp;H42)</f>
        <v>-1</v>
      </c>
      <c r="J41" s="65"/>
      <c r="K41" s="66">
        <f>COUNTIF(Vertices[Betweenness Centrality],"&gt;= "&amp;J41)-COUNTIF(Vertices[Betweenness Centrality],"&gt;="&amp;J42)</f>
        <v>-1</v>
      </c>
      <c r="L41" s="65"/>
      <c r="M41" s="66">
        <f>COUNTIF(Vertices[Closeness Centrality],"&gt;= "&amp;L41)-COUNTIF(Vertices[Closeness Centrality],"&gt;="&amp;L42)</f>
        <v>-52</v>
      </c>
      <c r="N41" s="65"/>
      <c r="O41" s="66">
        <f>COUNTIF(Vertices[Eigenvector Centrality],"&gt;= "&amp;N41)-COUNTIF(Vertices[Eigenvector Centrality],"&gt;="&amp;N42)</f>
        <v>-1</v>
      </c>
      <c r="P41" s="65"/>
      <c r="Q41" s="66">
        <f>COUNTIF(Vertices[Eigenvector Centrality],"&gt;= "&amp;P41)-COUNTIF(Vertices[Eigenvector Centrality],"&gt;="&amp;P42)</f>
        <v>0</v>
      </c>
      <c r="R41" s="65"/>
      <c r="S41" s="67">
        <f>COUNTIF(Vertices[Clustering Coefficient],"&gt;= "&amp;R41)-COUNTIF(Vertices[Clustering Coefficient],"&gt;="&amp;R42)</f>
        <v>-1</v>
      </c>
      <c r="T41" s="65"/>
      <c r="U41" s="66">
        <f ca="1">COUNTIF(Vertices[Clustering Coefficient],"&gt;= "&amp;T41)-COUNTIF(Vertices[Clustering Coefficient],"&gt;="&amp;T42)</f>
        <v>0</v>
      </c>
    </row>
    <row r="42" spans="1:21" ht="15">
      <c r="A42" s="35" t="s">
        <v>1266</v>
      </c>
      <c r="B42" s="35"/>
      <c r="D42" s="33">
        <f>D28+($D$50-$D$2)/BinDivisor</f>
        <v>0</v>
      </c>
      <c r="E42" s="3">
        <f>COUNTIF(Vertices[Degree],"&gt;= "&amp;D42)-COUNTIF(Vertices[Degree],"&gt;="&amp;D43)</f>
        <v>0</v>
      </c>
      <c r="F42" s="38">
        <f>F28+($F$50-$F$2)/BinDivisor</f>
        <v>17.25</v>
      </c>
      <c r="G42" s="39">
        <f>COUNTIF(Vertices[In-Degree],"&gt;= "&amp;F42)-COUNTIF(Vertices[In-Degree],"&gt;="&amp;F43)</f>
        <v>0</v>
      </c>
      <c r="H42" s="38">
        <f>H28+($H$50-$H$2)/BinDivisor</f>
        <v>16.25</v>
      </c>
      <c r="I42" s="39">
        <f>COUNTIF(Vertices[Out-Degree],"&gt;= "&amp;H42)-COUNTIF(Vertices[Out-Degree],"&gt;="&amp;H43)</f>
        <v>0</v>
      </c>
      <c r="J42" s="38">
        <f>J28+($J$50-$J$2)/BinDivisor</f>
        <v>20145.380825916658</v>
      </c>
      <c r="K42" s="39">
        <f>COUNTIF(Vertices[Betweenness Centrality],"&gt;= "&amp;J42)-COUNTIF(Vertices[Betweenness Centrality],"&gt;="&amp;J43)</f>
        <v>0</v>
      </c>
      <c r="L42" s="38">
        <f>L28+($L$50-$L$2)/BinDivisor</f>
        <v>0.0011977083333333327</v>
      </c>
      <c r="M42" s="39">
        <f>COUNTIF(Vertices[Closeness Centrality],"&gt;= "&amp;L42)-COUNTIF(Vertices[Closeness Centrality],"&gt;="&amp;L43)</f>
        <v>0</v>
      </c>
      <c r="N42" s="38">
        <f>N28+($N$50-$N$2)/BinDivisor</f>
        <v>0.049442791666666666</v>
      </c>
      <c r="O42" s="39">
        <f>COUNTIF(Vertices[Eigenvector Centrality],"&gt;= "&amp;N42)-COUNTIF(Vertices[Eigenvector Centrality],"&gt;="&amp;N43)</f>
        <v>0</v>
      </c>
      <c r="P42" s="38">
        <f>P28+($P$50-$P$2)/BinDivisor</f>
        <v>8.012953166666668</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4:21" ht="15">
      <c r="D43" s="33">
        <f aca="true" t="shared" si="10" ref="D43:D49">D42+($D$50-$D$2)/BinDivisor</f>
        <v>0</v>
      </c>
      <c r="E43" s="3">
        <f>COUNTIF(Vertices[Degree],"&gt;= "&amp;D43)-COUNTIF(Vertices[Degree],"&gt;="&amp;D44)</f>
        <v>0</v>
      </c>
      <c r="F43" s="40">
        <f aca="true" t="shared" si="11" ref="F43:F49">F42+($F$50-$F$2)/BinDivisor</f>
        <v>17.875</v>
      </c>
      <c r="G43" s="41">
        <f>COUNTIF(Vertices[In-Degree],"&gt;= "&amp;F43)-COUNTIF(Vertices[In-Degree],"&gt;="&amp;F44)</f>
        <v>0</v>
      </c>
      <c r="H43" s="40">
        <f aca="true" t="shared" si="12" ref="H43:H49">H42+($H$50-$H$2)/BinDivisor</f>
        <v>16.875</v>
      </c>
      <c r="I43" s="41">
        <f>COUNTIF(Vertices[Out-Degree],"&gt;= "&amp;H43)-COUNTIF(Vertices[Out-Degree],"&gt;="&amp;H44)</f>
        <v>0</v>
      </c>
      <c r="J43" s="40">
        <f aca="true" t="shared" si="13" ref="J43:J49">J42+($J$50-$J$2)/BinDivisor</f>
        <v>20920.20316537499</v>
      </c>
      <c r="K43" s="41">
        <f>COUNTIF(Vertices[Betweenness Centrality],"&gt;= "&amp;J43)-COUNTIF(Vertices[Betweenness Centrality],"&gt;="&amp;J44)</f>
        <v>0</v>
      </c>
      <c r="L43" s="40">
        <f aca="true" t="shared" si="14" ref="L43:L49">L42+($L$50-$L$2)/BinDivisor</f>
        <v>0.0012268124999999994</v>
      </c>
      <c r="M43" s="41">
        <f>COUNTIF(Vertices[Closeness Centrality],"&gt;= "&amp;L43)-COUNTIF(Vertices[Closeness Centrality],"&gt;="&amp;L44)</f>
        <v>0</v>
      </c>
      <c r="N43" s="40">
        <f aca="true" t="shared" si="15" ref="N43:N49">N42+($N$50-$N$2)/BinDivisor</f>
        <v>0.0513444375</v>
      </c>
      <c r="O43" s="41">
        <f>COUNTIF(Vertices[Eigenvector Centrality],"&gt;= "&amp;N43)-COUNTIF(Vertices[Eigenvector Centrality],"&gt;="&amp;N44)</f>
        <v>0</v>
      </c>
      <c r="P43" s="40">
        <f aca="true" t="shared" si="16" ref="P43:P49">P42+($P$50-$P$2)/BinDivisor</f>
        <v>8.30610375</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4:21" ht="15">
      <c r="D44" s="33">
        <f t="shared" si="10"/>
        <v>0</v>
      </c>
      <c r="E44" s="3">
        <f>COUNTIF(Vertices[Degree],"&gt;= "&amp;D44)-COUNTIF(Vertices[Degree],"&gt;="&amp;D45)</f>
        <v>0</v>
      </c>
      <c r="F44" s="38">
        <f t="shared" si="11"/>
        <v>18.5</v>
      </c>
      <c r="G44" s="39">
        <f>COUNTIF(Vertices[In-Degree],"&gt;= "&amp;F44)-COUNTIF(Vertices[In-Degree],"&gt;="&amp;F45)</f>
        <v>0</v>
      </c>
      <c r="H44" s="38">
        <f t="shared" si="12"/>
        <v>17.5</v>
      </c>
      <c r="I44" s="39">
        <f>COUNTIF(Vertices[Out-Degree],"&gt;= "&amp;H44)-COUNTIF(Vertices[Out-Degree],"&gt;="&amp;H45)</f>
        <v>0</v>
      </c>
      <c r="J44" s="38">
        <f t="shared" si="13"/>
        <v>21695.025504833324</v>
      </c>
      <c r="K44" s="39">
        <f>COUNTIF(Vertices[Betweenness Centrality],"&gt;= "&amp;J44)-COUNTIF(Vertices[Betweenness Centrality],"&gt;="&amp;J45)</f>
        <v>0</v>
      </c>
      <c r="L44" s="38">
        <f t="shared" si="14"/>
        <v>0.001255916666666666</v>
      </c>
      <c r="M44" s="39">
        <f>COUNTIF(Vertices[Closeness Centrality],"&gt;= "&amp;L44)-COUNTIF(Vertices[Closeness Centrality],"&gt;="&amp;L45)</f>
        <v>0</v>
      </c>
      <c r="N44" s="38">
        <f t="shared" si="15"/>
        <v>0.05324608333333333</v>
      </c>
      <c r="O44" s="39">
        <f>COUNTIF(Vertices[Eigenvector Centrality],"&gt;= "&amp;N44)-COUNTIF(Vertices[Eigenvector Centrality],"&gt;="&amp;N45)</f>
        <v>0</v>
      </c>
      <c r="P44" s="38">
        <f t="shared" si="16"/>
        <v>8.599254333333333</v>
      </c>
      <c r="Q44" s="39">
        <f>COUNTIF(Vertices[PageRank],"&gt;= "&amp;P44)-COUNTIF(Vertices[PageRank],"&gt;="&amp;P45)</f>
        <v>0</v>
      </c>
      <c r="R44" s="38">
        <f t="shared" si="17"/>
        <v>0.5833333333333333</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19.125</v>
      </c>
      <c r="G45" s="41">
        <f>COUNTIF(Vertices[In-Degree],"&gt;= "&amp;F45)-COUNTIF(Vertices[In-Degree],"&gt;="&amp;F46)</f>
        <v>0</v>
      </c>
      <c r="H45" s="40">
        <f t="shared" si="12"/>
        <v>18.125</v>
      </c>
      <c r="I45" s="41">
        <f>COUNTIF(Vertices[Out-Degree],"&gt;= "&amp;H45)-COUNTIF(Vertices[Out-Degree],"&gt;="&amp;H46)</f>
        <v>0</v>
      </c>
      <c r="J45" s="40">
        <f t="shared" si="13"/>
        <v>22469.847844291657</v>
      </c>
      <c r="K45" s="41">
        <f>COUNTIF(Vertices[Betweenness Centrality],"&gt;= "&amp;J45)-COUNTIF(Vertices[Betweenness Centrality],"&gt;="&amp;J46)</f>
        <v>0</v>
      </c>
      <c r="L45" s="40">
        <f t="shared" si="14"/>
        <v>0.0012850208333333327</v>
      </c>
      <c r="M45" s="41">
        <f>COUNTIF(Vertices[Closeness Centrality],"&gt;= "&amp;L45)-COUNTIF(Vertices[Closeness Centrality],"&gt;="&amp;L46)</f>
        <v>0</v>
      </c>
      <c r="N45" s="40">
        <f t="shared" si="15"/>
        <v>0.055147729166666666</v>
      </c>
      <c r="O45" s="41">
        <f>COUNTIF(Vertices[Eigenvector Centrality],"&gt;= "&amp;N45)-COUNTIF(Vertices[Eigenvector Centrality],"&gt;="&amp;N46)</f>
        <v>0</v>
      </c>
      <c r="P45" s="40">
        <f t="shared" si="16"/>
        <v>8.892404916666665</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19.75</v>
      </c>
      <c r="G46" s="39">
        <f>COUNTIF(Vertices[In-Degree],"&gt;= "&amp;F46)-COUNTIF(Vertices[In-Degree],"&gt;="&amp;F47)</f>
        <v>0</v>
      </c>
      <c r="H46" s="38">
        <f t="shared" si="12"/>
        <v>18.75</v>
      </c>
      <c r="I46" s="39">
        <f>COUNTIF(Vertices[Out-Degree],"&gt;= "&amp;H46)-COUNTIF(Vertices[Out-Degree],"&gt;="&amp;H47)</f>
        <v>0</v>
      </c>
      <c r="J46" s="38">
        <f t="shared" si="13"/>
        <v>23244.67018374999</v>
      </c>
      <c r="K46" s="39">
        <f>COUNTIF(Vertices[Betweenness Centrality],"&gt;= "&amp;J46)-COUNTIF(Vertices[Betweenness Centrality],"&gt;="&amp;J47)</f>
        <v>0</v>
      </c>
      <c r="L46" s="38">
        <f t="shared" si="14"/>
        <v>0.0013141249999999993</v>
      </c>
      <c r="M46" s="39">
        <f>COUNTIF(Vertices[Closeness Centrality],"&gt;= "&amp;L46)-COUNTIF(Vertices[Closeness Centrality],"&gt;="&amp;L47)</f>
        <v>6</v>
      </c>
      <c r="N46" s="38">
        <f t="shared" si="15"/>
        <v>0.057049375</v>
      </c>
      <c r="O46" s="39">
        <f>COUNTIF(Vertices[Eigenvector Centrality],"&gt;= "&amp;N46)-COUNTIF(Vertices[Eigenvector Centrality],"&gt;="&amp;N47)</f>
        <v>0</v>
      </c>
      <c r="P46" s="38">
        <f t="shared" si="16"/>
        <v>9.185555499999998</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20.375</v>
      </c>
      <c r="G47" s="41">
        <f>COUNTIF(Vertices[In-Degree],"&gt;= "&amp;F47)-COUNTIF(Vertices[In-Degree],"&gt;="&amp;F48)</f>
        <v>0</v>
      </c>
      <c r="H47" s="40">
        <f t="shared" si="12"/>
        <v>19.375</v>
      </c>
      <c r="I47" s="41">
        <f>COUNTIF(Vertices[Out-Degree],"&gt;= "&amp;H47)-COUNTIF(Vertices[Out-Degree],"&gt;="&amp;H48)</f>
        <v>0</v>
      </c>
      <c r="J47" s="40">
        <f t="shared" si="13"/>
        <v>24019.492523208322</v>
      </c>
      <c r="K47" s="41">
        <f>COUNTIF(Vertices[Betweenness Centrality],"&gt;= "&amp;J47)-COUNTIF(Vertices[Betweenness Centrality],"&gt;="&amp;J48)</f>
        <v>0</v>
      </c>
      <c r="L47" s="40">
        <f t="shared" si="14"/>
        <v>0.001343229166666666</v>
      </c>
      <c r="M47" s="41">
        <f>COUNTIF(Vertices[Closeness Centrality],"&gt;= "&amp;L47)-COUNTIF(Vertices[Closeness Centrality],"&gt;="&amp;L48)</f>
        <v>35</v>
      </c>
      <c r="N47" s="40">
        <f t="shared" si="15"/>
        <v>0.05895102083333333</v>
      </c>
      <c r="O47" s="41">
        <f>COUNTIF(Vertices[Eigenvector Centrality],"&gt;= "&amp;N47)-COUNTIF(Vertices[Eigenvector Centrality],"&gt;="&amp;N48)</f>
        <v>0</v>
      </c>
      <c r="P47" s="40">
        <f t="shared" si="16"/>
        <v>9.47870608333333</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21</v>
      </c>
      <c r="G48" s="39">
        <f>COUNTIF(Vertices[In-Degree],"&gt;= "&amp;F48)-COUNTIF(Vertices[In-Degree],"&gt;="&amp;F49)</f>
        <v>0</v>
      </c>
      <c r="H48" s="38">
        <f t="shared" si="12"/>
        <v>20</v>
      </c>
      <c r="I48" s="39">
        <f>COUNTIF(Vertices[Out-Degree],"&gt;= "&amp;H48)-COUNTIF(Vertices[Out-Degree],"&gt;="&amp;H49)</f>
        <v>0</v>
      </c>
      <c r="J48" s="38">
        <f t="shared" si="13"/>
        <v>24794.314862666655</v>
      </c>
      <c r="K48" s="39">
        <f>COUNTIF(Vertices[Betweenness Centrality],"&gt;= "&amp;J48)-COUNTIF(Vertices[Betweenness Centrality],"&gt;="&amp;J49)</f>
        <v>0</v>
      </c>
      <c r="L48" s="38">
        <f t="shared" si="14"/>
        <v>0.0013723333333333326</v>
      </c>
      <c r="M48" s="39">
        <f>COUNTIF(Vertices[Closeness Centrality],"&gt;= "&amp;L48)-COUNTIF(Vertices[Closeness Centrality],"&gt;="&amp;L49)</f>
        <v>5</v>
      </c>
      <c r="N48" s="38">
        <f t="shared" si="15"/>
        <v>0.060852666666666666</v>
      </c>
      <c r="O48" s="39">
        <f>COUNTIF(Vertices[Eigenvector Centrality],"&gt;= "&amp;N48)-COUNTIF(Vertices[Eigenvector Centrality],"&gt;="&amp;N49)</f>
        <v>0</v>
      </c>
      <c r="P48" s="38">
        <f t="shared" si="16"/>
        <v>9.771856666666663</v>
      </c>
      <c r="Q48" s="39">
        <f>COUNTIF(Vertices[PageRank],"&gt;= "&amp;P48)-COUNTIF(Vertices[PageRank],"&gt;="&amp;P49)</f>
        <v>0</v>
      </c>
      <c r="R48" s="38">
        <f t="shared" si="17"/>
        <v>0.6666666666666667</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"&amp;D49)-COUNTIF(Vertices[Degree],"&gt;="&amp;#REF!)</f>
        <v>0</v>
      </c>
      <c r="F49" s="40">
        <f t="shared" si="11"/>
        <v>21.625</v>
      </c>
      <c r="G49" s="41">
        <f>COUNTIF(Vertices[In-Degree],"&gt;= "&amp;F49)-COUNTIF(Vertices[In-Degree],"&gt;="&amp;#REF!)</f>
        <v>1</v>
      </c>
      <c r="H49" s="40">
        <f t="shared" si="12"/>
        <v>20.625</v>
      </c>
      <c r="I49" s="41">
        <f>COUNTIF(Vertices[Out-Degree],"&gt;= "&amp;H49)-COUNTIF(Vertices[Out-Degree],"&gt;="&amp;#REF!)</f>
        <v>1</v>
      </c>
      <c r="J49" s="40">
        <f t="shared" si="13"/>
        <v>25569.137202124988</v>
      </c>
      <c r="K49" s="41">
        <f>COUNTIF(Vertices[Betweenness Centrality],"&gt;= "&amp;J49)-COUNTIF(Vertices[Betweenness Centrality],"&gt;="&amp;#REF!)</f>
        <v>1</v>
      </c>
      <c r="L49" s="40">
        <f t="shared" si="14"/>
        <v>0.0014014374999999993</v>
      </c>
      <c r="M49" s="41">
        <f>COUNTIF(Vertices[Closeness Centrality],"&gt;= "&amp;L49)-COUNTIF(Vertices[Closeness Centrality],"&gt;="&amp;#REF!)</f>
        <v>6</v>
      </c>
      <c r="N49" s="40">
        <f t="shared" si="15"/>
        <v>0.06275431249999999</v>
      </c>
      <c r="O49" s="41">
        <f>COUNTIF(Vertices[Eigenvector Centrality],"&gt;= "&amp;N49)-COUNTIF(Vertices[Eigenvector Centrality],"&gt;="&amp;#REF!)</f>
        <v>1</v>
      </c>
      <c r="P49" s="40">
        <f t="shared" si="16"/>
        <v>10.065007249999995</v>
      </c>
      <c r="Q49" s="41">
        <f>COUNTIF(Vertices[PageRank],"&gt;= "&amp;P49)-COUNTIF(Vertices[PageRank],"&gt;="&amp;#REF!)</f>
        <v>1</v>
      </c>
      <c r="R49" s="40">
        <f t="shared" si="17"/>
        <v>0.6875000000000001</v>
      </c>
      <c r="S49" s="45">
        <f>COUNTIF(Vertices[Clustering Coefficient],"&gt;= "&amp;R49)-COUNTIF(Vertices[Clustering Coefficient],"&gt;="&amp;#REF!)</f>
        <v>1</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31</v>
      </c>
      <c r="G50" s="43">
        <f>COUNTIF(Vertices[In-Degree],"&gt;= "&amp;F50)-COUNTIF(Vertices[In-Degree],"&gt;="&amp;#REF!)</f>
        <v>1</v>
      </c>
      <c r="H50" s="42">
        <f>MAX(Vertices[Out-Degree])</f>
        <v>30</v>
      </c>
      <c r="I50" s="43">
        <f>COUNTIF(Vertices[Out-Degree],"&gt;= "&amp;H50)-COUNTIF(Vertices[Out-Degree],"&gt;="&amp;#REF!)</f>
        <v>1</v>
      </c>
      <c r="J50" s="42">
        <f>MAX(Vertices[Betweenness Centrality])</f>
        <v>37191.472294</v>
      </c>
      <c r="K50" s="43">
        <f>COUNTIF(Vertices[Betweenness Centrality],"&gt;= "&amp;J50)-COUNTIF(Vertices[Betweenness Centrality],"&gt;="&amp;#REF!)</f>
        <v>1</v>
      </c>
      <c r="L50" s="42">
        <f>MAX(Vertices[Closeness Centrality])</f>
        <v>0.001838</v>
      </c>
      <c r="M50" s="43">
        <f>COUNTIF(Vertices[Closeness Centrality],"&gt;= "&amp;L50)-COUNTIF(Vertices[Closeness Centrality],"&gt;="&amp;#REF!)</f>
        <v>1</v>
      </c>
      <c r="N50" s="42">
        <f>MAX(Vertices[Eigenvector Centrality])</f>
        <v>0.091279</v>
      </c>
      <c r="O50" s="43">
        <f>COUNTIF(Vertices[Eigenvector Centrality],"&gt;= "&amp;N50)-COUNTIF(Vertices[Eigenvector Centrality],"&gt;="&amp;#REF!)</f>
        <v>1</v>
      </c>
      <c r="P50" s="42">
        <f>MAX(Vertices[PageRank])</f>
        <v>14.462266</v>
      </c>
      <c r="Q50" s="43">
        <f>COUNTIF(Vertices[PageRank],"&gt;= "&amp;P50)-COUNTIF(Vertices[PageRank],"&gt;="&amp;#REF!)</f>
        <v>1</v>
      </c>
      <c r="R50" s="42">
        <f>MAX(Vertices[Clustering Coefficient])</f>
        <v>1</v>
      </c>
      <c r="S50" s="46">
        <f>COUNTIF(Vertices[Clustering Coefficient],"&gt;= "&amp;R50)-COUNTIF(Vertices[Clustering Coefficient],"&gt;="&amp;#REF!)</f>
        <v>1</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1</v>
      </c>
    </row>
    <row r="81" spans="1:2" ht="15">
      <c r="A81" s="34" t="s">
        <v>89</v>
      </c>
      <c r="B81" s="47">
        <f>IF(COUNT(Vertices[In-Degree])&gt;0,F50,NoMetricMessage)</f>
        <v>31</v>
      </c>
    </row>
    <row r="82" spans="1:2" ht="15">
      <c r="A82" s="34" t="s">
        <v>90</v>
      </c>
      <c r="B82" s="48">
        <f>_xlfn.IFERROR(AVERAGE(Vertices[In-Degree]),NoMetricMessage)</f>
        <v>1.7598039215686274</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30</v>
      </c>
    </row>
    <row r="96" spans="1:2" ht="15">
      <c r="A96" s="34" t="s">
        <v>96</v>
      </c>
      <c r="B96" s="48">
        <f>_xlfn.IFERROR(AVERAGE(Vertices[Out-Degree]),NoMetricMessage)</f>
        <v>1.7598039215686274</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37191.472294</v>
      </c>
    </row>
    <row r="110" spans="1:2" ht="15">
      <c r="A110" s="34" t="s">
        <v>102</v>
      </c>
      <c r="B110" s="48">
        <f>_xlfn.IFERROR(AVERAGE(Vertices[Betweenness Centrality]),NoMetricMessage)</f>
        <v>829.519607848039</v>
      </c>
    </row>
    <row r="111" spans="1:2" ht="15">
      <c r="A111" s="34" t="s">
        <v>103</v>
      </c>
      <c r="B111" s="48">
        <f>_xlfn.IFERROR(MEDIAN(Vertices[Betweenness Centrality]),NoMetricMessage)</f>
        <v>308.863095</v>
      </c>
    </row>
    <row r="122" spans="1:2" ht="15">
      <c r="A122" s="34" t="s">
        <v>106</v>
      </c>
      <c r="B122" s="48">
        <f>IF(COUNT(Vertices[Closeness Centrality])&gt;0,L2,NoMetricMessage)</f>
        <v>0.000441</v>
      </c>
    </row>
    <row r="123" spans="1:2" ht="15">
      <c r="A123" s="34" t="s">
        <v>107</v>
      </c>
      <c r="B123" s="48">
        <f>IF(COUNT(Vertices[Closeness Centrality])&gt;0,L50,NoMetricMessage)</f>
        <v>0.001838</v>
      </c>
    </row>
    <row r="124" spans="1:2" ht="15">
      <c r="A124" s="34" t="s">
        <v>108</v>
      </c>
      <c r="B124" s="48">
        <f>_xlfn.IFERROR(AVERAGE(Vertices[Closeness Centrality]),NoMetricMessage)</f>
        <v>0.001036990196078431</v>
      </c>
    </row>
    <row r="125" spans="1:2" ht="15">
      <c r="A125" s="34" t="s">
        <v>109</v>
      </c>
      <c r="B125" s="48">
        <f>_xlfn.IFERROR(MEDIAN(Vertices[Closeness Centrality]),NoMetricMessage)</f>
        <v>0.0010745</v>
      </c>
    </row>
    <row r="136" spans="1:2" ht="15">
      <c r="A136" s="34" t="s">
        <v>112</v>
      </c>
      <c r="B136" s="48">
        <f>IF(COUNT(Vertices[Eigenvector Centrality])&gt;0,N2,NoMetricMessage)</f>
        <v>0</v>
      </c>
    </row>
    <row r="137" spans="1:2" ht="15">
      <c r="A137" s="34" t="s">
        <v>113</v>
      </c>
      <c r="B137" s="48">
        <f>IF(COUNT(Vertices[Eigenvector Centrality])&gt;0,N50,NoMetricMessage)</f>
        <v>0.091279</v>
      </c>
    </row>
    <row r="138" spans="1:2" ht="15">
      <c r="A138" s="34" t="s">
        <v>114</v>
      </c>
      <c r="B138" s="48">
        <f>_xlfn.IFERROR(AVERAGE(Vertices[Eigenvector Centrality]),NoMetricMessage)</f>
        <v>0.004901965686274514</v>
      </c>
    </row>
    <row r="139" spans="1:2" ht="15">
      <c r="A139" s="34" t="s">
        <v>115</v>
      </c>
      <c r="B139" s="48">
        <f>_xlfn.IFERROR(MEDIAN(Vertices[Eigenvector Centrality]),NoMetricMessage)</f>
        <v>0.001888</v>
      </c>
    </row>
    <row r="150" spans="1:2" ht="15">
      <c r="A150" s="34" t="s">
        <v>140</v>
      </c>
      <c r="B150" s="48">
        <f>IF(COUNT(Vertices[PageRank])&gt;0,P2,NoMetricMessage)</f>
        <v>0.391038</v>
      </c>
    </row>
    <row r="151" spans="1:2" ht="15">
      <c r="A151" s="34" t="s">
        <v>141</v>
      </c>
      <c r="B151" s="48">
        <f>IF(COUNT(Vertices[PageRank])&gt;0,P50,NoMetricMessage)</f>
        <v>14.462266</v>
      </c>
    </row>
    <row r="152" spans="1:2" ht="15">
      <c r="A152" s="34" t="s">
        <v>142</v>
      </c>
      <c r="B152" s="48">
        <f>_xlfn.IFERROR(AVERAGE(Vertices[PageRank]),NoMetricMessage)</f>
        <v>0.999997333333333</v>
      </c>
    </row>
    <row r="153" spans="1:2" ht="15">
      <c r="A153" s="34" t="s">
        <v>143</v>
      </c>
      <c r="B153" s="48">
        <f>_xlfn.IFERROR(MEDIAN(Vertices[PageRank]),NoMetricMessage)</f>
        <v>0.8209195</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0.06395926305528382</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307</v>
      </c>
    </row>
    <row r="6" spans="1:18" ht="409.5">
      <c r="A6">
        <v>0</v>
      </c>
      <c r="B6" s="1" t="s">
        <v>136</v>
      </c>
      <c r="C6">
        <v>1</v>
      </c>
      <c r="D6" t="s">
        <v>59</v>
      </c>
      <c r="E6" t="s">
        <v>59</v>
      </c>
      <c r="F6">
        <v>0</v>
      </c>
      <c r="H6" t="s">
        <v>71</v>
      </c>
      <c r="J6" t="s">
        <v>173</v>
      </c>
      <c r="K6" s="13" t="s">
        <v>308</v>
      </c>
      <c r="R6" t="s">
        <v>129</v>
      </c>
    </row>
    <row r="7" spans="1:11" ht="409.5">
      <c r="A7">
        <v>2</v>
      </c>
      <c r="B7">
        <v>1</v>
      </c>
      <c r="C7">
        <v>0</v>
      </c>
      <c r="D7" t="s">
        <v>60</v>
      </c>
      <c r="E7" t="s">
        <v>60</v>
      </c>
      <c r="F7">
        <v>2</v>
      </c>
      <c r="H7" t="s">
        <v>72</v>
      </c>
      <c r="J7" t="s">
        <v>174</v>
      </c>
      <c r="K7" s="113" t="s">
        <v>1709</v>
      </c>
    </row>
    <row r="8" spans="1:11" ht="409.5">
      <c r="A8"/>
      <c r="B8">
        <v>2</v>
      </c>
      <c r="C8">
        <v>2</v>
      </c>
      <c r="D8" t="s">
        <v>61</v>
      </c>
      <c r="E8" t="s">
        <v>61</v>
      </c>
      <c r="H8" t="s">
        <v>73</v>
      </c>
      <c r="J8" t="s">
        <v>175</v>
      </c>
      <c r="K8" s="13" t="s">
        <v>1710</v>
      </c>
    </row>
    <row r="9" spans="1:11" ht="409.5">
      <c r="A9"/>
      <c r="B9">
        <v>3</v>
      </c>
      <c r="C9">
        <v>4</v>
      </c>
      <c r="D9" t="s">
        <v>62</v>
      </c>
      <c r="E9" t="s">
        <v>62</v>
      </c>
      <c r="H9" t="s">
        <v>74</v>
      </c>
      <c r="J9" t="s">
        <v>176</v>
      </c>
      <c r="K9" s="13" t="s">
        <v>1711</v>
      </c>
    </row>
    <row r="10" spans="1:11" ht="15">
      <c r="A10"/>
      <c r="B10">
        <v>4</v>
      </c>
      <c r="D10" t="s">
        <v>63</v>
      </c>
      <c r="E10" t="s">
        <v>63</v>
      </c>
      <c r="H10" t="s">
        <v>75</v>
      </c>
      <c r="J10" t="s">
        <v>177</v>
      </c>
      <c r="K10" t="s">
        <v>1712</v>
      </c>
    </row>
    <row r="11" spans="1:11" ht="15">
      <c r="A11"/>
      <c r="B11">
        <v>5</v>
      </c>
      <c r="D11" t="s">
        <v>46</v>
      </c>
      <c r="E11">
        <v>1</v>
      </c>
      <c r="H11" t="s">
        <v>76</v>
      </c>
      <c r="J11" t="s">
        <v>178</v>
      </c>
      <c r="K11" t="s">
        <v>1713</v>
      </c>
    </row>
    <row r="12" spans="1:11" ht="15">
      <c r="A12"/>
      <c r="B12"/>
      <c r="D12" t="s">
        <v>64</v>
      </c>
      <c r="E12">
        <v>2</v>
      </c>
      <c r="H12">
        <v>0</v>
      </c>
      <c r="J12" t="s">
        <v>179</v>
      </c>
      <c r="K12" t="s">
        <v>1714</v>
      </c>
    </row>
    <row r="13" spans="1:11" ht="15">
      <c r="A13"/>
      <c r="B13"/>
      <c r="D13">
        <v>1</v>
      </c>
      <c r="E13">
        <v>3</v>
      </c>
      <c r="H13">
        <v>1</v>
      </c>
      <c r="J13" t="s">
        <v>180</v>
      </c>
      <c r="K13" t="s">
        <v>1715</v>
      </c>
    </row>
    <row r="14" spans="4:11" ht="15">
      <c r="D14">
        <v>2</v>
      </c>
      <c r="E14">
        <v>4</v>
      </c>
      <c r="H14">
        <v>2</v>
      </c>
      <c r="J14" t="s">
        <v>181</v>
      </c>
      <c r="K14" t="s">
        <v>1716</v>
      </c>
    </row>
    <row r="15" spans="4:11" ht="15">
      <c r="D15">
        <v>3</v>
      </c>
      <c r="E15">
        <v>5</v>
      </c>
      <c r="H15">
        <v>3</v>
      </c>
      <c r="J15" t="s">
        <v>182</v>
      </c>
      <c r="K15" t="s">
        <v>1717</v>
      </c>
    </row>
    <row r="16" spans="4:11" ht="15">
      <c r="D16">
        <v>4</v>
      </c>
      <c r="E16">
        <v>6</v>
      </c>
      <c r="H16">
        <v>4</v>
      </c>
      <c r="J16" t="s">
        <v>183</v>
      </c>
      <c r="K16" t="s">
        <v>1718</v>
      </c>
    </row>
    <row r="17" spans="4:11" ht="409.5">
      <c r="D17">
        <v>5</v>
      </c>
      <c r="E17">
        <v>7</v>
      </c>
      <c r="H17">
        <v>5</v>
      </c>
      <c r="J17" t="s">
        <v>184</v>
      </c>
      <c r="K17" s="13" t="s">
        <v>1719</v>
      </c>
    </row>
    <row r="18" spans="4:11" ht="409.5">
      <c r="D18">
        <v>6</v>
      </c>
      <c r="E18">
        <v>8</v>
      </c>
      <c r="H18">
        <v>6</v>
      </c>
      <c r="J18" t="s">
        <v>185</v>
      </c>
      <c r="K18" s="13" t="s">
        <v>1720</v>
      </c>
    </row>
    <row r="19" spans="4:11" ht="409.5">
      <c r="D19">
        <v>7</v>
      </c>
      <c r="E19">
        <v>9</v>
      </c>
      <c r="H19">
        <v>7</v>
      </c>
      <c r="J19" t="s">
        <v>186</v>
      </c>
      <c r="K19" s="13" t="s">
        <v>1754</v>
      </c>
    </row>
    <row r="20" spans="4:11" ht="15">
      <c r="D20">
        <v>8</v>
      </c>
      <c r="H20">
        <v>8</v>
      </c>
      <c r="J20" t="s">
        <v>187</v>
      </c>
      <c r="K20" t="s">
        <v>188</v>
      </c>
    </row>
    <row r="21" spans="4:11" ht="15">
      <c r="D21">
        <v>9</v>
      </c>
      <c r="H21">
        <v>9</v>
      </c>
      <c r="J21" t="s">
        <v>189</v>
      </c>
      <c r="K21" t="s">
        <v>190</v>
      </c>
    </row>
    <row r="22" spans="4:11" ht="15">
      <c r="D22">
        <v>10</v>
      </c>
      <c r="J22" t="s">
        <v>191</v>
      </c>
      <c r="K22" t="s">
        <v>192</v>
      </c>
    </row>
    <row r="23" spans="4:11" ht="15">
      <c r="D23">
        <v>11</v>
      </c>
      <c r="J23" t="s">
        <v>193</v>
      </c>
      <c r="K23" t="s">
        <v>194</v>
      </c>
    </row>
    <row r="24" spans="10:11" ht="15">
      <c r="J24" t="s">
        <v>195</v>
      </c>
      <c r="K24" t="s">
        <v>196</v>
      </c>
    </row>
    <row r="25" spans="10:11" ht="15">
      <c r="J25" t="s">
        <v>197</v>
      </c>
      <c r="K25" t="s">
        <v>198</v>
      </c>
    </row>
    <row r="26" spans="10:11" ht="15">
      <c r="J26" t="s">
        <v>199</v>
      </c>
      <c r="K26" t="s">
        <v>200</v>
      </c>
    </row>
    <row r="27" spans="10:11" ht="15">
      <c r="J27" t="s">
        <v>201</v>
      </c>
      <c r="K27" t="s">
        <v>202</v>
      </c>
    </row>
    <row r="28" spans="10:11" ht="15">
      <c r="J28" t="s">
        <v>203</v>
      </c>
      <c r="K28" t="s">
        <v>204</v>
      </c>
    </row>
    <row r="29" spans="10:11" ht="15">
      <c r="J29" t="s">
        <v>205</v>
      </c>
      <c r="K29" t="s">
        <v>206</v>
      </c>
    </row>
    <row r="30" spans="10:11" ht="15">
      <c r="J30" t="s">
        <v>207</v>
      </c>
      <c r="K30" t="s">
        <v>208</v>
      </c>
    </row>
    <row r="31" spans="10:11" ht="15">
      <c r="J31" t="s">
        <v>209</v>
      </c>
      <c r="K31" t="s">
        <v>210</v>
      </c>
    </row>
    <row r="32" spans="10:11" ht="15">
      <c r="J32" t="s">
        <v>211</v>
      </c>
      <c r="K32" t="s">
        <v>212</v>
      </c>
    </row>
    <row r="33" spans="10:11" ht="15">
      <c r="J33" t="s">
        <v>213</v>
      </c>
      <c r="K33" t="s">
        <v>214</v>
      </c>
    </row>
    <row r="34" spans="10:11" ht="15">
      <c r="J34" t="s">
        <v>215</v>
      </c>
      <c r="K34" t="s">
        <v>216</v>
      </c>
    </row>
    <row r="35" spans="10:11" ht="15">
      <c r="J35" t="s">
        <v>217</v>
      </c>
      <c r="K35" t="s">
        <v>218</v>
      </c>
    </row>
    <row r="36" spans="10:11" ht="15">
      <c r="J36" t="s">
        <v>219</v>
      </c>
      <c r="K36" t="s">
        <v>220</v>
      </c>
    </row>
    <row r="37" spans="10:11" ht="15">
      <c r="J37" t="s">
        <v>221</v>
      </c>
      <c r="K37" t="s">
        <v>222</v>
      </c>
    </row>
    <row r="38" spans="10:11" ht="15">
      <c r="J38" t="s">
        <v>223</v>
      </c>
      <c r="K38" t="s">
        <v>224</v>
      </c>
    </row>
    <row r="39" spans="10:11" ht="15">
      <c r="J39" t="s">
        <v>225</v>
      </c>
      <c r="K39" t="s">
        <v>226</v>
      </c>
    </row>
    <row r="40" spans="10:11" ht="15">
      <c r="J40" t="s">
        <v>227</v>
      </c>
      <c r="K40" t="s">
        <v>228</v>
      </c>
    </row>
    <row r="41" spans="10:11" ht="15">
      <c r="J41" t="s">
        <v>229</v>
      </c>
      <c r="K41" t="s">
        <v>230</v>
      </c>
    </row>
    <row r="42" spans="10:11" ht="15">
      <c r="J42" t="s">
        <v>231</v>
      </c>
      <c r="K42" t="s">
        <v>232</v>
      </c>
    </row>
    <row r="43" spans="10:11" ht="15">
      <c r="J43" t="s">
        <v>233</v>
      </c>
      <c r="K43" t="s">
        <v>234</v>
      </c>
    </row>
    <row r="44" spans="10:11" ht="15">
      <c r="J44" t="s">
        <v>235</v>
      </c>
      <c r="K44" t="s">
        <v>236</v>
      </c>
    </row>
    <row r="45" spans="10:11" ht="15">
      <c r="J45" t="s">
        <v>237</v>
      </c>
      <c r="K45" t="s">
        <v>238</v>
      </c>
    </row>
    <row r="46" spans="10:11" ht="15">
      <c r="J46" t="s">
        <v>239</v>
      </c>
      <c r="K46" t="s">
        <v>240</v>
      </c>
    </row>
    <row r="47" spans="10:11" ht="15">
      <c r="J47" t="s">
        <v>241</v>
      </c>
      <c r="K47" t="s">
        <v>242</v>
      </c>
    </row>
    <row r="48" spans="10:11" ht="15">
      <c r="J48" t="s">
        <v>243</v>
      </c>
      <c r="K48" t="s">
        <v>244</v>
      </c>
    </row>
    <row r="49" spans="10:11" ht="15">
      <c r="J49" t="s">
        <v>245</v>
      </c>
      <c r="K49" t="s">
        <v>246</v>
      </c>
    </row>
    <row r="50" spans="10:11" ht="15">
      <c r="J50" t="s">
        <v>247</v>
      </c>
      <c r="K50" t="s">
        <v>248</v>
      </c>
    </row>
    <row r="51" spans="10:11" ht="15">
      <c r="J51" t="s">
        <v>249</v>
      </c>
      <c r="K51" t="s">
        <v>250</v>
      </c>
    </row>
    <row r="52" spans="10:11" ht="15">
      <c r="J52" t="s">
        <v>251</v>
      </c>
      <c r="K52" t="s">
        <v>252</v>
      </c>
    </row>
    <row r="53" spans="10:11" ht="15">
      <c r="J53" t="s">
        <v>253</v>
      </c>
      <c r="K53" t="s">
        <v>254</v>
      </c>
    </row>
    <row r="54" spans="10:11" ht="15">
      <c r="J54" t="s">
        <v>255</v>
      </c>
      <c r="K54" t="s">
        <v>256</v>
      </c>
    </row>
    <row r="55" spans="10:11" ht="15">
      <c r="J55" t="s">
        <v>257</v>
      </c>
      <c r="K55" t="s">
        <v>258</v>
      </c>
    </row>
    <row r="56" spans="10:11" ht="15">
      <c r="J56" t="s">
        <v>259</v>
      </c>
      <c r="K56" t="s">
        <v>260</v>
      </c>
    </row>
    <row r="57" spans="10:11" ht="15">
      <c r="J57" t="s">
        <v>261</v>
      </c>
      <c r="K57" t="s">
        <v>262</v>
      </c>
    </row>
    <row r="58" spans="10:11" ht="15">
      <c r="J58" t="s">
        <v>263</v>
      </c>
      <c r="K58" t="s">
        <v>264</v>
      </c>
    </row>
    <row r="59" spans="10:11" ht="15">
      <c r="J59" t="s">
        <v>265</v>
      </c>
      <c r="K59" t="s">
        <v>266</v>
      </c>
    </row>
    <row r="60" spans="10:11" ht="15">
      <c r="J60" t="s">
        <v>267</v>
      </c>
      <c r="K60" t="s">
        <v>268</v>
      </c>
    </row>
    <row r="61" spans="10:11" ht="15">
      <c r="J61" t="s">
        <v>269</v>
      </c>
      <c r="K61" t="s">
        <v>270</v>
      </c>
    </row>
    <row r="62" spans="10:11" ht="15">
      <c r="J62" t="s">
        <v>271</v>
      </c>
      <c r="K62" t="s">
        <v>272</v>
      </c>
    </row>
    <row r="63" spans="10:11" ht="15">
      <c r="J63" t="s">
        <v>273</v>
      </c>
      <c r="K63" t="s">
        <v>274</v>
      </c>
    </row>
    <row r="64" spans="10:11" ht="15">
      <c r="J64" t="s">
        <v>275</v>
      </c>
      <c r="K64" t="s">
        <v>276</v>
      </c>
    </row>
    <row r="65" spans="10:11" ht="15">
      <c r="J65" t="s">
        <v>277</v>
      </c>
      <c r="K65" t="s">
        <v>278</v>
      </c>
    </row>
    <row r="66" spans="10:11" ht="15">
      <c r="J66" t="s">
        <v>279</v>
      </c>
      <c r="K66" t="s">
        <v>280</v>
      </c>
    </row>
    <row r="67" spans="10:11" ht="15">
      <c r="J67" t="s">
        <v>281</v>
      </c>
      <c r="K67" t="s">
        <v>282</v>
      </c>
    </row>
    <row r="68" spans="10:11" ht="15">
      <c r="J68" t="s">
        <v>283</v>
      </c>
      <c r="K68" t="s">
        <v>284</v>
      </c>
    </row>
    <row r="69" spans="10:11" ht="15">
      <c r="J69" t="s">
        <v>285</v>
      </c>
      <c r="K69" t="s">
        <v>286</v>
      </c>
    </row>
    <row r="70" spans="10:11" ht="15">
      <c r="J70" t="s">
        <v>287</v>
      </c>
      <c r="K70" t="s">
        <v>288</v>
      </c>
    </row>
    <row r="71" spans="10:11" ht="15">
      <c r="J71" t="s">
        <v>289</v>
      </c>
      <c r="K71" t="s">
        <v>290</v>
      </c>
    </row>
    <row r="72" spans="10:11" ht="15">
      <c r="J72" t="s">
        <v>291</v>
      </c>
      <c r="K72" t="s">
        <v>292</v>
      </c>
    </row>
    <row r="73" spans="10:11" ht="15">
      <c r="J73" t="s">
        <v>293</v>
      </c>
      <c r="K73" t="s">
        <v>294</v>
      </c>
    </row>
    <row r="74" spans="10:11" ht="15">
      <c r="J74" t="s">
        <v>295</v>
      </c>
      <c r="K74" t="s">
        <v>296</v>
      </c>
    </row>
    <row r="75" spans="10:11" ht="409.5">
      <c r="J75" t="s">
        <v>297</v>
      </c>
      <c r="K75" s="13" t="s">
        <v>298</v>
      </c>
    </row>
    <row r="76" spans="10:11" ht="409.5">
      <c r="J76" t="s">
        <v>299</v>
      </c>
      <c r="K76" s="13" t="s">
        <v>300</v>
      </c>
    </row>
    <row r="77" spans="10:11" ht="409.5">
      <c r="J77" t="s">
        <v>301</v>
      </c>
      <c r="K77" s="13" t="s">
        <v>302</v>
      </c>
    </row>
    <row r="78" spans="10:11" ht="409.5">
      <c r="J78" t="s">
        <v>303</v>
      </c>
      <c r="K78" s="13" t="s">
        <v>304</v>
      </c>
    </row>
    <row r="79" spans="10:11" ht="15">
      <c r="J79" t="s">
        <v>305</v>
      </c>
      <c r="K79">
        <v>15</v>
      </c>
    </row>
    <row r="80" spans="10:11" ht="15">
      <c r="J80" t="s">
        <v>309</v>
      </c>
      <c r="K80" t="s">
        <v>1702</v>
      </c>
    </row>
    <row r="81" spans="10:11" ht="409.5">
      <c r="J81" t="s">
        <v>310</v>
      </c>
      <c r="K81" s="13" t="s">
        <v>1703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A3A32-1F3C-45C5-AFFA-8537F111EB95}">
  <dimension ref="A1:G76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834</v>
      </c>
      <c r="B1" s="13" t="s">
        <v>1219</v>
      </c>
      <c r="C1" s="13" t="s">
        <v>1223</v>
      </c>
      <c r="D1" s="13" t="s">
        <v>144</v>
      </c>
      <c r="E1" s="13" t="s">
        <v>1225</v>
      </c>
      <c r="F1" s="13" t="s">
        <v>1226</v>
      </c>
      <c r="G1" s="13" t="s">
        <v>1227</v>
      </c>
    </row>
    <row r="2" spans="1:7" ht="15">
      <c r="A2" s="82" t="s">
        <v>835</v>
      </c>
      <c r="B2" s="82" t="s">
        <v>1220</v>
      </c>
      <c r="C2" s="105"/>
      <c r="D2" s="82"/>
      <c r="E2" s="82"/>
      <c r="F2" s="82"/>
      <c r="G2" s="82"/>
    </row>
    <row r="3" spans="1:7" ht="15">
      <c r="A3" s="83" t="s">
        <v>836</v>
      </c>
      <c r="B3" s="82" t="s">
        <v>1221</v>
      </c>
      <c r="C3" s="105"/>
      <c r="D3" s="82"/>
      <c r="E3" s="82"/>
      <c r="F3" s="82"/>
      <c r="G3" s="82"/>
    </row>
    <row r="4" spans="1:7" ht="15">
      <c r="A4" s="83" t="s">
        <v>837</v>
      </c>
      <c r="B4" s="82" t="s">
        <v>1222</v>
      </c>
      <c r="C4" s="105"/>
      <c r="D4" s="82"/>
      <c r="E4" s="82"/>
      <c r="F4" s="82"/>
      <c r="G4" s="82"/>
    </row>
    <row r="5" spans="1:7" ht="15">
      <c r="A5" s="83" t="s">
        <v>838</v>
      </c>
      <c r="B5" s="82">
        <v>36</v>
      </c>
      <c r="C5" s="105">
        <v>0.011799410029498525</v>
      </c>
      <c r="D5" s="82"/>
      <c r="E5" s="82"/>
      <c r="F5" s="82"/>
      <c r="G5" s="82"/>
    </row>
    <row r="6" spans="1:7" ht="15">
      <c r="A6" s="83" t="s">
        <v>839</v>
      </c>
      <c r="B6" s="82">
        <v>51</v>
      </c>
      <c r="C6" s="105">
        <v>0.01671583087512291</v>
      </c>
      <c r="D6" s="82"/>
      <c r="E6" s="82"/>
      <c r="F6" s="82"/>
      <c r="G6" s="82"/>
    </row>
    <row r="7" spans="1:7" ht="15">
      <c r="A7" s="83" t="s">
        <v>840</v>
      </c>
      <c r="B7" s="82">
        <v>0</v>
      </c>
      <c r="C7" s="105">
        <v>0</v>
      </c>
      <c r="D7" s="82"/>
      <c r="E7" s="82"/>
      <c r="F7" s="82"/>
      <c r="G7" s="82"/>
    </row>
    <row r="8" spans="1:7" ht="15">
      <c r="A8" s="83" t="s">
        <v>841</v>
      </c>
      <c r="B8" s="82">
        <v>2964</v>
      </c>
      <c r="C8" s="105">
        <v>0.9714847590953785</v>
      </c>
      <c r="D8" s="82"/>
      <c r="E8" s="82"/>
      <c r="F8" s="82"/>
      <c r="G8" s="82"/>
    </row>
    <row r="9" spans="1:7" ht="15">
      <c r="A9" s="83" t="s">
        <v>842</v>
      </c>
      <c r="B9" s="82">
        <v>3051</v>
      </c>
      <c r="C9" s="105">
        <v>1</v>
      </c>
      <c r="D9" s="82"/>
      <c r="E9" s="82"/>
      <c r="F9" s="82"/>
      <c r="G9" s="82"/>
    </row>
    <row r="10" spans="1:7" ht="15">
      <c r="A10" s="84" t="s">
        <v>843</v>
      </c>
      <c r="B10" s="82">
        <v>73</v>
      </c>
      <c r="C10" s="105">
        <v>0.02961050045062942</v>
      </c>
      <c r="D10" s="82" t="s">
        <v>1224</v>
      </c>
      <c r="E10" s="82" t="b">
        <v>0</v>
      </c>
      <c r="F10" s="82" t="b">
        <v>0</v>
      </c>
      <c r="G10" s="82" t="b">
        <v>0</v>
      </c>
    </row>
    <row r="11" spans="1:7" ht="15">
      <c r="A11" s="84" t="s">
        <v>844</v>
      </c>
      <c r="B11" s="82">
        <v>67</v>
      </c>
      <c r="C11" s="105">
        <v>0.02823246796844174</v>
      </c>
      <c r="D11" s="82" t="s">
        <v>1224</v>
      </c>
      <c r="E11" s="82" t="b">
        <v>0</v>
      </c>
      <c r="F11" s="82" t="b">
        <v>0</v>
      </c>
      <c r="G11" s="82" t="b">
        <v>0</v>
      </c>
    </row>
    <row r="12" spans="1:7" ht="15">
      <c r="A12" s="84" t="s">
        <v>845</v>
      </c>
      <c r="B12" s="82">
        <v>26</v>
      </c>
      <c r="C12" s="105">
        <v>0.01724169124865456</v>
      </c>
      <c r="D12" s="82" t="s">
        <v>1224</v>
      </c>
      <c r="E12" s="82" t="b">
        <v>0</v>
      </c>
      <c r="F12" s="82" t="b">
        <v>0</v>
      </c>
      <c r="G12" s="82" t="b">
        <v>0</v>
      </c>
    </row>
    <row r="13" spans="1:7" ht="15">
      <c r="A13" s="84" t="s">
        <v>846</v>
      </c>
      <c r="B13" s="82">
        <v>24</v>
      </c>
      <c r="C13" s="105">
        <v>0.03654685344940275</v>
      </c>
      <c r="D13" s="82" t="s">
        <v>1224</v>
      </c>
      <c r="E13" s="82" t="b">
        <v>0</v>
      </c>
      <c r="F13" s="82" t="b">
        <v>0</v>
      </c>
      <c r="G13" s="82" t="b">
        <v>0</v>
      </c>
    </row>
    <row r="14" spans="1:7" ht="15">
      <c r="A14" s="84" t="s">
        <v>847</v>
      </c>
      <c r="B14" s="82">
        <v>24</v>
      </c>
      <c r="C14" s="105">
        <v>0.017267835786210734</v>
      </c>
      <c r="D14" s="82" t="s">
        <v>1224</v>
      </c>
      <c r="E14" s="82" t="b">
        <v>0</v>
      </c>
      <c r="F14" s="82" t="b">
        <v>0</v>
      </c>
      <c r="G14" s="82" t="b">
        <v>0</v>
      </c>
    </row>
    <row r="15" spans="1:7" ht="15">
      <c r="A15" s="84" t="s">
        <v>848</v>
      </c>
      <c r="B15" s="82">
        <v>13</v>
      </c>
      <c r="C15" s="105">
        <v>0.010998360778417047</v>
      </c>
      <c r="D15" s="82" t="s">
        <v>1224</v>
      </c>
      <c r="E15" s="82" t="b">
        <v>0</v>
      </c>
      <c r="F15" s="82" t="b">
        <v>0</v>
      </c>
      <c r="G15" s="82" t="b">
        <v>0</v>
      </c>
    </row>
    <row r="16" spans="1:7" ht="15">
      <c r="A16" s="84" t="s">
        <v>849</v>
      </c>
      <c r="B16" s="82">
        <v>11</v>
      </c>
      <c r="C16" s="105">
        <v>0.009791151773823278</v>
      </c>
      <c r="D16" s="82" t="s">
        <v>1224</v>
      </c>
      <c r="E16" s="82" t="b">
        <v>0</v>
      </c>
      <c r="F16" s="82" t="b">
        <v>0</v>
      </c>
      <c r="G16" s="82" t="b">
        <v>0</v>
      </c>
    </row>
    <row r="17" spans="1:7" ht="15">
      <c r="A17" s="84" t="s">
        <v>850</v>
      </c>
      <c r="B17" s="82">
        <v>10</v>
      </c>
      <c r="C17" s="105">
        <v>0.009152521460539928</v>
      </c>
      <c r="D17" s="82" t="s">
        <v>1224</v>
      </c>
      <c r="E17" s="82" t="b">
        <v>0</v>
      </c>
      <c r="F17" s="82" t="b">
        <v>0</v>
      </c>
      <c r="G17" s="82" t="b">
        <v>0</v>
      </c>
    </row>
    <row r="18" spans="1:7" ht="15">
      <c r="A18" s="84" t="s">
        <v>851</v>
      </c>
      <c r="B18" s="82">
        <v>10</v>
      </c>
      <c r="C18" s="105">
        <v>0.009152521460539928</v>
      </c>
      <c r="D18" s="82" t="s">
        <v>1224</v>
      </c>
      <c r="E18" s="82" t="b">
        <v>0</v>
      </c>
      <c r="F18" s="82" t="b">
        <v>0</v>
      </c>
      <c r="G18" s="82" t="b">
        <v>0</v>
      </c>
    </row>
    <row r="19" spans="1:7" ht="15">
      <c r="A19" s="84" t="s">
        <v>852</v>
      </c>
      <c r="B19" s="82">
        <v>10</v>
      </c>
      <c r="C19" s="105">
        <v>0.01050032674374987</v>
      </c>
      <c r="D19" s="82" t="s">
        <v>1224</v>
      </c>
      <c r="E19" s="82" t="b">
        <v>0</v>
      </c>
      <c r="F19" s="82" t="b">
        <v>0</v>
      </c>
      <c r="G19" s="82" t="b">
        <v>0</v>
      </c>
    </row>
    <row r="20" spans="1:7" ht="15">
      <c r="A20" s="84" t="s">
        <v>853</v>
      </c>
      <c r="B20" s="82">
        <v>9</v>
      </c>
      <c r="C20" s="105">
        <v>0.00848746215473264</v>
      </c>
      <c r="D20" s="82" t="s">
        <v>1224</v>
      </c>
      <c r="E20" s="82" t="b">
        <v>0</v>
      </c>
      <c r="F20" s="82" t="b">
        <v>0</v>
      </c>
      <c r="G20" s="82" t="b">
        <v>0</v>
      </c>
    </row>
    <row r="21" spans="1:7" ht="15">
      <c r="A21" s="84" t="s">
        <v>854</v>
      </c>
      <c r="B21" s="82">
        <v>9</v>
      </c>
      <c r="C21" s="105">
        <v>0.00848746215473264</v>
      </c>
      <c r="D21" s="82" t="s">
        <v>1224</v>
      </c>
      <c r="E21" s="82" t="b">
        <v>0</v>
      </c>
      <c r="F21" s="82" t="b">
        <v>0</v>
      </c>
      <c r="G21" s="82" t="b">
        <v>0</v>
      </c>
    </row>
    <row r="22" spans="1:7" ht="15">
      <c r="A22" s="84" t="s">
        <v>855</v>
      </c>
      <c r="B22" s="82">
        <v>9</v>
      </c>
      <c r="C22" s="105">
        <v>0.00848746215473264</v>
      </c>
      <c r="D22" s="82" t="s">
        <v>1224</v>
      </c>
      <c r="E22" s="82" t="b">
        <v>0</v>
      </c>
      <c r="F22" s="82" t="b">
        <v>0</v>
      </c>
      <c r="G22" s="82" t="b">
        <v>0</v>
      </c>
    </row>
    <row r="23" spans="1:7" ht="15">
      <c r="A23" s="84" t="s">
        <v>856</v>
      </c>
      <c r="B23" s="82">
        <v>9</v>
      </c>
      <c r="C23" s="105">
        <v>0.00848746215473264</v>
      </c>
      <c r="D23" s="82" t="s">
        <v>1224</v>
      </c>
      <c r="E23" s="82" t="b">
        <v>0</v>
      </c>
      <c r="F23" s="82" t="b">
        <v>0</v>
      </c>
      <c r="G23" s="82" t="b">
        <v>0</v>
      </c>
    </row>
    <row r="24" spans="1:7" ht="15">
      <c r="A24" s="84" t="s">
        <v>857</v>
      </c>
      <c r="B24" s="82">
        <v>8</v>
      </c>
      <c r="C24" s="105">
        <v>0.007793025737122374</v>
      </c>
      <c r="D24" s="82" t="s">
        <v>1224</v>
      </c>
      <c r="E24" s="82" t="b">
        <v>0</v>
      </c>
      <c r="F24" s="82" t="b">
        <v>0</v>
      </c>
      <c r="G24" s="82" t="b">
        <v>0</v>
      </c>
    </row>
    <row r="25" spans="1:7" ht="15">
      <c r="A25" s="84" t="s">
        <v>858</v>
      </c>
      <c r="B25" s="82">
        <v>8</v>
      </c>
      <c r="C25" s="105">
        <v>0.008074882101533974</v>
      </c>
      <c r="D25" s="82" t="s">
        <v>1224</v>
      </c>
      <c r="E25" s="82" t="b">
        <v>0</v>
      </c>
      <c r="F25" s="82" t="b">
        <v>0</v>
      </c>
      <c r="G25" s="82" t="b">
        <v>0</v>
      </c>
    </row>
    <row r="26" spans="1:7" ht="15">
      <c r="A26" s="84" t="s">
        <v>859</v>
      </c>
      <c r="B26" s="82">
        <v>8</v>
      </c>
      <c r="C26" s="105">
        <v>0.007793025737122374</v>
      </c>
      <c r="D26" s="82" t="s">
        <v>1224</v>
      </c>
      <c r="E26" s="82" t="b">
        <v>0</v>
      </c>
      <c r="F26" s="82" t="b">
        <v>0</v>
      </c>
      <c r="G26" s="82" t="b">
        <v>0</v>
      </c>
    </row>
    <row r="27" spans="1:7" ht="15">
      <c r="A27" s="84" t="s">
        <v>860</v>
      </c>
      <c r="B27" s="82">
        <v>8</v>
      </c>
      <c r="C27" s="105">
        <v>0.007793025737122374</v>
      </c>
      <c r="D27" s="82" t="s">
        <v>1224</v>
      </c>
      <c r="E27" s="82" t="b">
        <v>0</v>
      </c>
      <c r="F27" s="82" t="b">
        <v>0</v>
      </c>
      <c r="G27" s="82" t="b">
        <v>0</v>
      </c>
    </row>
    <row r="28" spans="1:7" ht="15">
      <c r="A28" s="84" t="s">
        <v>861</v>
      </c>
      <c r="B28" s="82">
        <v>8</v>
      </c>
      <c r="C28" s="105">
        <v>0.008400261394999895</v>
      </c>
      <c r="D28" s="82" t="s">
        <v>1224</v>
      </c>
      <c r="E28" s="82" t="b">
        <v>0</v>
      </c>
      <c r="F28" s="82" t="b">
        <v>0</v>
      </c>
      <c r="G28" s="82" t="b">
        <v>0</v>
      </c>
    </row>
    <row r="29" spans="1:7" ht="15">
      <c r="A29" s="84" t="s">
        <v>862</v>
      </c>
      <c r="B29" s="82">
        <v>8</v>
      </c>
      <c r="C29" s="105">
        <v>0.007793025737122374</v>
      </c>
      <c r="D29" s="82" t="s">
        <v>1224</v>
      </c>
      <c r="E29" s="82" t="b">
        <v>0</v>
      </c>
      <c r="F29" s="82" t="b">
        <v>0</v>
      </c>
      <c r="G29" s="82" t="b">
        <v>0</v>
      </c>
    </row>
    <row r="30" spans="1:7" ht="15">
      <c r="A30" s="84" t="s">
        <v>863</v>
      </c>
      <c r="B30" s="82">
        <v>8</v>
      </c>
      <c r="C30" s="105">
        <v>0.007793025737122374</v>
      </c>
      <c r="D30" s="82" t="s">
        <v>1224</v>
      </c>
      <c r="E30" s="82" t="b">
        <v>0</v>
      </c>
      <c r="F30" s="82" t="b">
        <v>0</v>
      </c>
      <c r="G30" s="82" t="b">
        <v>0</v>
      </c>
    </row>
    <row r="31" spans="1:7" ht="15">
      <c r="A31" s="84" t="s">
        <v>864</v>
      </c>
      <c r="B31" s="82">
        <v>7</v>
      </c>
      <c r="C31" s="105">
        <v>0.0070655218388422265</v>
      </c>
      <c r="D31" s="82" t="s">
        <v>1224</v>
      </c>
      <c r="E31" s="82" t="b">
        <v>0</v>
      </c>
      <c r="F31" s="82" t="b">
        <v>0</v>
      </c>
      <c r="G31" s="82" t="b">
        <v>0</v>
      </c>
    </row>
    <row r="32" spans="1:7" ht="15">
      <c r="A32" s="84" t="s">
        <v>865</v>
      </c>
      <c r="B32" s="82">
        <v>7</v>
      </c>
      <c r="C32" s="105">
        <v>0.007350228720624908</v>
      </c>
      <c r="D32" s="82" t="s">
        <v>1224</v>
      </c>
      <c r="E32" s="82" t="b">
        <v>0</v>
      </c>
      <c r="F32" s="82" t="b">
        <v>0</v>
      </c>
      <c r="G32" s="82" t="b">
        <v>0</v>
      </c>
    </row>
    <row r="33" spans="1:7" ht="15">
      <c r="A33" s="84" t="s">
        <v>866</v>
      </c>
      <c r="B33" s="82">
        <v>7</v>
      </c>
      <c r="C33" s="105">
        <v>0.0070655218388422265</v>
      </c>
      <c r="D33" s="82" t="s">
        <v>1224</v>
      </c>
      <c r="E33" s="82" t="b">
        <v>0</v>
      </c>
      <c r="F33" s="82" t="b">
        <v>0</v>
      </c>
      <c r="G33" s="82" t="b">
        <v>0</v>
      </c>
    </row>
    <row r="34" spans="1:7" ht="15">
      <c r="A34" s="84" t="s">
        <v>867</v>
      </c>
      <c r="B34" s="82">
        <v>7</v>
      </c>
      <c r="C34" s="105">
        <v>0.0070655218388422265</v>
      </c>
      <c r="D34" s="82" t="s">
        <v>1224</v>
      </c>
      <c r="E34" s="82" t="b">
        <v>0</v>
      </c>
      <c r="F34" s="82" t="b">
        <v>0</v>
      </c>
      <c r="G34" s="82" t="b">
        <v>0</v>
      </c>
    </row>
    <row r="35" spans="1:7" ht="15">
      <c r="A35" s="84" t="s">
        <v>868</v>
      </c>
      <c r="B35" s="82">
        <v>7</v>
      </c>
      <c r="C35" s="105">
        <v>0.0070655218388422265</v>
      </c>
      <c r="D35" s="82" t="s">
        <v>1224</v>
      </c>
      <c r="E35" s="82" t="b">
        <v>0</v>
      </c>
      <c r="F35" s="82" t="b">
        <v>0</v>
      </c>
      <c r="G35" s="82" t="b">
        <v>0</v>
      </c>
    </row>
    <row r="36" spans="1:7" ht="15">
      <c r="A36" s="84" t="s">
        <v>869</v>
      </c>
      <c r="B36" s="82">
        <v>6</v>
      </c>
      <c r="C36" s="105">
        <v>0.006942083989344749</v>
      </c>
      <c r="D36" s="82" t="s">
        <v>1224</v>
      </c>
      <c r="E36" s="82" t="b">
        <v>0</v>
      </c>
      <c r="F36" s="82" t="b">
        <v>0</v>
      </c>
      <c r="G36" s="82" t="b">
        <v>0</v>
      </c>
    </row>
    <row r="37" spans="1:7" ht="15">
      <c r="A37" s="84" t="s">
        <v>870</v>
      </c>
      <c r="B37" s="82">
        <v>6</v>
      </c>
      <c r="C37" s="105">
        <v>0.0063001960462499215</v>
      </c>
      <c r="D37" s="82" t="s">
        <v>1224</v>
      </c>
      <c r="E37" s="82" t="b">
        <v>0</v>
      </c>
      <c r="F37" s="82" t="b">
        <v>0</v>
      </c>
      <c r="G37" s="82" t="b">
        <v>0</v>
      </c>
    </row>
    <row r="38" spans="1:7" ht="15">
      <c r="A38" s="84" t="s">
        <v>871</v>
      </c>
      <c r="B38" s="82">
        <v>6</v>
      </c>
      <c r="C38" s="105">
        <v>0.0063001960462499215</v>
      </c>
      <c r="D38" s="82" t="s">
        <v>1224</v>
      </c>
      <c r="E38" s="82" t="b">
        <v>0</v>
      </c>
      <c r="F38" s="82" t="b">
        <v>0</v>
      </c>
      <c r="G38" s="82" t="b">
        <v>0</v>
      </c>
    </row>
    <row r="39" spans="1:7" ht="15">
      <c r="A39" s="84" t="s">
        <v>872</v>
      </c>
      <c r="B39" s="82">
        <v>6</v>
      </c>
      <c r="C39" s="105">
        <v>0.0063001960462499215</v>
      </c>
      <c r="D39" s="82" t="s">
        <v>1224</v>
      </c>
      <c r="E39" s="82" t="b">
        <v>0</v>
      </c>
      <c r="F39" s="82" t="b">
        <v>0</v>
      </c>
      <c r="G39" s="82" t="b">
        <v>0</v>
      </c>
    </row>
    <row r="40" spans="1:7" ht="15">
      <c r="A40" s="84" t="s">
        <v>873</v>
      </c>
      <c r="B40" s="82">
        <v>6</v>
      </c>
      <c r="C40" s="105">
        <v>0.0063001960462499215</v>
      </c>
      <c r="D40" s="82" t="s">
        <v>1224</v>
      </c>
      <c r="E40" s="82" t="b">
        <v>0</v>
      </c>
      <c r="F40" s="82" t="b">
        <v>0</v>
      </c>
      <c r="G40" s="82" t="b">
        <v>0</v>
      </c>
    </row>
    <row r="41" spans="1:7" ht="15">
      <c r="A41" s="84" t="s">
        <v>874</v>
      </c>
      <c r="B41" s="82">
        <v>6</v>
      </c>
      <c r="C41" s="105">
        <v>0.0063001960462499215</v>
      </c>
      <c r="D41" s="82" t="s">
        <v>1224</v>
      </c>
      <c r="E41" s="82" t="b">
        <v>0</v>
      </c>
      <c r="F41" s="82" t="b">
        <v>0</v>
      </c>
      <c r="G41" s="82" t="b">
        <v>0</v>
      </c>
    </row>
    <row r="42" spans="1:7" ht="15">
      <c r="A42" s="84" t="s">
        <v>875</v>
      </c>
      <c r="B42" s="82">
        <v>6</v>
      </c>
      <c r="C42" s="105">
        <v>0.0063001960462499215</v>
      </c>
      <c r="D42" s="82" t="s">
        <v>1224</v>
      </c>
      <c r="E42" s="82" t="b">
        <v>1</v>
      </c>
      <c r="F42" s="82" t="b">
        <v>0</v>
      </c>
      <c r="G42" s="82" t="b">
        <v>0</v>
      </c>
    </row>
    <row r="43" spans="1:7" ht="15">
      <c r="A43" s="84" t="s">
        <v>876</v>
      </c>
      <c r="B43" s="82">
        <v>6</v>
      </c>
      <c r="C43" s="105">
        <v>0.007397510732752891</v>
      </c>
      <c r="D43" s="82" t="s">
        <v>1224</v>
      </c>
      <c r="E43" s="82" t="b">
        <v>0</v>
      </c>
      <c r="F43" s="82" t="b">
        <v>0</v>
      </c>
      <c r="G43" s="82" t="b">
        <v>0</v>
      </c>
    </row>
    <row r="44" spans="1:7" ht="15">
      <c r="A44" s="84" t="s">
        <v>877</v>
      </c>
      <c r="B44" s="82">
        <v>6</v>
      </c>
      <c r="C44" s="105">
        <v>0.007397510732752891</v>
      </c>
      <c r="D44" s="82" t="s">
        <v>1224</v>
      </c>
      <c r="E44" s="82" t="b">
        <v>0</v>
      </c>
      <c r="F44" s="82" t="b">
        <v>0</v>
      </c>
      <c r="G44" s="82" t="b">
        <v>0</v>
      </c>
    </row>
    <row r="45" spans="1:7" ht="15">
      <c r="A45" s="84" t="s">
        <v>878</v>
      </c>
      <c r="B45" s="82">
        <v>6</v>
      </c>
      <c r="C45" s="105">
        <v>0.006588827562826926</v>
      </c>
      <c r="D45" s="82" t="s">
        <v>1224</v>
      </c>
      <c r="E45" s="82" t="b">
        <v>0</v>
      </c>
      <c r="F45" s="82" t="b">
        <v>0</v>
      </c>
      <c r="G45" s="82" t="b">
        <v>0</v>
      </c>
    </row>
    <row r="46" spans="1:7" ht="15">
      <c r="A46" s="84" t="s">
        <v>879</v>
      </c>
      <c r="B46" s="82">
        <v>6</v>
      </c>
      <c r="C46" s="105">
        <v>0.0063001960462499215</v>
      </c>
      <c r="D46" s="82" t="s">
        <v>1224</v>
      </c>
      <c r="E46" s="82" t="b">
        <v>0</v>
      </c>
      <c r="F46" s="82" t="b">
        <v>0</v>
      </c>
      <c r="G46" s="82" t="b">
        <v>0</v>
      </c>
    </row>
    <row r="47" spans="1:7" ht="15">
      <c r="A47" s="84" t="s">
        <v>880</v>
      </c>
      <c r="B47" s="82">
        <v>6</v>
      </c>
      <c r="C47" s="105">
        <v>0.0063001960462499215</v>
      </c>
      <c r="D47" s="82" t="s">
        <v>1224</v>
      </c>
      <c r="E47" s="82" t="b">
        <v>0</v>
      </c>
      <c r="F47" s="82" t="b">
        <v>0</v>
      </c>
      <c r="G47" s="82" t="b">
        <v>0</v>
      </c>
    </row>
    <row r="48" spans="1:7" ht="15">
      <c r="A48" s="84" t="s">
        <v>881</v>
      </c>
      <c r="B48" s="82">
        <v>6</v>
      </c>
      <c r="C48" s="105">
        <v>0.0063001960462499215</v>
      </c>
      <c r="D48" s="82" t="s">
        <v>1224</v>
      </c>
      <c r="E48" s="82" t="b">
        <v>0</v>
      </c>
      <c r="F48" s="82" t="b">
        <v>0</v>
      </c>
      <c r="G48" s="82" t="b">
        <v>0</v>
      </c>
    </row>
    <row r="49" spans="1:7" ht="15">
      <c r="A49" s="84" t="s">
        <v>882</v>
      </c>
      <c r="B49" s="82">
        <v>6</v>
      </c>
      <c r="C49" s="105">
        <v>0.0063001960462499215</v>
      </c>
      <c r="D49" s="82" t="s">
        <v>1224</v>
      </c>
      <c r="E49" s="82" t="b">
        <v>0</v>
      </c>
      <c r="F49" s="82" t="b">
        <v>1</v>
      </c>
      <c r="G49" s="82" t="b">
        <v>0</v>
      </c>
    </row>
    <row r="50" spans="1:7" ht="15">
      <c r="A50" s="84" t="s">
        <v>883</v>
      </c>
      <c r="B50" s="82">
        <v>6</v>
      </c>
      <c r="C50" s="105">
        <v>0.00803939867584772</v>
      </c>
      <c r="D50" s="82" t="s">
        <v>1224</v>
      </c>
      <c r="E50" s="82" t="b">
        <v>0</v>
      </c>
      <c r="F50" s="82" t="b">
        <v>0</v>
      </c>
      <c r="G50" s="82" t="b">
        <v>0</v>
      </c>
    </row>
    <row r="51" spans="1:7" ht="15">
      <c r="A51" s="84" t="s">
        <v>884</v>
      </c>
      <c r="B51" s="82">
        <v>6</v>
      </c>
      <c r="C51" s="105">
        <v>0.0063001960462499215</v>
      </c>
      <c r="D51" s="82" t="s">
        <v>1224</v>
      </c>
      <c r="E51" s="82" t="b">
        <v>0</v>
      </c>
      <c r="F51" s="82" t="b">
        <v>1</v>
      </c>
      <c r="G51" s="82" t="b">
        <v>0</v>
      </c>
    </row>
    <row r="52" spans="1:7" ht="15">
      <c r="A52" s="84" t="s">
        <v>885</v>
      </c>
      <c r="B52" s="82">
        <v>5</v>
      </c>
      <c r="C52" s="105">
        <v>0.005490689635689105</v>
      </c>
      <c r="D52" s="82" t="s">
        <v>1224</v>
      </c>
      <c r="E52" s="82" t="b">
        <v>0</v>
      </c>
      <c r="F52" s="82" t="b">
        <v>0</v>
      </c>
      <c r="G52" s="82" t="b">
        <v>0</v>
      </c>
    </row>
    <row r="53" spans="1:7" ht="15">
      <c r="A53" s="84" t="s">
        <v>886</v>
      </c>
      <c r="B53" s="82">
        <v>5</v>
      </c>
      <c r="C53" s="105">
        <v>0.005490689635689105</v>
      </c>
      <c r="D53" s="82" t="s">
        <v>1224</v>
      </c>
      <c r="E53" s="82" t="b">
        <v>0</v>
      </c>
      <c r="F53" s="82" t="b">
        <v>0</v>
      </c>
      <c r="G53" s="82" t="b">
        <v>0</v>
      </c>
    </row>
    <row r="54" spans="1:7" ht="15">
      <c r="A54" s="84" t="s">
        <v>887</v>
      </c>
      <c r="B54" s="82">
        <v>5</v>
      </c>
      <c r="C54" s="105">
        <v>0.005490689635689105</v>
      </c>
      <c r="D54" s="82" t="s">
        <v>1224</v>
      </c>
      <c r="E54" s="82" t="b">
        <v>0</v>
      </c>
      <c r="F54" s="82" t="b">
        <v>0</v>
      </c>
      <c r="G54" s="82" t="b">
        <v>0</v>
      </c>
    </row>
    <row r="55" spans="1:7" ht="15">
      <c r="A55" s="84" t="s">
        <v>888</v>
      </c>
      <c r="B55" s="82">
        <v>5</v>
      </c>
      <c r="C55" s="105">
        <v>0.005490689635689105</v>
      </c>
      <c r="D55" s="82" t="s">
        <v>1224</v>
      </c>
      <c r="E55" s="82" t="b">
        <v>0</v>
      </c>
      <c r="F55" s="82" t="b">
        <v>0</v>
      </c>
      <c r="G55" s="82" t="b">
        <v>0</v>
      </c>
    </row>
    <row r="56" spans="1:7" ht="15">
      <c r="A56" s="84" t="s">
        <v>889</v>
      </c>
      <c r="B56" s="82">
        <v>5</v>
      </c>
      <c r="C56" s="105">
        <v>0.005490689635689105</v>
      </c>
      <c r="D56" s="82" t="s">
        <v>1224</v>
      </c>
      <c r="E56" s="82" t="b">
        <v>0</v>
      </c>
      <c r="F56" s="82" t="b">
        <v>0</v>
      </c>
      <c r="G56" s="82" t="b">
        <v>0</v>
      </c>
    </row>
    <row r="57" spans="1:7" ht="15">
      <c r="A57" s="84" t="s">
        <v>890</v>
      </c>
      <c r="B57" s="82">
        <v>5</v>
      </c>
      <c r="C57" s="105">
        <v>0.005490689635689105</v>
      </c>
      <c r="D57" s="82" t="s">
        <v>1224</v>
      </c>
      <c r="E57" s="82" t="b">
        <v>0</v>
      </c>
      <c r="F57" s="82" t="b">
        <v>0</v>
      </c>
      <c r="G57" s="82" t="b">
        <v>0</v>
      </c>
    </row>
    <row r="58" spans="1:7" ht="15">
      <c r="A58" s="84" t="s">
        <v>891</v>
      </c>
      <c r="B58" s="82">
        <v>5</v>
      </c>
      <c r="C58" s="105">
        <v>0.006699498896539767</v>
      </c>
      <c r="D58" s="82" t="s">
        <v>1224</v>
      </c>
      <c r="E58" s="82" t="b">
        <v>0</v>
      </c>
      <c r="F58" s="82" t="b">
        <v>0</v>
      </c>
      <c r="G58" s="82" t="b">
        <v>0</v>
      </c>
    </row>
    <row r="59" spans="1:7" ht="15">
      <c r="A59" s="84" t="s">
        <v>892</v>
      </c>
      <c r="B59" s="82">
        <v>5</v>
      </c>
      <c r="C59" s="105">
        <v>0.006164592277294076</v>
      </c>
      <c r="D59" s="82" t="s">
        <v>1224</v>
      </c>
      <c r="E59" s="82" t="b">
        <v>0</v>
      </c>
      <c r="F59" s="82" t="b">
        <v>0</v>
      </c>
      <c r="G59" s="82" t="b">
        <v>0</v>
      </c>
    </row>
    <row r="60" spans="1:7" ht="15">
      <c r="A60" s="84" t="s">
        <v>893</v>
      </c>
      <c r="B60" s="82">
        <v>5</v>
      </c>
      <c r="C60" s="105">
        <v>0.005785069991120624</v>
      </c>
      <c r="D60" s="82" t="s">
        <v>1224</v>
      </c>
      <c r="E60" s="82" t="b">
        <v>0</v>
      </c>
      <c r="F60" s="82" t="b">
        <v>0</v>
      </c>
      <c r="G60" s="82" t="b">
        <v>0</v>
      </c>
    </row>
    <row r="61" spans="1:7" ht="15">
      <c r="A61" s="84" t="s">
        <v>894</v>
      </c>
      <c r="B61" s="82">
        <v>5</v>
      </c>
      <c r="C61" s="105">
        <v>0.005785069991120624</v>
      </c>
      <c r="D61" s="82" t="s">
        <v>1224</v>
      </c>
      <c r="E61" s="82" t="b">
        <v>0</v>
      </c>
      <c r="F61" s="82" t="b">
        <v>0</v>
      </c>
      <c r="G61" s="82" t="b">
        <v>0</v>
      </c>
    </row>
    <row r="62" spans="1:7" ht="15">
      <c r="A62" s="84" t="s">
        <v>895</v>
      </c>
      <c r="B62" s="82">
        <v>5</v>
      </c>
      <c r="C62" s="105">
        <v>0.005490689635689105</v>
      </c>
      <c r="D62" s="82" t="s">
        <v>1224</v>
      </c>
      <c r="E62" s="82" t="b">
        <v>0</v>
      </c>
      <c r="F62" s="82" t="b">
        <v>0</v>
      </c>
      <c r="G62" s="82" t="b">
        <v>0</v>
      </c>
    </row>
    <row r="63" spans="1:7" ht="15">
      <c r="A63" s="84" t="s">
        <v>896</v>
      </c>
      <c r="B63" s="82">
        <v>5</v>
      </c>
      <c r="C63" s="105">
        <v>0.005490689635689105</v>
      </c>
      <c r="D63" s="82" t="s">
        <v>1224</v>
      </c>
      <c r="E63" s="82" t="b">
        <v>0</v>
      </c>
      <c r="F63" s="82" t="b">
        <v>0</v>
      </c>
      <c r="G63" s="82" t="b">
        <v>0</v>
      </c>
    </row>
    <row r="64" spans="1:7" ht="15">
      <c r="A64" s="84" t="s">
        <v>897</v>
      </c>
      <c r="B64" s="82">
        <v>5</v>
      </c>
      <c r="C64" s="105">
        <v>0.005490689635689105</v>
      </c>
      <c r="D64" s="82" t="s">
        <v>1224</v>
      </c>
      <c r="E64" s="82" t="b">
        <v>0</v>
      </c>
      <c r="F64" s="82" t="b">
        <v>0</v>
      </c>
      <c r="G64" s="82" t="b">
        <v>0</v>
      </c>
    </row>
    <row r="65" spans="1:7" ht="15">
      <c r="A65" s="84" t="s">
        <v>898</v>
      </c>
      <c r="B65" s="82">
        <v>5</v>
      </c>
      <c r="C65" s="105">
        <v>0.005490689635689105</v>
      </c>
      <c r="D65" s="82" t="s">
        <v>1224</v>
      </c>
      <c r="E65" s="82" t="b">
        <v>0</v>
      </c>
      <c r="F65" s="82" t="b">
        <v>0</v>
      </c>
      <c r="G65" s="82" t="b">
        <v>0</v>
      </c>
    </row>
    <row r="66" spans="1:7" ht="15">
      <c r="A66" s="84" t="s">
        <v>899</v>
      </c>
      <c r="B66" s="82">
        <v>5</v>
      </c>
      <c r="C66" s="105">
        <v>0.006699498896539767</v>
      </c>
      <c r="D66" s="82" t="s">
        <v>1224</v>
      </c>
      <c r="E66" s="82" t="b">
        <v>0</v>
      </c>
      <c r="F66" s="82" t="b">
        <v>0</v>
      </c>
      <c r="G66" s="82" t="b">
        <v>0</v>
      </c>
    </row>
    <row r="67" spans="1:7" ht="15">
      <c r="A67" s="84" t="s">
        <v>900</v>
      </c>
      <c r="B67" s="82">
        <v>5</v>
      </c>
      <c r="C67" s="105">
        <v>0.005490689635689105</v>
      </c>
      <c r="D67" s="82" t="s">
        <v>1224</v>
      </c>
      <c r="E67" s="82" t="b">
        <v>1</v>
      </c>
      <c r="F67" s="82" t="b">
        <v>0</v>
      </c>
      <c r="G67" s="82" t="b">
        <v>0</v>
      </c>
    </row>
    <row r="68" spans="1:7" ht="15">
      <c r="A68" s="84" t="s">
        <v>901</v>
      </c>
      <c r="B68" s="82">
        <v>5</v>
      </c>
      <c r="C68" s="105">
        <v>0.005490689635689105</v>
      </c>
      <c r="D68" s="82" t="s">
        <v>1224</v>
      </c>
      <c r="E68" s="82" t="b">
        <v>0</v>
      </c>
      <c r="F68" s="82" t="b">
        <v>0</v>
      </c>
      <c r="G68" s="82" t="b">
        <v>0</v>
      </c>
    </row>
    <row r="69" spans="1:7" ht="15">
      <c r="A69" s="84" t="s">
        <v>902</v>
      </c>
      <c r="B69" s="82">
        <v>5</v>
      </c>
      <c r="C69" s="105">
        <v>0.005490689635689105</v>
      </c>
      <c r="D69" s="82" t="s">
        <v>1224</v>
      </c>
      <c r="E69" s="82" t="b">
        <v>0</v>
      </c>
      <c r="F69" s="82" t="b">
        <v>0</v>
      </c>
      <c r="G69" s="82" t="b">
        <v>0</v>
      </c>
    </row>
    <row r="70" spans="1:7" ht="15">
      <c r="A70" s="84" t="s">
        <v>903</v>
      </c>
      <c r="B70" s="82">
        <v>5</v>
      </c>
      <c r="C70" s="105">
        <v>0.005490689635689105</v>
      </c>
      <c r="D70" s="82" t="s">
        <v>1224</v>
      </c>
      <c r="E70" s="82" t="b">
        <v>0</v>
      </c>
      <c r="F70" s="82" t="b">
        <v>0</v>
      </c>
      <c r="G70" s="82" t="b">
        <v>0</v>
      </c>
    </row>
    <row r="71" spans="1:7" ht="15">
      <c r="A71" s="84" t="s">
        <v>904</v>
      </c>
      <c r="B71" s="82">
        <v>5</v>
      </c>
      <c r="C71" s="105">
        <v>0.005490689635689105</v>
      </c>
      <c r="D71" s="82" t="s">
        <v>1224</v>
      </c>
      <c r="E71" s="82" t="b">
        <v>0</v>
      </c>
      <c r="F71" s="82" t="b">
        <v>0</v>
      </c>
      <c r="G71" s="82" t="b">
        <v>0</v>
      </c>
    </row>
    <row r="72" spans="1:7" ht="15">
      <c r="A72" s="84" t="s">
        <v>905</v>
      </c>
      <c r="B72" s="82">
        <v>5</v>
      </c>
      <c r="C72" s="105">
        <v>0.005490689635689105</v>
      </c>
      <c r="D72" s="82" t="s">
        <v>1224</v>
      </c>
      <c r="E72" s="82" t="b">
        <v>0</v>
      </c>
      <c r="F72" s="82" t="b">
        <v>0</v>
      </c>
      <c r="G72" s="82" t="b">
        <v>0</v>
      </c>
    </row>
    <row r="73" spans="1:7" ht="15">
      <c r="A73" s="84" t="s">
        <v>906</v>
      </c>
      <c r="B73" s="82">
        <v>4</v>
      </c>
      <c r="C73" s="105">
        <v>0.004628055992896499</v>
      </c>
      <c r="D73" s="82" t="s">
        <v>1224</v>
      </c>
      <c r="E73" s="82" t="b">
        <v>0</v>
      </c>
      <c r="F73" s="82" t="b">
        <v>0</v>
      </c>
      <c r="G73" s="82" t="b">
        <v>0</v>
      </c>
    </row>
    <row r="74" spans="1:7" ht="15">
      <c r="A74" s="84" t="s">
        <v>907</v>
      </c>
      <c r="B74" s="82">
        <v>4</v>
      </c>
      <c r="C74" s="105">
        <v>0.004628055992896499</v>
      </c>
      <c r="D74" s="82" t="s">
        <v>1224</v>
      </c>
      <c r="E74" s="82" t="b">
        <v>0</v>
      </c>
      <c r="F74" s="82" t="b">
        <v>0</v>
      </c>
      <c r="G74" s="82" t="b">
        <v>0</v>
      </c>
    </row>
    <row r="75" spans="1:7" ht="15">
      <c r="A75" s="84" t="s">
        <v>908</v>
      </c>
      <c r="B75" s="82">
        <v>4</v>
      </c>
      <c r="C75" s="105">
        <v>0.005359599117231812</v>
      </c>
      <c r="D75" s="82" t="s">
        <v>1224</v>
      </c>
      <c r="E75" s="82" t="b">
        <v>0</v>
      </c>
      <c r="F75" s="82" t="b">
        <v>0</v>
      </c>
      <c r="G75" s="82" t="b">
        <v>0</v>
      </c>
    </row>
    <row r="76" spans="1:7" ht="15">
      <c r="A76" s="84" t="s">
        <v>909</v>
      </c>
      <c r="B76" s="82">
        <v>4</v>
      </c>
      <c r="C76" s="105">
        <v>0.004628055992896499</v>
      </c>
      <c r="D76" s="82" t="s">
        <v>1224</v>
      </c>
      <c r="E76" s="82" t="b">
        <v>0</v>
      </c>
      <c r="F76" s="82" t="b">
        <v>0</v>
      </c>
      <c r="G76" s="82" t="b">
        <v>0</v>
      </c>
    </row>
    <row r="77" spans="1:7" ht="15">
      <c r="A77" s="84" t="s">
        <v>910</v>
      </c>
      <c r="B77" s="82">
        <v>4</v>
      </c>
      <c r="C77" s="105">
        <v>0.004628055992896499</v>
      </c>
      <c r="D77" s="82" t="s">
        <v>1224</v>
      </c>
      <c r="E77" s="82" t="b">
        <v>0</v>
      </c>
      <c r="F77" s="82" t="b">
        <v>0</v>
      </c>
      <c r="G77" s="82" t="b">
        <v>0</v>
      </c>
    </row>
    <row r="78" spans="1:7" ht="15">
      <c r="A78" s="84" t="s">
        <v>911</v>
      </c>
      <c r="B78" s="82">
        <v>4</v>
      </c>
      <c r="C78" s="105">
        <v>0.004628055992896499</v>
      </c>
      <c r="D78" s="82" t="s">
        <v>1224</v>
      </c>
      <c r="E78" s="82" t="b">
        <v>0</v>
      </c>
      <c r="F78" s="82" t="b">
        <v>0</v>
      </c>
      <c r="G78" s="82" t="b">
        <v>0</v>
      </c>
    </row>
    <row r="79" spans="1:7" ht="15">
      <c r="A79" s="84" t="s">
        <v>912</v>
      </c>
      <c r="B79" s="82">
        <v>4</v>
      </c>
      <c r="C79" s="105">
        <v>0.004628055992896499</v>
      </c>
      <c r="D79" s="82" t="s">
        <v>1224</v>
      </c>
      <c r="E79" s="82" t="b">
        <v>0</v>
      </c>
      <c r="F79" s="82" t="b">
        <v>0</v>
      </c>
      <c r="G79" s="82" t="b">
        <v>0</v>
      </c>
    </row>
    <row r="80" spans="1:7" ht="15">
      <c r="A80" s="84" t="s">
        <v>913</v>
      </c>
      <c r="B80" s="82">
        <v>4</v>
      </c>
      <c r="C80" s="105">
        <v>0.004628055992896499</v>
      </c>
      <c r="D80" s="82" t="s">
        <v>1224</v>
      </c>
      <c r="E80" s="82" t="b">
        <v>0</v>
      </c>
      <c r="F80" s="82" t="b">
        <v>0</v>
      </c>
      <c r="G80" s="82" t="b">
        <v>0</v>
      </c>
    </row>
    <row r="81" spans="1:7" ht="15">
      <c r="A81" s="84" t="s">
        <v>914</v>
      </c>
      <c r="B81" s="82">
        <v>4</v>
      </c>
      <c r="C81" s="105">
        <v>0.004628055992896499</v>
      </c>
      <c r="D81" s="82" t="s">
        <v>1224</v>
      </c>
      <c r="E81" s="82" t="b">
        <v>0</v>
      </c>
      <c r="F81" s="82" t="b">
        <v>0</v>
      </c>
      <c r="G81" s="82" t="b">
        <v>0</v>
      </c>
    </row>
    <row r="82" spans="1:7" ht="15">
      <c r="A82" s="84" t="s">
        <v>915</v>
      </c>
      <c r="B82" s="82">
        <v>4</v>
      </c>
      <c r="C82" s="105">
        <v>0.004628055992896499</v>
      </c>
      <c r="D82" s="82" t="s">
        <v>1224</v>
      </c>
      <c r="E82" s="82" t="b">
        <v>0</v>
      </c>
      <c r="F82" s="82" t="b">
        <v>0</v>
      </c>
      <c r="G82" s="82" t="b">
        <v>0</v>
      </c>
    </row>
    <row r="83" spans="1:7" ht="15">
      <c r="A83" s="84" t="s">
        <v>916</v>
      </c>
      <c r="B83" s="82">
        <v>4</v>
      </c>
      <c r="C83" s="105">
        <v>0.004628055992896499</v>
      </c>
      <c r="D83" s="82" t="s">
        <v>1224</v>
      </c>
      <c r="E83" s="82" t="b">
        <v>0</v>
      </c>
      <c r="F83" s="82" t="b">
        <v>0</v>
      </c>
      <c r="G83" s="82" t="b">
        <v>0</v>
      </c>
    </row>
    <row r="84" spans="1:7" ht="15">
      <c r="A84" s="84" t="s">
        <v>917</v>
      </c>
      <c r="B84" s="82">
        <v>4</v>
      </c>
      <c r="C84" s="105">
        <v>0.004628055992896499</v>
      </c>
      <c r="D84" s="82" t="s">
        <v>1224</v>
      </c>
      <c r="E84" s="82" t="b">
        <v>0</v>
      </c>
      <c r="F84" s="82" t="b">
        <v>0</v>
      </c>
      <c r="G84" s="82" t="b">
        <v>0</v>
      </c>
    </row>
    <row r="85" spans="1:7" ht="15">
      <c r="A85" s="84" t="s">
        <v>918</v>
      </c>
      <c r="B85" s="82">
        <v>4</v>
      </c>
      <c r="C85" s="105">
        <v>0.004628055992896499</v>
      </c>
      <c r="D85" s="82" t="s">
        <v>1224</v>
      </c>
      <c r="E85" s="82" t="b">
        <v>0</v>
      </c>
      <c r="F85" s="82" t="b">
        <v>0</v>
      </c>
      <c r="G85" s="82" t="b">
        <v>0</v>
      </c>
    </row>
    <row r="86" spans="1:7" ht="15">
      <c r="A86" s="84" t="s">
        <v>919</v>
      </c>
      <c r="B86" s="82">
        <v>4</v>
      </c>
      <c r="C86" s="105">
        <v>0.00493167382183526</v>
      </c>
      <c r="D86" s="82" t="s">
        <v>1224</v>
      </c>
      <c r="E86" s="82" t="b">
        <v>0</v>
      </c>
      <c r="F86" s="82" t="b">
        <v>0</v>
      </c>
      <c r="G86" s="82" t="b">
        <v>0</v>
      </c>
    </row>
    <row r="87" spans="1:7" ht="15">
      <c r="A87" s="84" t="s">
        <v>920</v>
      </c>
      <c r="B87" s="82">
        <v>4</v>
      </c>
      <c r="C87" s="105">
        <v>0.004628055992896499</v>
      </c>
      <c r="D87" s="82" t="s">
        <v>1224</v>
      </c>
      <c r="E87" s="82" t="b">
        <v>0</v>
      </c>
      <c r="F87" s="82" t="b">
        <v>0</v>
      </c>
      <c r="G87" s="82" t="b">
        <v>0</v>
      </c>
    </row>
    <row r="88" spans="1:7" ht="15">
      <c r="A88" s="84" t="s">
        <v>921</v>
      </c>
      <c r="B88" s="82">
        <v>4</v>
      </c>
      <c r="C88" s="105">
        <v>0.004628055992896499</v>
      </c>
      <c r="D88" s="82" t="s">
        <v>1224</v>
      </c>
      <c r="E88" s="82" t="b">
        <v>0</v>
      </c>
      <c r="F88" s="82" t="b">
        <v>0</v>
      </c>
      <c r="G88" s="82" t="b">
        <v>0</v>
      </c>
    </row>
    <row r="89" spans="1:7" ht="15">
      <c r="A89" s="84" t="s">
        <v>922</v>
      </c>
      <c r="B89" s="82">
        <v>4</v>
      </c>
      <c r="C89" s="105">
        <v>0.004628055992896499</v>
      </c>
      <c r="D89" s="82" t="s">
        <v>1224</v>
      </c>
      <c r="E89" s="82" t="b">
        <v>0</v>
      </c>
      <c r="F89" s="82" t="b">
        <v>0</v>
      </c>
      <c r="G89" s="82" t="b">
        <v>0</v>
      </c>
    </row>
    <row r="90" spans="1:7" ht="15">
      <c r="A90" s="84" t="s">
        <v>923</v>
      </c>
      <c r="B90" s="82">
        <v>4</v>
      </c>
      <c r="C90" s="105">
        <v>0.004628055992896499</v>
      </c>
      <c r="D90" s="82" t="s">
        <v>1224</v>
      </c>
      <c r="E90" s="82" t="b">
        <v>0</v>
      </c>
      <c r="F90" s="82" t="b">
        <v>0</v>
      </c>
      <c r="G90" s="82" t="b">
        <v>0</v>
      </c>
    </row>
    <row r="91" spans="1:7" ht="15">
      <c r="A91" s="84" t="s">
        <v>924</v>
      </c>
      <c r="B91" s="82">
        <v>4</v>
      </c>
      <c r="C91" s="105">
        <v>0.004628055992896499</v>
      </c>
      <c r="D91" s="82" t="s">
        <v>1224</v>
      </c>
      <c r="E91" s="82" t="b">
        <v>0</v>
      </c>
      <c r="F91" s="82" t="b">
        <v>0</v>
      </c>
      <c r="G91" s="82" t="b">
        <v>0</v>
      </c>
    </row>
    <row r="92" spans="1:7" ht="15">
      <c r="A92" s="84" t="s">
        <v>925</v>
      </c>
      <c r="B92" s="82">
        <v>4</v>
      </c>
      <c r="C92" s="105">
        <v>0.004628055992896499</v>
      </c>
      <c r="D92" s="82" t="s">
        <v>1224</v>
      </c>
      <c r="E92" s="82" t="b">
        <v>0</v>
      </c>
      <c r="F92" s="82" t="b">
        <v>0</v>
      </c>
      <c r="G92" s="82" t="b">
        <v>0</v>
      </c>
    </row>
    <row r="93" spans="1:7" ht="15">
      <c r="A93" s="84" t="s">
        <v>926</v>
      </c>
      <c r="B93" s="82">
        <v>4</v>
      </c>
      <c r="C93" s="105">
        <v>0.004628055992896499</v>
      </c>
      <c r="D93" s="82" t="s">
        <v>1224</v>
      </c>
      <c r="E93" s="82" t="b">
        <v>0</v>
      </c>
      <c r="F93" s="82" t="b">
        <v>0</v>
      </c>
      <c r="G93" s="82" t="b">
        <v>0</v>
      </c>
    </row>
    <row r="94" spans="1:7" ht="15">
      <c r="A94" s="84" t="s">
        <v>927</v>
      </c>
      <c r="B94" s="82">
        <v>4</v>
      </c>
      <c r="C94" s="105">
        <v>0.004628055992896499</v>
      </c>
      <c r="D94" s="82" t="s">
        <v>1224</v>
      </c>
      <c r="E94" s="82" t="b">
        <v>0</v>
      </c>
      <c r="F94" s="82" t="b">
        <v>0</v>
      </c>
      <c r="G94" s="82" t="b">
        <v>0</v>
      </c>
    </row>
    <row r="95" spans="1:7" ht="15">
      <c r="A95" s="84" t="s">
        <v>928</v>
      </c>
      <c r="B95" s="82">
        <v>4</v>
      </c>
      <c r="C95" s="105">
        <v>0.004628055992896499</v>
      </c>
      <c r="D95" s="82" t="s">
        <v>1224</v>
      </c>
      <c r="E95" s="82" t="b">
        <v>0</v>
      </c>
      <c r="F95" s="82" t="b">
        <v>0</v>
      </c>
      <c r="G95" s="82" t="b">
        <v>0</v>
      </c>
    </row>
    <row r="96" spans="1:7" ht="15">
      <c r="A96" s="84" t="s">
        <v>929</v>
      </c>
      <c r="B96" s="82">
        <v>4</v>
      </c>
      <c r="C96" s="105">
        <v>0.004628055992896499</v>
      </c>
      <c r="D96" s="82" t="s">
        <v>1224</v>
      </c>
      <c r="E96" s="82" t="b">
        <v>0</v>
      </c>
      <c r="F96" s="82" t="b">
        <v>0</v>
      </c>
      <c r="G96" s="82" t="b">
        <v>0</v>
      </c>
    </row>
    <row r="97" spans="1:7" ht="15">
      <c r="A97" s="84" t="s">
        <v>930</v>
      </c>
      <c r="B97" s="82">
        <v>4</v>
      </c>
      <c r="C97" s="105">
        <v>0.004628055992896499</v>
      </c>
      <c r="D97" s="82" t="s">
        <v>1224</v>
      </c>
      <c r="E97" s="82" t="b">
        <v>0</v>
      </c>
      <c r="F97" s="82" t="b">
        <v>0</v>
      </c>
      <c r="G97" s="82" t="b">
        <v>0</v>
      </c>
    </row>
    <row r="98" spans="1:7" ht="15">
      <c r="A98" s="84" t="s">
        <v>931</v>
      </c>
      <c r="B98" s="82">
        <v>4</v>
      </c>
      <c r="C98" s="105">
        <v>0.004628055992896499</v>
      </c>
      <c r="D98" s="82" t="s">
        <v>1224</v>
      </c>
      <c r="E98" s="82" t="b">
        <v>0</v>
      </c>
      <c r="F98" s="82" t="b">
        <v>0</v>
      </c>
      <c r="G98" s="82" t="b">
        <v>0</v>
      </c>
    </row>
    <row r="99" spans="1:7" ht="15">
      <c r="A99" s="84" t="s">
        <v>932</v>
      </c>
      <c r="B99" s="82">
        <v>4</v>
      </c>
      <c r="C99" s="105">
        <v>0.005359599117231812</v>
      </c>
      <c r="D99" s="82" t="s">
        <v>1224</v>
      </c>
      <c r="E99" s="82" t="b">
        <v>0</v>
      </c>
      <c r="F99" s="82" t="b">
        <v>0</v>
      </c>
      <c r="G99" s="82" t="b">
        <v>0</v>
      </c>
    </row>
    <row r="100" spans="1:7" ht="15">
      <c r="A100" s="84" t="s">
        <v>933</v>
      </c>
      <c r="B100" s="82">
        <v>4</v>
      </c>
      <c r="C100" s="105">
        <v>0.005359599117231812</v>
      </c>
      <c r="D100" s="82" t="s">
        <v>1224</v>
      </c>
      <c r="E100" s="82" t="b">
        <v>0</v>
      </c>
      <c r="F100" s="82" t="b">
        <v>0</v>
      </c>
      <c r="G100" s="82" t="b">
        <v>0</v>
      </c>
    </row>
    <row r="101" spans="1:7" ht="15">
      <c r="A101" s="84" t="s">
        <v>934</v>
      </c>
      <c r="B101" s="82">
        <v>4</v>
      </c>
      <c r="C101" s="105">
        <v>0.004628055992896499</v>
      </c>
      <c r="D101" s="82" t="s">
        <v>1224</v>
      </c>
      <c r="E101" s="82" t="b">
        <v>0</v>
      </c>
      <c r="F101" s="82" t="b">
        <v>0</v>
      </c>
      <c r="G101" s="82" t="b">
        <v>0</v>
      </c>
    </row>
    <row r="102" spans="1:7" ht="15">
      <c r="A102" s="84" t="s">
        <v>935</v>
      </c>
      <c r="B102" s="82">
        <v>4</v>
      </c>
      <c r="C102" s="105">
        <v>0.004628055992896499</v>
      </c>
      <c r="D102" s="82" t="s">
        <v>1224</v>
      </c>
      <c r="E102" s="82" t="b">
        <v>0</v>
      </c>
      <c r="F102" s="82" t="b">
        <v>0</v>
      </c>
      <c r="G102" s="82" t="b">
        <v>0</v>
      </c>
    </row>
    <row r="103" spans="1:7" ht="15">
      <c r="A103" s="84" t="s">
        <v>936</v>
      </c>
      <c r="B103" s="82">
        <v>4</v>
      </c>
      <c r="C103" s="105">
        <v>0.005359599117231812</v>
      </c>
      <c r="D103" s="82" t="s">
        <v>1224</v>
      </c>
      <c r="E103" s="82" t="b">
        <v>0</v>
      </c>
      <c r="F103" s="82" t="b">
        <v>0</v>
      </c>
      <c r="G103" s="82" t="b">
        <v>0</v>
      </c>
    </row>
    <row r="104" spans="1:7" ht="15">
      <c r="A104" s="84" t="s">
        <v>937</v>
      </c>
      <c r="B104" s="82">
        <v>4</v>
      </c>
      <c r="C104" s="105">
        <v>0.004628055992896499</v>
      </c>
      <c r="D104" s="82" t="s">
        <v>1224</v>
      </c>
      <c r="E104" s="82" t="b">
        <v>0</v>
      </c>
      <c r="F104" s="82" t="b">
        <v>0</v>
      </c>
      <c r="G104" s="82" t="b">
        <v>0</v>
      </c>
    </row>
    <row r="105" spans="1:7" ht="15">
      <c r="A105" s="84" t="s">
        <v>938</v>
      </c>
      <c r="B105" s="82">
        <v>4</v>
      </c>
      <c r="C105" s="105">
        <v>0.004628055992896499</v>
      </c>
      <c r="D105" s="82" t="s">
        <v>1224</v>
      </c>
      <c r="E105" s="82" t="b">
        <v>0</v>
      </c>
      <c r="F105" s="82" t="b">
        <v>0</v>
      </c>
      <c r="G105" s="82" t="b">
        <v>0</v>
      </c>
    </row>
    <row r="106" spans="1:7" ht="15">
      <c r="A106" s="84" t="s">
        <v>939</v>
      </c>
      <c r="B106" s="82">
        <v>4</v>
      </c>
      <c r="C106" s="105">
        <v>0.004628055992896499</v>
      </c>
      <c r="D106" s="82" t="s">
        <v>1224</v>
      </c>
      <c r="E106" s="82" t="b">
        <v>0</v>
      </c>
      <c r="F106" s="82" t="b">
        <v>1</v>
      </c>
      <c r="G106" s="82" t="b">
        <v>0</v>
      </c>
    </row>
    <row r="107" spans="1:7" ht="15">
      <c r="A107" s="84" t="s">
        <v>940</v>
      </c>
      <c r="B107" s="82">
        <v>4</v>
      </c>
      <c r="C107" s="105">
        <v>0.004628055992896499</v>
      </c>
      <c r="D107" s="82" t="s">
        <v>1224</v>
      </c>
      <c r="E107" s="82" t="b">
        <v>0</v>
      </c>
      <c r="F107" s="82" t="b">
        <v>1</v>
      </c>
      <c r="G107" s="82" t="b">
        <v>0</v>
      </c>
    </row>
    <row r="108" spans="1:7" ht="15">
      <c r="A108" s="84" t="s">
        <v>941</v>
      </c>
      <c r="B108" s="82">
        <v>4</v>
      </c>
      <c r="C108" s="105">
        <v>0.004628055992896499</v>
      </c>
      <c r="D108" s="82" t="s">
        <v>1224</v>
      </c>
      <c r="E108" s="82" t="b">
        <v>0</v>
      </c>
      <c r="F108" s="82" t="b">
        <v>0</v>
      </c>
      <c r="G108" s="82" t="b">
        <v>0</v>
      </c>
    </row>
    <row r="109" spans="1:7" ht="15">
      <c r="A109" s="84" t="s">
        <v>942</v>
      </c>
      <c r="B109" s="82">
        <v>4</v>
      </c>
      <c r="C109" s="105">
        <v>0.004628055992896499</v>
      </c>
      <c r="D109" s="82" t="s">
        <v>1224</v>
      </c>
      <c r="E109" s="82" t="b">
        <v>0</v>
      </c>
      <c r="F109" s="82" t="b">
        <v>1</v>
      </c>
      <c r="G109" s="82" t="b">
        <v>0</v>
      </c>
    </row>
    <row r="110" spans="1:7" ht="15">
      <c r="A110" s="84" t="s">
        <v>943</v>
      </c>
      <c r="B110" s="82">
        <v>4</v>
      </c>
      <c r="C110" s="105">
        <v>0.004628055992896499</v>
      </c>
      <c r="D110" s="82" t="s">
        <v>1224</v>
      </c>
      <c r="E110" s="82" t="b">
        <v>0</v>
      </c>
      <c r="F110" s="82" t="b">
        <v>0</v>
      </c>
      <c r="G110" s="82" t="b">
        <v>0</v>
      </c>
    </row>
    <row r="111" spans="1:7" ht="15">
      <c r="A111" s="84" t="s">
        <v>944</v>
      </c>
      <c r="B111" s="82">
        <v>4</v>
      </c>
      <c r="C111" s="105">
        <v>0.004628055992896499</v>
      </c>
      <c r="D111" s="82" t="s">
        <v>1224</v>
      </c>
      <c r="E111" s="82" t="b">
        <v>0</v>
      </c>
      <c r="F111" s="82" t="b">
        <v>0</v>
      </c>
      <c r="G111" s="82" t="b">
        <v>0</v>
      </c>
    </row>
    <row r="112" spans="1:7" ht="15">
      <c r="A112" s="84" t="s">
        <v>945</v>
      </c>
      <c r="B112" s="82">
        <v>4</v>
      </c>
      <c r="C112" s="105">
        <v>0.004628055992896499</v>
      </c>
      <c r="D112" s="82" t="s">
        <v>1224</v>
      </c>
      <c r="E112" s="82" t="b">
        <v>0</v>
      </c>
      <c r="F112" s="82" t="b">
        <v>0</v>
      </c>
      <c r="G112" s="82" t="b">
        <v>0</v>
      </c>
    </row>
    <row r="113" spans="1:7" ht="15">
      <c r="A113" s="84" t="s">
        <v>946</v>
      </c>
      <c r="B113" s="82">
        <v>3</v>
      </c>
      <c r="C113" s="105">
        <v>0.0036987553663764454</v>
      </c>
      <c r="D113" s="82" t="s">
        <v>1224</v>
      </c>
      <c r="E113" s="82" t="b">
        <v>0</v>
      </c>
      <c r="F113" s="82" t="b">
        <v>0</v>
      </c>
      <c r="G113" s="82" t="b">
        <v>0</v>
      </c>
    </row>
    <row r="114" spans="1:7" ht="15">
      <c r="A114" s="84" t="s">
        <v>947</v>
      </c>
      <c r="B114" s="82">
        <v>3</v>
      </c>
      <c r="C114" s="105">
        <v>0.0036987553663764454</v>
      </c>
      <c r="D114" s="82" t="s">
        <v>1224</v>
      </c>
      <c r="E114" s="82" t="b">
        <v>0</v>
      </c>
      <c r="F114" s="82" t="b">
        <v>0</v>
      </c>
      <c r="G114" s="82" t="b">
        <v>0</v>
      </c>
    </row>
    <row r="115" spans="1:7" ht="15">
      <c r="A115" s="84" t="s">
        <v>948</v>
      </c>
      <c r="B115" s="82">
        <v>3</v>
      </c>
      <c r="C115" s="105">
        <v>0.0045683566811753435</v>
      </c>
      <c r="D115" s="82" t="s">
        <v>1224</v>
      </c>
      <c r="E115" s="82" t="b">
        <v>0</v>
      </c>
      <c r="F115" s="82" t="b">
        <v>0</v>
      </c>
      <c r="G115" s="82" t="b">
        <v>0</v>
      </c>
    </row>
    <row r="116" spans="1:7" ht="15">
      <c r="A116" s="84" t="s">
        <v>949</v>
      </c>
      <c r="B116" s="82">
        <v>3</v>
      </c>
      <c r="C116" s="105">
        <v>0.0045683566811753435</v>
      </c>
      <c r="D116" s="82" t="s">
        <v>1224</v>
      </c>
      <c r="E116" s="82" t="b">
        <v>0</v>
      </c>
      <c r="F116" s="82" t="b">
        <v>0</v>
      </c>
      <c r="G116" s="82" t="b">
        <v>0</v>
      </c>
    </row>
    <row r="117" spans="1:7" ht="15">
      <c r="A117" s="84" t="s">
        <v>950</v>
      </c>
      <c r="B117" s="82">
        <v>3</v>
      </c>
      <c r="C117" s="105">
        <v>0.0045683566811753435</v>
      </c>
      <c r="D117" s="82" t="s">
        <v>1224</v>
      </c>
      <c r="E117" s="82" t="b">
        <v>0</v>
      </c>
      <c r="F117" s="82" t="b">
        <v>0</v>
      </c>
      <c r="G117" s="82" t="b">
        <v>0</v>
      </c>
    </row>
    <row r="118" spans="1:7" ht="15">
      <c r="A118" s="84" t="s">
        <v>951</v>
      </c>
      <c r="B118" s="82">
        <v>3</v>
      </c>
      <c r="C118" s="105">
        <v>0.0045683566811753435</v>
      </c>
      <c r="D118" s="82" t="s">
        <v>1224</v>
      </c>
      <c r="E118" s="82" t="b">
        <v>0</v>
      </c>
      <c r="F118" s="82" t="b">
        <v>0</v>
      </c>
      <c r="G118" s="82" t="b">
        <v>0</v>
      </c>
    </row>
    <row r="119" spans="1:7" ht="15">
      <c r="A119" s="84" t="s">
        <v>952</v>
      </c>
      <c r="B119" s="82">
        <v>3</v>
      </c>
      <c r="C119" s="105">
        <v>0.0045683566811753435</v>
      </c>
      <c r="D119" s="82" t="s">
        <v>1224</v>
      </c>
      <c r="E119" s="82" t="b">
        <v>0</v>
      </c>
      <c r="F119" s="82" t="b">
        <v>0</v>
      </c>
      <c r="G119" s="82" t="b">
        <v>0</v>
      </c>
    </row>
    <row r="120" spans="1:7" ht="15">
      <c r="A120" s="84" t="s">
        <v>953</v>
      </c>
      <c r="B120" s="82">
        <v>3</v>
      </c>
      <c r="C120" s="105">
        <v>0.0045683566811753435</v>
      </c>
      <c r="D120" s="82" t="s">
        <v>1224</v>
      </c>
      <c r="E120" s="82" t="b">
        <v>0</v>
      </c>
      <c r="F120" s="82" t="b">
        <v>0</v>
      </c>
      <c r="G120" s="82" t="b">
        <v>0</v>
      </c>
    </row>
    <row r="121" spans="1:7" ht="15">
      <c r="A121" s="84" t="s">
        <v>954</v>
      </c>
      <c r="B121" s="82">
        <v>3</v>
      </c>
      <c r="C121" s="105">
        <v>0.0045683566811753435</v>
      </c>
      <c r="D121" s="82" t="s">
        <v>1224</v>
      </c>
      <c r="E121" s="82" t="b">
        <v>0</v>
      </c>
      <c r="F121" s="82" t="b">
        <v>0</v>
      </c>
      <c r="G121" s="82" t="b">
        <v>0</v>
      </c>
    </row>
    <row r="122" spans="1:7" ht="15">
      <c r="A122" s="84" t="s">
        <v>955</v>
      </c>
      <c r="B122" s="82">
        <v>3</v>
      </c>
      <c r="C122" s="105">
        <v>0.0045683566811753435</v>
      </c>
      <c r="D122" s="82" t="s">
        <v>1224</v>
      </c>
      <c r="E122" s="82" t="b">
        <v>0</v>
      </c>
      <c r="F122" s="82" t="b">
        <v>0</v>
      </c>
      <c r="G122" s="82" t="b">
        <v>0</v>
      </c>
    </row>
    <row r="123" spans="1:7" ht="15">
      <c r="A123" s="84" t="s">
        <v>956</v>
      </c>
      <c r="B123" s="82">
        <v>3</v>
      </c>
      <c r="C123" s="105">
        <v>0.0045683566811753435</v>
      </c>
      <c r="D123" s="82" t="s">
        <v>1224</v>
      </c>
      <c r="E123" s="82" t="b">
        <v>0</v>
      </c>
      <c r="F123" s="82" t="b">
        <v>0</v>
      </c>
      <c r="G123" s="82" t="b">
        <v>0</v>
      </c>
    </row>
    <row r="124" spans="1:7" ht="15">
      <c r="A124" s="84" t="s">
        <v>957</v>
      </c>
      <c r="B124" s="82">
        <v>3</v>
      </c>
      <c r="C124" s="105">
        <v>0.0045683566811753435</v>
      </c>
      <c r="D124" s="82" t="s">
        <v>1224</v>
      </c>
      <c r="E124" s="82" t="b">
        <v>0</v>
      </c>
      <c r="F124" s="82" t="b">
        <v>0</v>
      </c>
      <c r="G124" s="82" t="b">
        <v>0</v>
      </c>
    </row>
    <row r="125" spans="1:7" ht="15">
      <c r="A125" s="84" t="s">
        <v>958</v>
      </c>
      <c r="B125" s="82">
        <v>3</v>
      </c>
      <c r="C125" s="105">
        <v>0.0045683566811753435</v>
      </c>
      <c r="D125" s="82" t="s">
        <v>1224</v>
      </c>
      <c r="E125" s="82" t="b">
        <v>0</v>
      </c>
      <c r="F125" s="82" t="b">
        <v>0</v>
      </c>
      <c r="G125" s="82" t="b">
        <v>0</v>
      </c>
    </row>
    <row r="126" spans="1:7" ht="15">
      <c r="A126" s="84" t="s">
        <v>959</v>
      </c>
      <c r="B126" s="82">
        <v>3</v>
      </c>
      <c r="C126" s="105">
        <v>0.0036987553663764454</v>
      </c>
      <c r="D126" s="82" t="s">
        <v>1224</v>
      </c>
      <c r="E126" s="82" t="b">
        <v>0</v>
      </c>
      <c r="F126" s="82" t="b">
        <v>0</v>
      </c>
      <c r="G126" s="82" t="b">
        <v>0</v>
      </c>
    </row>
    <row r="127" spans="1:7" ht="15">
      <c r="A127" s="84" t="s">
        <v>960</v>
      </c>
      <c r="B127" s="82">
        <v>3</v>
      </c>
      <c r="C127" s="105">
        <v>0.0036987553663764454</v>
      </c>
      <c r="D127" s="82" t="s">
        <v>1224</v>
      </c>
      <c r="E127" s="82" t="b">
        <v>0</v>
      </c>
      <c r="F127" s="82" t="b">
        <v>0</v>
      </c>
      <c r="G127" s="82" t="b">
        <v>0</v>
      </c>
    </row>
    <row r="128" spans="1:7" ht="15">
      <c r="A128" s="84" t="s">
        <v>961</v>
      </c>
      <c r="B128" s="82">
        <v>3</v>
      </c>
      <c r="C128" s="105">
        <v>0.0036987553663764454</v>
      </c>
      <c r="D128" s="82" t="s">
        <v>1224</v>
      </c>
      <c r="E128" s="82" t="b">
        <v>1</v>
      </c>
      <c r="F128" s="82" t="b">
        <v>0</v>
      </c>
      <c r="G128" s="82" t="b">
        <v>0</v>
      </c>
    </row>
    <row r="129" spans="1:7" ht="15">
      <c r="A129" s="84" t="s">
        <v>962</v>
      </c>
      <c r="B129" s="82">
        <v>3</v>
      </c>
      <c r="C129" s="105">
        <v>0.0036987553663764454</v>
      </c>
      <c r="D129" s="82" t="s">
        <v>1224</v>
      </c>
      <c r="E129" s="82" t="b">
        <v>0</v>
      </c>
      <c r="F129" s="82" t="b">
        <v>0</v>
      </c>
      <c r="G129" s="82" t="b">
        <v>0</v>
      </c>
    </row>
    <row r="130" spans="1:7" ht="15">
      <c r="A130" s="84" t="s">
        <v>963</v>
      </c>
      <c r="B130" s="82">
        <v>3</v>
      </c>
      <c r="C130" s="105">
        <v>0.0036987553663764454</v>
      </c>
      <c r="D130" s="82" t="s">
        <v>1224</v>
      </c>
      <c r="E130" s="82" t="b">
        <v>0</v>
      </c>
      <c r="F130" s="82" t="b">
        <v>0</v>
      </c>
      <c r="G130" s="82" t="b">
        <v>0</v>
      </c>
    </row>
    <row r="131" spans="1:7" ht="15">
      <c r="A131" s="84" t="s">
        <v>964</v>
      </c>
      <c r="B131" s="82">
        <v>3</v>
      </c>
      <c r="C131" s="105">
        <v>0.0036987553663764454</v>
      </c>
      <c r="D131" s="82" t="s">
        <v>1224</v>
      </c>
      <c r="E131" s="82" t="b">
        <v>0</v>
      </c>
      <c r="F131" s="82" t="b">
        <v>0</v>
      </c>
      <c r="G131" s="82" t="b">
        <v>0</v>
      </c>
    </row>
    <row r="132" spans="1:7" ht="15">
      <c r="A132" s="84" t="s">
        <v>965</v>
      </c>
      <c r="B132" s="82">
        <v>3</v>
      </c>
      <c r="C132" s="105">
        <v>0.0036987553663764454</v>
      </c>
      <c r="D132" s="82" t="s">
        <v>1224</v>
      </c>
      <c r="E132" s="82" t="b">
        <v>0</v>
      </c>
      <c r="F132" s="82" t="b">
        <v>0</v>
      </c>
      <c r="G132" s="82" t="b">
        <v>0</v>
      </c>
    </row>
    <row r="133" spans="1:7" ht="15">
      <c r="A133" s="84" t="s">
        <v>966</v>
      </c>
      <c r="B133" s="82">
        <v>3</v>
      </c>
      <c r="C133" s="105">
        <v>0.0036987553663764454</v>
      </c>
      <c r="D133" s="82" t="s">
        <v>1224</v>
      </c>
      <c r="E133" s="82" t="b">
        <v>0</v>
      </c>
      <c r="F133" s="82" t="b">
        <v>0</v>
      </c>
      <c r="G133" s="82" t="b">
        <v>0</v>
      </c>
    </row>
    <row r="134" spans="1:7" ht="15">
      <c r="A134" s="84" t="s">
        <v>967</v>
      </c>
      <c r="B134" s="82">
        <v>3</v>
      </c>
      <c r="C134" s="105">
        <v>0.0036987553663764454</v>
      </c>
      <c r="D134" s="82" t="s">
        <v>1224</v>
      </c>
      <c r="E134" s="82" t="b">
        <v>0</v>
      </c>
      <c r="F134" s="82" t="b">
        <v>0</v>
      </c>
      <c r="G134" s="82" t="b">
        <v>0</v>
      </c>
    </row>
    <row r="135" spans="1:7" ht="15">
      <c r="A135" s="84" t="s">
        <v>968</v>
      </c>
      <c r="B135" s="82">
        <v>3</v>
      </c>
      <c r="C135" s="105">
        <v>0.0036987553663764454</v>
      </c>
      <c r="D135" s="82" t="s">
        <v>1224</v>
      </c>
      <c r="E135" s="82" t="b">
        <v>0</v>
      </c>
      <c r="F135" s="82" t="b">
        <v>0</v>
      </c>
      <c r="G135" s="82" t="b">
        <v>0</v>
      </c>
    </row>
    <row r="136" spans="1:7" ht="15">
      <c r="A136" s="84" t="s">
        <v>969</v>
      </c>
      <c r="B136" s="82">
        <v>3</v>
      </c>
      <c r="C136" s="105">
        <v>0.0045683566811753435</v>
      </c>
      <c r="D136" s="82" t="s">
        <v>1224</v>
      </c>
      <c r="E136" s="82" t="b">
        <v>0</v>
      </c>
      <c r="F136" s="82" t="b">
        <v>0</v>
      </c>
      <c r="G136" s="82" t="b">
        <v>0</v>
      </c>
    </row>
    <row r="137" spans="1:7" ht="15">
      <c r="A137" s="84" t="s">
        <v>970</v>
      </c>
      <c r="B137" s="82">
        <v>3</v>
      </c>
      <c r="C137" s="105">
        <v>0.0045683566811753435</v>
      </c>
      <c r="D137" s="82" t="s">
        <v>1224</v>
      </c>
      <c r="E137" s="82" t="b">
        <v>0</v>
      </c>
      <c r="F137" s="82" t="b">
        <v>0</v>
      </c>
      <c r="G137" s="82" t="b">
        <v>0</v>
      </c>
    </row>
    <row r="138" spans="1:7" ht="15">
      <c r="A138" s="84" t="s">
        <v>971</v>
      </c>
      <c r="B138" s="82">
        <v>3</v>
      </c>
      <c r="C138" s="105">
        <v>0.0045683566811753435</v>
      </c>
      <c r="D138" s="82" t="s">
        <v>1224</v>
      </c>
      <c r="E138" s="82" t="b">
        <v>0</v>
      </c>
      <c r="F138" s="82" t="b">
        <v>0</v>
      </c>
      <c r="G138" s="82" t="b">
        <v>0</v>
      </c>
    </row>
    <row r="139" spans="1:7" ht="15">
      <c r="A139" s="84" t="s">
        <v>972</v>
      </c>
      <c r="B139" s="82">
        <v>3</v>
      </c>
      <c r="C139" s="105">
        <v>0.0045683566811753435</v>
      </c>
      <c r="D139" s="82" t="s">
        <v>1224</v>
      </c>
      <c r="E139" s="82" t="b">
        <v>0</v>
      </c>
      <c r="F139" s="82" t="b">
        <v>0</v>
      </c>
      <c r="G139" s="82" t="b">
        <v>0</v>
      </c>
    </row>
    <row r="140" spans="1:7" ht="15">
      <c r="A140" s="84" t="s">
        <v>973</v>
      </c>
      <c r="B140" s="82">
        <v>3</v>
      </c>
      <c r="C140" s="105">
        <v>0.0045683566811753435</v>
      </c>
      <c r="D140" s="82" t="s">
        <v>1224</v>
      </c>
      <c r="E140" s="82" t="b">
        <v>0</v>
      </c>
      <c r="F140" s="82" t="b">
        <v>0</v>
      </c>
      <c r="G140" s="82" t="b">
        <v>0</v>
      </c>
    </row>
    <row r="141" spans="1:7" ht="15">
      <c r="A141" s="84" t="s">
        <v>974</v>
      </c>
      <c r="B141" s="82">
        <v>3</v>
      </c>
      <c r="C141" s="105">
        <v>0.0036987553663764454</v>
      </c>
      <c r="D141" s="82" t="s">
        <v>1224</v>
      </c>
      <c r="E141" s="82" t="b">
        <v>0</v>
      </c>
      <c r="F141" s="82" t="b">
        <v>0</v>
      </c>
      <c r="G141" s="82" t="b">
        <v>0</v>
      </c>
    </row>
    <row r="142" spans="1:7" ht="15">
      <c r="A142" s="84" t="s">
        <v>975</v>
      </c>
      <c r="B142" s="82">
        <v>3</v>
      </c>
      <c r="C142" s="105">
        <v>0.0036987553663764454</v>
      </c>
      <c r="D142" s="82" t="s">
        <v>1224</v>
      </c>
      <c r="E142" s="82" t="b">
        <v>0</v>
      </c>
      <c r="F142" s="82" t="b">
        <v>0</v>
      </c>
      <c r="G142" s="82" t="b">
        <v>0</v>
      </c>
    </row>
    <row r="143" spans="1:7" ht="15">
      <c r="A143" s="84" t="s">
        <v>976</v>
      </c>
      <c r="B143" s="82">
        <v>3</v>
      </c>
      <c r="C143" s="105">
        <v>0.0036987553663764454</v>
      </c>
      <c r="D143" s="82" t="s">
        <v>1224</v>
      </c>
      <c r="E143" s="82" t="b">
        <v>0</v>
      </c>
      <c r="F143" s="82" t="b">
        <v>0</v>
      </c>
      <c r="G143" s="82" t="b">
        <v>0</v>
      </c>
    </row>
    <row r="144" spans="1:7" ht="15">
      <c r="A144" s="84" t="s">
        <v>977</v>
      </c>
      <c r="B144" s="82">
        <v>3</v>
      </c>
      <c r="C144" s="105">
        <v>0.0036987553663764454</v>
      </c>
      <c r="D144" s="82" t="s">
        <v>1224</v>
      </c>
      <c r="E144" s="82" t="b">
        <v>0</v>
      </c>
      <c r="F144" s="82" t="b">
        <v>0</v>
      </c>
      <c r="G144" s="82" t="b">
        <v>0</v>
      </c>
    </row>
    <row r="145" spans="1:7" ht="15">
      <c r="A145" s="84" t="s">
        <v>978</v>
      </c>
      <c r="B145" s="82">
        <v>3</v>
      </c>
      <c r="C145" s="105">
        <v>0.0036987553663764454</v>
      </c>
      <c r="D145" s="82" t="s">
        <v>1224</v>
      </c>
      <c r="E145" s="82" t="b">
        <v>0</v>
      </c>
      <c r="F145" s="82" t="b">
        <v>0</v>
      </c>
      <c r="G145" s="82" t="b">
        <v>0</v>
      </c>
    </row>
    <row r="146" spans="1:7" ht="15">
      <c r="A146" s="84" t="s">
        <v>979</v>
      </c>
      <c r="B146" s="82">
        <v>3</v>
      </c>
      <c r="C146" s="105">
        <v>0.0036987553663764454</v>
      </c>
      <c r="D146" s="82" t="s">
        <v>1224</v>
      </c>
      <c r="E146" s="82" t="b">
        <v>0</v>
      </c>
      <c r="F146" s="82" t="b">
        <v>0</v>
      </c>
      <c r="G146" s="82" t="b">
        <v>0</v>
      </c>
    </row>
    <row r="147" spans="1:7" ht="15">
      <c r="A147" s="84" t="s">
        <v>980</v>
      </c>
      <c r="B147" s="82">
        <v>3</v>
      </c>
      <c r="C147" s="105">
        <v>0.0045683566811753435</v>
      </c>
      <c r="D147" s="82" t="s">
        <v>1224</v>
      </c>
      <c r="E147" s="82" t="b">
        <v>0</v>
      </c>
      <c r="F147" s="82" t="b">
        <v>0</v>
      </c>
      <c r="G147" s="82" t="b">
        <v>0</v>
      </c>
    </row>
    <row r="148" spans="1:7" ht="15">
      <c r="A148" s="84" t="s">
        <v>981</v>
      </c>
      <c r="B148" s="82">
        <v>3</v>
      </c>
      <c r="C148" s="105">
        <v>0.0045683566811753435</v>
      </c>
      <c r="D148" s="82" t="s">
        <v>1224</v>
      </c>
      <c r="E148" s="82" t="b">
        <v>0</v>
      </c>
      <c r="F148" s="82" t="b">
        <v>0</v>
      </c>
      <c r="G148" s="82" t="b">
        <v>0</v>
      </c>
    </row>
    <row r="149" spans="1:7" ht="15">
      <c r="A149" s="84" t="s">
        <v>982</v>
      </c>
      <c r="B149" s="82">
        <v>3</v>
      </c>
      <c r="C149" s="105">
        <v>0.00401969933792386</v>
      </c>
      <c r="D149" s="82" t="s">
        <v>1224</v>
      </c>
      <c r="E149" s="82" t="b">
        <v>0</v>
      </c>
      <c r="F149" s="82" t="b">
        <v>0</v>
      </c>
      <c r="G149" s="82" t="b">
        <v>0</v>
      </c>
    </row>
    <row r="150" spans="1:7" ht="15">
      <c r="A150" s="84" t="s">
        <v>983</v>
      </c>
      <c r="B150" s="82">
        <v>3</v>
      </c>
      <c r="C150" s="105">
        <v>0.0036987553663764454</v>
      </c>
      <c r="D150" s="82" t="s">
        <v>1224</v>
      </c>
      <c r="E150" s="82" t="b">
        <v>0</v>
      </c>
      <c r="F150" s="82" t="b">
        <v>0</v>
      </c>
      <c r="G150" s="82" t="b">
        <v>0</v>
      </c>
    </row>
    <row r="151" spans="1:7" ht="15">
      <c r="A151" s="84" t="s">
        <v>984</v>
      </c>
      <c r="B151" s="82">
        <v>3</v>
      </c>
      <c r="C151" s="105">
        <v>0.0036987553663764454</v>
      </c>
      <c r="D151" s="82" t="s">
        <v>1224</v>
      </c>
      <c r="E151" s="82" t="b">
        <v>0</v>
      </c>
      <c r="F151" s="82" t="b">
        <v>0</v>
      </c>
      <c r="G151" s="82" t="b">
        <v>0</v>
      </c>
    </row>
    <row r="152" spans="1:7" ht="15">
      <c r="A152" s="84" t="s">
        <v>985</v>
      </c>
      <c r="B152" s="82">
        <v>3</v>
      </c>
      <c r="C152" s="105">
        <v>0.0036987553663764454</v>
      </c>
      <c r="D152" s="82" t="s">
        <v>1224</v>
      </c>
      <c r="E152" s="82" t="b">
        <v>0</v>
      </c>
      <c r="F152" s="82" t="b">
        <v>1</v>
      </c>
      <c r="G152" s="82" t="b">
        <v>0</v>
      </c>
    </row>
    <row r="153" spans="1:7" ht="15">
      <c r="A153" s="84" t="s">
        <v>986</v>
      </c>
      <c r="B153" s="82">
        <v>3</v>
      </c>
      <c r="C153" s="105">
        <v>0.0036987553663764454</v>
      </c>
      <c r="D153" s="82" t="s">
        <v>1224</v>
      </c>
      <c r="E153" s="82" t="b">
        <v>0</v>
      </c>
      <c r="F153" s="82" t="b">
        <v>0</v>
      </c>
      <c r="G153" s="82" t="b">
        <v>0</v>
      </c>
    </row>
    <row r="154" spans="1:7" ht="15">
      <c r="A154" s="84" t="s">
        <v>987</v>
      </c>
      <c r="B154" s="82">
        <v>3</v>
      </c>
      <c r="C154" s="105">
        <v>0.0036987553663764454</v>
      </c>
      <c r="D154" s="82" t="s">
        <v>1224</v>
      </c>
      <c r="E154" s="82" t="b">
        <v>0</v>
      </c>
      <c r="F154" s="82" t="b">
        <v>1</v>
      </c>
      <c r="G154" s="82" t="b">
        <v>0</v>
      </c>
    </row>
    <row r="155" spans="1:7" ht="15">
      <c r="A155" s="84" t="s">
        <v>988</v>
      </c>
      <c r="B155" s="82">
        <v>3</v>
      </c>
      <c r="C155" s="105">
        <v>0.0036987553663764454</v>
      </c>
      <c r="D155" s="82" t="s">
        <v>1224</v>
      </c>
      <c r="E155" s="82" t="b">
        <v>0</v>
      </c>
      <c r="F155" s="82" t="b">
        <v>0</v>
      </c>
      <c r="G155" s="82" t="b">
        <v>0</v>
      </c>
    </row>
    <row r="156" spans="1:7" ht="15">
      <c r="A156" s="84" t="s">
        <v>989</v>
      </c>
      <c r="B156" s="82">
        <v>3</v>
      </c>
      <c r="C156" s="105">
        <v>0.0036987553663764454</v>
      </c>
      <c r="D156" s="82" t="s">
        <v>1224</v>
      </c>
      <c r="E156" s="82" t="b">
        <v>0</v>
      </c>
      <c r="F156" s="82" t="b">
        <v>0</v>
      </c>
      <c r="G156" s="82" t="b">
        <v>0</v>
      </c>
    </row>
    <row r="157" spans="1:7" ht="15">
      <c r="A157" s="84" t="s">
        <v>990</v>
      </c>
      <c r="B157" s="82">
        <v>3</v>
      </c>
      <c r="C157" s="105">
        <v>0.0036987553663764454</v>
      </c>
      <c r="D157" s="82" t="s">
        <v>1224</v>
      </c>
      <c r="E157" s="82" t="b">
        <v>0</v>
      </c>
      <c r="F157" s="82" t="b">
        <v>0</v>
      </c>
      <c r="G157" s="82" t="b">
        <v>0</v>
      </c>
    </row>
    <row r="158" spans="1:7" ht="15">
      <c r="A158" s="84" t="s">
        <v>991</v>
      </c>
      <c r="B158" s="82">
        <v>3</v>
      </c>
      <c r="C158" s="105">
        <v>0.0036987553663764454</v>
      </c>
      <c r="D158" s="82" t="s">
        <v>1224</v>
      </c>
      <c r="E158" s="82" t="b">
        <v>0</v>
      </c>
      <c r="F158" s="82" t="b">
        <v>0</v>
      </c>
      <c r="G158" s="82" t="b">
        <v>0</v>
      </c>
    </row>
    <row r="159" spans="1:7" ht="15">
      <c r="A159" s="84" t="s">
        <v>992</v>
      </c>
      <c r="B159" s="82">
        <v>3</v>
      </c>
      <c r="C159" s="105">
        <v>0.0045683566811753435</v>
      </c>
      <c r="D159" s="82" t="s">
        <v>1224</v>
      </c>
      <c r="E159" s="82" t="b">
        <v>0</v>
      </c>
      <c r="F159" s="82" t="b">
        <v>0</v>
      </c>
      <c r="G159" s="82" t="b">
        <v>0</v>
      </c>
    </row>
    <row r="160" spans="1:7" ht="15">
      <c r="A160" s="84" t="s">
        <v>993</v>
      </c>
      <c r="B160" s="82">
        <v>3</v>
      </c>
      <c r="C160" s="105">
        <v>0.0045683566811753435</v>
      </c>
      <c r="D160" s="82" t="s">
        <v>1224</v>
      </c>
      <c r="E160" s="82" t="b">
        <v>0</v>
      </c>
      <c r="F160" s="82" t="b">
        <v>0</v>
      </c>
      <c r="G160" s="82" t="b">
        <v>0</v>
      </c>
    </row>
    <row r="161" spans="1:7" ht="15">
      <c r="A161" s="84" t="s">
        <v>994</v>
      </c>
      <c r="B161" s="82">
        <v>3</v>
      </c>
      <c r="C161" s="105">
        <v>0.0045683566811753435</v>
      </c>
      <c r="D161" s="82" t="s">
        <v>1224</v>
      </c>
      <c r="E161" s="82" t="b">
        <v>0</v>
      </c>
      <c r="F161" s="82" t="b">
        <v>0</v>
      </c>
      <c r="G161" s="82" t="b">
        <v>0</v>
      </c>
    </row>
    <row r="162" spans="1:7" ht="15">
      <c r="A162" s="84" t="s">
        <v>995</v>
      </c>
      <c r="B162" s="82">
        <v>3</v>
      </c>
      <c r="C162" s="105">
        <v>0.0036987553663764454</v>
      </c>
      <c r="D162" s="82" t="s">
        <v>1224</v>
      </c>
      <c r="E162" s="82" t="b">
        <v>0</v>
      </c>
      <c r="F162" s="82" t="b">
        <v>0</v>
      </c>
      <c r="G162" s="82" t="b">
        <v>0</v>
      </c>
    </row>
    <row r="163" spans="1:7" ht="15">
      <c r="A163" s="84" t="s">
        <v>996</v>
      </c>
      <c r="B163" s="82">
        <v>3</v>
      </c>
      <c r="C163" s="105">
        <v>0.0045683566811753435</v>
      </c>
      <c r="D163" s="82" t="s">
        <v>1224</v>
      </c>
      <c r="E163" s="82" t="b">
        <v>0</v>
      </c>
      <c r="F163" s="82" t="b">
        <v>0</v>
      </c>
      <c r="G163" s="82" t="b">
        <v>0</v>
      </c>
    </row>
    <row r="164" spans="1:7" ht="15">
      <c r="A164" s="84" t="s">
        <v>997</v>
      </c>
      <c r="B164" s="82">
        <v>3</v>
      </c>
      <c r="C164" s="105">
        <v>0.0045683566811753435</v>
      </c>
      <c r="D164" s="82" t="s">
        <v>1224</v>
      </c>
      <c r="E164" s="82" t="b">
        <v>0</v>
      </c>
      <c r="F164" s="82" t="b">
        <v>0</v>
      </c>
      <c r="G164" s="82" t="b">
        <v>0</v>
      </c>
    </row>
    <row r="165" spans="1:7" ht="15">
      <c r="A165" s="84" t="s">
        <v>998</v>
      </c>
      <c r="B165" s="82">
        <v>3</v>
      </c>
      <c r="C165" s="105">
        <v>0.0045683566811753435</v>
      </c>
      <c r="D165" s="82" t="s">
        <v>1224</v>
      </c>
      <c r="E165" s="82" t="b">
        <v>0</v>
      </c>
      <c r="F165" s="82" t="b">
        <v>0</v>
      </c>
      <c r="G165" s="82" t="b">
        <v>0</v>
      </c>
    </row>
    <row r="166" spans="1:7" ht="15">
      <c r="A166" s="84" t="s">
        <v>999</v>
      </c>
      <c r="B166" s="82">
        <v>3</v>
      </c>
      <c r="C166" s="105">
        <v>0.0045683566811753435</v>
      </c>
      <c r="D166" s="82" t="s">
        <v>1224</v>
      </c>
      <c r="E166" s="82" t="b">
        <v>0</v>
      </c>
      <c r="F166" s="82" t="b">
        <v>0</v>
      </c>
      <c r="G166" s="82" t="b">
        <v>0</v>
      </c>
    </row>
    <row r="167" spans="1:7" ht="15">
      <c r="A167" s="84" t="s">
        <v>1000</v>
      </c>
      <c r="B167" s="82">
        <v>3</v>
      </c>
      <c r="C167" s="105">
        <v>0.0045683566811753435</v>
      </c>
      <c r="D167" s="82" t="s">
        <v>1224</v>
      </c>
      <c r="E167" s="82" t="b">
        <v>0</v>
      </c>
      <c r="F167" s="82" t="b">
        <v>0</v>
      </c>
      <c r="G167" s="82" t="b">
        <v>0</v>
      </c>
    </row>
    <row r="168" spans="1:7" ht="15">
      <c r="A168" s="84" t="s">
        <v>1001</v>
      </c>
      <c r="B168" s="82">
        <v>3</v>
      </c>
      <c r="C168" s="105">
        <v>0.0045683566811753435</v>
      </c>
      <c r="D168" s="82" t="s">
        <v>1224</v>
      </c>
      <c r="E168" s="82" t="b">
        <v>0</v>
      </c>
      <c r="F168" s="82" t="b">
        <v>0</v>
      </c>
      <c r="G168" s="82" t="b">
        <v>0</v>
      </c>
    </row>
    <row r="169" spans="1:7" ht="15">
      <c r="A169" s="84" t="s">
        <v>1002</v>
      </c>
      <c r="B169" s="82">
        <v>3</v>
      </c>
      <c r="C169" s="105">
        <v>0.0045683566811753435</v>
      </c>
      <c r="D169" s="82" t="s">
        <v>1224</v>
      </c>
      <c r="E169" s="82" t="b">
        <v>0</v>
      </c>
      <c r="F169" s="82" t="b">
        <v>0</v>
      </c>
      <c r="G169" s="82" t="b">
        <v>0</v>
      </c>
    </row>
    <row r="170" spans="1:7" ht="15">
      <c r="A170" s="84" t="s">
        <v>1003</v>
      </c>
      <c r="B170" s="82">
        <v>3</v>
      </c>
      <c r="C170" s="105">
        <v>0.0045683566811753435</v>
      </c>
      <c r="D170" s="82" t="s">
        <v>1224</v>
      </c>
      <c r="E170" s="82" t="b">
        <v>0</v>
      </c>
      <c r="F170" s="82" t="b">
        <v>0</v>
      </c>
      <c r="G170" s="82" t="b">
        <v>0</v>
      </c>
    </row>
    <row r="171" spans="1:7" ht="15">
      <c r="A171" s="84" t="s">
        <v>1004</v>
      </c>
      <c r="B171" s="82">
        <v>3</v>
      </c>
      <c r="C171" s="105">
        <v>0.0045683566811753435</v>
      </c>
      <c r="D171" s="82" t="s">
        <v>1224</v>
      </c>
      <c r="E171" s="82" t="b">
        <v>0</v>
      </c>
      <c r="F171" s="82" t="b">
        <v>0</v>
      </c>
      <c r="G171" s="82" t="b">
        <v>0</v>
      </c>
    </row>
    <row r="172" spans="1:7" ht="15">
      <c r="A172" s="84" t="s">
        <v>1005</v>
      </c>
      <c r="B172" s="82">
        <v>3</v>
      </c>
      <c r="C172" s="105">
        <v>0.0036987553663764454</v>
      </c>
      <c r="D172" s="82" t="s">
        <v>1224</v>
      </c>
      <c r="E172" s="82" t="b">
        <v>0</v>
      </c>
      <c r="F172" s="82" t="b">
        <v>0</v>
      </c>
      <c r="G172" s="82" t="b">
        <v>0</v>
      </c>
    </row>
    <row r="173" spans="1:7" ht="15">
      <c r="A173" s="84" t="s">
        <v>1006</v>
      </c>
      <c r="B173" s="82">
        <v>3</v>
      </c>
      <c r="C173" s="105">
        <v>0.0036987553663764454</v>
      </c>
      <c r="D173" s="82" t="s">
        <v>1224</v>
      </c>
      <c r="E173" s="82" t="b">
        <v>0</v>
      </c>
      <c r="F173" s="82" t="b">
        <v>0</v>
      </c>
      <c r="G173" s="82" t="b">
        <v>0</v>
      </c>
    </row>
    <row r="174" spans="1:7" ht="15">
      <c r="A174" s="84" t="s">
        <v>1007</v>
      </c>
      <c r="B174" s="82">
        <v>3</v>
      </c>
      <c r="C174" s="105">
        <v>0.0036987553663764454</v>
      </c>
      <c r="D174" s="82" t="s">
        <v>1224</v>
      </c>
      <c r="E174" s="82" t="b">
        <v>0</v>
      </c>
      <c r="F174" s="82" t="b">
        <v>0</v>
      </c>
      <c r="G174" s="82" t="b">
        <v>0</v>
      </c>
    </row>
    <row r="175" spans="1:7" ht="15">
      <c r="A175" s="84" t="s">
        <v>1008</v>
      </c>
      <c r="B175" s="82">
        <v>3</v>
      </c>
      <c r="C175" s="105">
        <v>0.0036987553663764454</v>
      </c>
      <c r="D175" s="82" t="s">
        <v>1224</v>
      </c>
      <c r="E175" s="82" t="b">
        <v>0</v>
      </c>
      <c r="F175" s="82" t="b">
        <v>0</v>
      </c>
      <c r="G175" s="82" t="b">
        <v>0</v>
      </c>
    </row>
    <row r="176" spans="1:7" ht="15">
      <c r="A176" s="84" t="s">
        <v>1009</v>
      </c>
      <c r="B176" s="82">
        <v>3</v>
      </c>
      <c r="C176" s="105">
        <v>0.0036987553663764454</v>
      </c>
      <c r="D176" s="82" t="s">
        <v>1224</v>
      </c>
      <c r="E176" s="82" t="b">
        <v>0</v>
      </c>
      <c r="F176" s="82" t="b">
        <v>0</v>
      </c>
      <c r="G176" s="82" t="b">
        <v>0</v>
      </c>
    </row>
    <row r="177" spans="1:7" ht="15">
      <c r="A177" s="84" t="s">
        <v>1010</v>
      </c>
      <c r="B177" s="82">
        <v>3</v>
      </c>
      <c r="C177" s="105">
        <v>0.0036987553663764454</v>
      </c>
      <c r="D177" s="82" t="s">
        <v>1224</v>
      </c>
      <c r="E177" s="82" t="b">
        <v>0</v>
      </c>
      <c r="F177" s="82" t="b">
        <v>0</v>
      </c>
      <c r="G177" s="82" t="b">
        <v>0</v>
      </c>
    </row>
    <row r="178" spans="1:7" ht="15">
      <c r="A178" s="84" t="s">
        <v>1011</v>
      </c>
      <c r="B178" s="82">
        <v>3</v>
      </c>
      <c r="C178" s="105">
        <v>0.0036987553663764454</v>
      </c>
      <c r="D178" s="82" t="s">
        <v>1224</v>
      </c>
      <c r="E178" s="82" t="b">
        <v>0</v>
      </c>
      <c r="F178" s="82" t="b">
        <v>0</v>
      </c>
      <c r="G178" s="82" t="b">
        <v>0</v>
      </c>
    </row>
    <row r="179" spans="1:7" ht="15">
      <c r="A179" s="84" t="s">
        <v>1012</v>
      </c>
      <c r="B179" s="82">
        <v>3</v>
      </c>
      <c r="C179" s="105">
        <v>0.0036987553663764454</v>
      </c>
      <c r="D179" s="82" t="s">
        <v>1224</v>
      </c>
      <c r="E179" s="82" t="b">
        <v>0</v>
      </c>
      <c r="F179" s="82" t="b">
        <v>0</v>
      </c>
      <c r="G179" s="82" t="b">
        <v>0</v>
      </c>
    </row>
    <row r="180" spans="1:7" ht="15">
      <c r="A180" s="84" t="s">
        <v>1013</v>
      </c>
      <c r="B180" s="82">
        <v>3</v>
      </c>
      <c r="C180" s="105">
        <v>0.0036987553663764454</v>
      </c>
      <c r="D180" s="82" t="s">
        <v>1224</v>
      </c>
      <c r="E180" s="82" t="b">
        <v>0</v>
      </c>
      <c r="F180" s="82" t="b">
        <v>1</v>
      </c>
      <c r="G180" s="82" t="b">
        <v>0</v>
      </c>
    </row>
    <row r="181" spans="1:7" ht="15">
      <c r="A181" s="84" t="s">
        <v>1014</v>
      </c>
      <c r="B181" s="82">
        <v>3</v>
      </c>
      <c r="C181" s="105">
        <v>0.0036987553663764454</v>
      </c>
      <c r="D181" s="82" t="s">
        <v>1224</v>
      </c>
      <c r="E181" s="82" t="b">
        <v>0</v>
      </c>
      <c r="F181" s="82" t="b">
        <v>0</v>
      </c>
      <c r="G181" s="82" t="b">
        <v>0</v>
      </c>
    </row>
    <row r="182" spans="1:7" ht="15">
      <c r="A182" s="84" t="s">
        <v>1015</v>
      </c>
      <c r="B182" s="82">
        <v>3</v>
      </c>
      <c r="C182" s="105">
        <v>0.0036987553663764454</v>
      </c>
      <c r="D182" s="82" t="s">
        <v>1224</v>
      </c>
      <c r="E182" s="82" t="b">
        <v>0</v>
      </c>
      <c r="F182" s="82" t="b">
        <v>0</v>
      </c>
      <c r="G182" s="82" t="b">
        <v>0</v>
      </c>
    </row>
    <row r="183" spans="1:7" ht="15">
      <c r="A183" s="84" t="s">
        <v>1016</v>
      </c>
      <c r="B183" s="82">
        <v>3</v>
      </c>
      <c r="C183" s="105">
        <v>0.0036987553663764454</v>
      </c>
      <c r="D183" s="82" t="s">
        <v>1224</v>
      </c>
      <c r="E183" s="82" t="b">
        <v>0</v>
      </c>
      <c r="F183" s="82" t="b">
        <v>0</v>
      </c>
      <c r="G183" s="82" t="b">
        <v>0</v>
      </c>
    </row>
    <row r="184" spans="1:7" ht="15">
      <c r="A184" s="84" t="s">
        <v>1017</v>
      </c>
      <c r="B184" s="82">
        <v>3</v>
      </c>
      <c r="C184" s="105">
        <v>0.0036987553663764454</v>
      </c>
      <c r="D184" s="82" t="s">
        <v>1224</v>
      </c>
      <c r="E184" s="82" t="b">
        <v>0</v>
      </c>
      <c r="F184" s="82" t="b">
        <v>0</v>
      </c>
      <c r="G184" s="82" t="b">
        <v>0</v>
      </c>
    </row>
    <row r="185" spans="1:7" ht="15">
      <c r="A185" s="84" t="s">
        <v>1018</v>
      </c>
      <c r="B185" s="82">
        <v>3</v>
      </c>
      <c r="C185" s="105">
        <v>0.00401969933792386</v>
      </c>
      <c r="D185" s="82" t="s">
        <v>1224</v>
      </c>
      <c r="E185" s="82" t="b">
        <v>0</v>
      </c>
      <c r="F185" s="82" t="b">
        <v>0</v>
      </c>
      <c r="G185" s="82" t="b">
        <v>0</v>
      </c>
    </row>
    <row r="186" spans="1:7" ht="15">
      <c r="A186" s="84" t="s">
        <v>1019</v>
      </c>
      <c r="B186" s="82">
        <v>3</v>
      </c>
      <c r="C186" s="105">
        <v>0.0036987553663764454</v>
      </c>
      <c r="D186" s="82" t="s">
        <v>1224</v>
      </c>
      <c r="E186" s="82" t="b">
        <v>0</v>
      </c>
      <c r="F186" s="82" t="b">
        <v>0</v>
      </c>
      <c r="G186" s="82" t="b">
        <v>0</v>
      </c>
    </row>
    <row r="187" spans="1:7" ht="15">
      <c r="A187" s="84" t="s">
        <v>1020</v>
      </c>
      <c r="B187" s="82">
        <v>2</v>
      </c>
      <c r="C187" s="105">
        <v>0.002679799558615906</v>
      </c>
      <c r="D187" s="82" t="s">
        <v>1224</v>
      </c>
      <c r="E187" s="82" t="b">
        <v>0</v>
      </c>
      <c r="F187" s="82" t="b">
        <v>0</v>
      </c>
      <c r="G187" s="82" t="b">
        <v>0</v>
      </c>
    </row>
    <row r="188" spans="1:7" ht="15">
      <c r="A188" s="84" t="s">
        <v>1021</v>
      </c>
      <c r="B188" s="82">
        <v>2</v>
      </c>
      <c r="C188" s="105">
        <v>0.002679799558615906</v>
      </c>
      <c r="D188" s="82" t="s">
        <v>1224</v>
      </c>
      <c r="E188" s="82" t="b">
        <v>0</v>
      </c>
      <c r="F188" s="82" t="b">
        <v>0</v>
      </c>
      <c r="G188" s="82" t="b">
        <v>0</v>
      </c>
    </row>
    <row r="189" spans="1:7" ht="15">
      <c r="A189" s="84" t="s">
        <v>1022</v>
      </c>
      <c r="B189" s="82">
        <v>2</v>
      </c>
      <c r="C189" s="105">
        <v>0.002679799558615906</v>
      </c>
      <c r="D189" s="82" t="s">
        <v>1224</v>
      </c>
      <c r="E189" s="82" t="b">
        <v>0</v>
      </c>
      <c r="F189" s="82" t="b">
        <v>0</v>
      </c>
      <c r="G189" s="82" t="b">
        <v>0</v>
      </c>
    </row>
    <row r="190" spans="1:7" ht="15">
      <c r="A190" s="84" t="s">
        <v>1023</v>
      </c>
      <c r="B190" s="82">
        <v>2</v>
      </c>
      <c r="C190" s="105">
        <v>0.0030455711207835624</v>
      </c>
      <c r="D190" s="82" t="s">
        <v>1224</v>
      </c>
      <c r="E190" s="82" t="b">
        <v>0</v>
      </c>
      <c r="F190" s="82" t="b">
        <v>0</v>
      </c>
      <c r="G190" s="82" t="b">
        <v>0</v>
      </c>
    </row>
    <row r="191" spans="1:7" ht="15">
      <c r="A191" s="84" t="s">
        <v>1024</v>
      </c>
      <c r="B191" s="82">
        <v>2</v>
      </c>
      <c r="C191" s="105">
        <v>0.0030455711207835624</v>
      </c>
      <c r="D191" s="82" t="s">
        <v>1224</v>
      </c>
      <c r="E191" s="82" t="b">
        <v>0</v>
      </c>
      <c r="F191" s="82" t="b">
        <v>0</v>
      </c>
      <c r="G191" s="82" t="b">
        <v>0</v>
      </c>
    </row>
    <row r="192" spans="1:7" ht="15">
      <c r="A192" s="84" t="s">
        <v>1025</v>
      </c>
      <c r="B192" s="82">
        <v>2</v>
      </c>
      <c r="C192" s="105">
        <v>0.002679799558615906</v>
      </c>
      <c r="D192" s="82" t="s">
        <v>1224</v>
      </c>
      <c r="E192" s="82" t="b">
        <v>0</v>
      </c>
      <c r="F192" s="82" t="b">
        <v>0</v>
      </c>
      <c r="G192" s="82" t="b">
        <v>0</v>
      </c>
    </row>
    <row r="193" spans="1:7" ht="15">
      <c r="A193" s="84" t="s">
        <v>1026</v>
      </c>
      <c r="B193" s="82">
        <v>2</v>
      </c>
      <c r="C193" s="105">
        <v>0.002679799558615906</v>
      </c>
      <c r="D193" s="82" t="s">
        <v>1224</v>
      </c>
      <c r="E193" s="82" t="b">
        <v>0</v>
      </c>
      <c r="F193" s="82" t="b">
        <v>0</v>
      </c>
      <c r="G193" s="82" t="b">
        <v>0</v>
      </c>
    </row>
    <row r="194" spans="1:7" ht="15">
      <c r="A194" s="84" t="s">
        <v>751</v>
      </c>
      <c r="B194" s="82">
        <v>2</v>
      </c>
      <c r="C194" s="105">
        <v>0.002679799558615906</v>
      </c>
      <c r="D194" s="82" t="s">
        <v>1224</v>
      </c>
      <c r="E194" s="82" t="b">
        <v>0</v>
      </c>
      <c r="F194" s="82" t="b">
        <v>0</v>
      </c>
      <c r="G194" s="82" t="b">
        <v>0</v>
      </c>
    </row>
    <row r="195" spans="1:7" ht="15">
      <c r="A195" s="84" t="s">
        <v>1027</v>
      </c>
      <c r="B195" s="82">
        <v>2</v>
      </c>
      <c r="C195" s="105">
        <v>0.0030455711207835624</v>
      </c>
      <c r="D195" s="82" t="s">
        <v>1224</v>
      </c>
      <c r="E195" s="82" t="b">
        <v>0</v>
      </c>
      <c r="F195" s="82" t="b">
        <v>0</v>
      </c>
      <c r="G195" s="82" t="b">
        <v>0</v>
      </c>
    </row>
    <row r="196" spans="1:7" ht="15">
      <c r="A196" s="84" t="s">
        <v>1028</v>
      </c>
      <c r="B196" s="82">
        <v>2</v>
      </c>
      <c r="C196" s="105">
        <v>0.0030455711207835624</v>
      </c>
      <c r="D196" s="82" t="s">
        <v>1224</v>
      </c>
      <c r="E196" s="82" t="b">
        <v>0</v>
      </c>
      <c r="F196" s="82" t="b">
        <v>0</v>
      </c>
      <c r="G196" s="82" t="b">
        <v>0</v>
      </c>
    </row>
    <row r="197" spans="1:7" ht="15">
      <c r="A197" s="84" t="s">
        <v>1029</v>
      </c>
      <c r="B197" s="82">
        <v>2</v>
      </c>
      <c r="C197" s="105">
        <v>0.002679799558615906</v>
      </c>
      <c r="D197" s="82" t="s">
        <v>1224</v>
      </c>
      <c r="E197" s="82" t="b">
        <v>0</v>
      </c>
      <c r="F197" s="82" t="b">
        <v>0</v>
      </c>
      <c r="G197" s="82" t="b">
        <v>0</v>
      </c>
    </row>
    <row r="198" spans="1:7" ht="15">
      <c r="A198" s="84" t="s">
        <v>1030</v>
      </c>
      <c r="B198" s="82">
        <v>2</v>
      </c>
      <c r="C198" s="105">
        <v>0.002679799558615906</v>
      </c>
      <c r="D198" s="82" t="s">
        <v>1224</v>
      </c>
      <c r="E198" s="82" t="b">
        <v>0</v>
      </c>
      <c r="F198" s="82" t="b">
        <v>0</v>
      </c>
      <c r="G198" s="82" t="b">
        <v>0</v>
      </c>
    </row>
    <row r="199" spans="1:7" ht="15">
      <c r="A199" s="84" t="s">
        <v>1031</v>
      </c>
      <c r="B199" s="82">
        <v>2</v>
      </c>
      <c r="C199" s="105">
        <v>0.002679799558615906</v>
      </c>
      <c r="D199" s="82" t="s">
        <v>1224</v>
      </c>
      <c r="E199" s="82" t="b">
        <v>0</v>
      </c>
      <c r="F199" s="82" t="b">
        <v>0</v>
      </c>
      <c r="G199" s="82" t="b">
        <v>0</v>
      </c>
    </row>
    <row r="200" spans="1:7" ht="15">
      <c r="A200" s="84" t="s">
        <v>1032</v>
      </c>
      <c r="B200" s="82">
        <v>2</v>
      </c>
      <c r="C200" s="105">
        <v>0.002679799558615906</v>
      </c>
      <c r="D200" s="82" t="s">
        <v>1224</v>
      </c>
      <c r="E200" s="82" t="b">
        <v>0</v>
      </c>
      <c r="F200" s="82" t="b">
        <v>0</v>
      </c>
      <c r="G200" s="82" t="b">
        <v>0</v>
      </c>
    </row>
    <row r="201" spans="1:7" ht="15">
      <c r="A201" s="84" t="s">
        <v>1033</v>
      </c>
      <c r="B201" s="82">
        <v>2</v>
      </c>
      <c r="C201" s="105">
        <v>0.002679799558615906</v>
      </c>
      <c r="D201" s="82" t="s">
        <v>1224</v>
      </c>
      <c r="E201" s="82" t="b">
        <v>0</v>
      </c>
      <c r="F201" s="82" t="b">
        <v>1</v>
      </c>
      <c r="G201" s="82" t="b">
        <v>0</v>
      </c>
    </row>
    <row r="202" spans="1:7" ht="15">
      <c r="A202" s="84" t="s">
        <v>1034</v>
      </c>
      <c r="B202" s="82">
        <v>2</v>
      </c>
      <c r="C202" s="105">
        <v>0.002679799558615906</v>
      </c>
      <c r="D202" s="82" t="s">
        <v>1224</v>
      </c>
      <c r="E202" s="82" t="b">
        <v>0</v>
      </c>
      <c r="F202" s="82" t="b">
        <v>0</v>
      </c>
      <c r="G202" s="82" t="b">
        <v>0</v>
      </c>
    </row>
    <row r="203" spans="1:7" ht="15">
      <c r="A203" s="84" t="s">
        <v>1035</v>
      </c>
      <c r="B203" s="82">
        <v>2</v>
      </c>
      <c r="C203" s="105">
        <v>0.002679799558615906</v>
      </c>
      <c r="D203" s="82" t="s">
        <v>1224</v>
      </c>
      <c r="E203" s="82" t="b">
        <v>0</v>
      </c>
      <c r="F203" s="82" t="b">
        <v>0</v>
      </c>
      <c r="G203" s="82" t="b">
        <v>0</v>
      </c>
    </row>
    <row r="204" spans="1:7" ht="15">
      <c r="A204" s="84" t="s">
        <v>1036</v>
      </c>
      <c r="B204" s="82">
        <v>2</v>
      </c>
      <c r="C204" s="105">
        <v>0.002679799558615906</v>
      </c>
      <c r="D204" s="82" t="s">
        <v>1224</v>
      </c>
      <c r="E204" s="82" t="b">
        <v>0</v>
      </c>
      <c r="F204" s="82" t="b">
        <v>0</v>
      </c>
      <c r="G204" s="82" t="b">
        <v>0</v>
      </c>
    </row>
    <row r="205" spans="1:7" ht="15">
      <c r="A205" s="84" t="s">
        <v>1037</v>
      </c>
      <c r="B205" s="82">
        <v>2</v>
      </c>
      <c r="C205" s="105">
        <v>0.0030455711207835624</v>
      </c>
      <c r="D205" s="82" t="s">
        <v>1224</v>
      </c>
      <c r="E205" s="82" t="b">
        <v>0</v>
      </c>
      <c r="F205" s="82" t="b">
        <v>0</v>
      </c>
      <c r="G205" s="82" t="b">
        <v>0</v>
      </c>
    </row>
    <row r="206" spans="1:7" ht="15">
      <c r="A206" s="84" t="s">
        <v>1038</v>
      </c>
      <c r="B206" s="82">
        <v>2</v>
      </c>
      <c r="C206" s="105">
        <v>0.002679799558615906</v>
      </c>
      <c r="D206" s="82" t="s">
        <v>1224</v>
      </c>
      <c r="E206" s="82" t="b">
        <v>0</v>
      </c>
      <c r="F206" s="82" t="b">
        <v>0</v>
      </c>
      <c r="G206" s="82" t="b">
        <v>0</v>
      </c>
    </row>
    <row r="207" spans="1:7" ht="15">
      <c r="A207" s="84" t="s">
        <v>1039</v>
      </c>
      <c r="B207" s="82">
        <v>2</v>
      </c>
      <c r="C207" s="105">
        <v>0.002679799558615906</v>
      </c>
      <c r="D207" s="82" t="s">
        <v>1224</v>
      </c>
      <c r="E207" s="82" t="b">
        <v>0</v>
      </c>
      <c r="F207" s="82" t="b">
        <v>0</v>
      </c>
      <c r="G207" s="82" t="b">
        <v>0</v>
      </c>
    </row>
    <row r="208" spans="1:7" ht="15">
      <c r="A208" s="84" t="s">
        <v>1040</v>
      </c>
      <c r="B208" s="82">
        <v>2</v>
      </c>
      <c r="C208" s="105">
        <v>0.002679799558615906</v>
      </c>
      <c r="D208" s="82" t="s">
        <v>1224</v>
      </c>
      <c r="E208" s="82" t="b">
        <v>0</v>
      </c>
      <c r="F208" s="82" t="b">
        <v>0</v>
      </c>
      <c r="G208" s="82" t="b">
        <v>0</v>
      </c>
    </row>
    <row r="209" spans="1:7" ht="15">
      <c r="A209" s="84" t="s">
        <v>1041</v>
      </c>
      <c r="B209" s="82">
        <v>2</v>
      </c>
      <c r="C209" s="105">
        <v>0.002679799558615906</v>
      </c>
      <c r="D209" s="82" t="s">
        <v>1224</v>
      </c>
      <c r="E209" s="82" t="b">
        <v>0</v>
      </c>
      <c r="F209" s="82" t="b">
        <v>0</v>
      </c>
      <c r="G209" s="82" t="b">
        <v>0</v>
      </c>
    </row>
    <row r="210" spans="1:7" ht="15">
      <c r="A210" s="84" t="s">
        <v>1042</v>
      </c>
      <c r="B210" s="82">
        <v>2</v>
      </c>
      <c r="C210" s="105">
        <v>0.002679799558615906</v>
      </c>
      <c r="D210" s="82" t="s">
        <v>1224</v>
      </c>
      <c r="E210" s="82" t="b">
        <v>0</v>
      </c>
      <c r="F210" s="82" t="b">
        <v>0</v>
      </c>
      <c r="G210" s="82" t="b">
        <v>0</v>
      </c>
    </row>
    <row r="211" spans="1:7" ht="15">
      <c r="A211" s="84" t="s">
        <v>1043</v>
      </c>
      <c r="B211" s="82">
        <v>2</v>
      </c>
      <c r="C211" s="105">
        <v>0.002679799558615906</v>
      </c>
      <c r="D211" s="82" t="s">
        <v>1224</v>
      </c>
      <c r="E211" s="82" t="b">
        <v>0</v>
      </c>
      <c r="F211" s="82" t="b">
        <v>0</v>
      </c>
      <c r="G211" s="82" t="b">
        <v>0</v>
      </c>
    </row>
    <row r="212" spans="1:7" ht="15">
      <c r="A212" s="84" t="s">
        <v>1044</v>
      </c>
      <c r="B212" s="82">
        <v>2</v>
      </c>
      <c r="C212" s="105">
        <v>0.0030455711207835624</v>
      </c>
      <c r="D212" s="82" t="s">
        <v>1224</v>
      </c>
      <c r="E212" s="82" t="b">
        <v>0</v>
      </c>
      <c r="F212" s="82" t="b">
        <v>0</v>
      </c>
      <c r="G212" s="82" t="b">
        <v>0</v>
      </c>
    </row>
    <row r="213" spans="1:7" ht="15">
      <c r="A213" s="84" t="s">
        <v>1045</v>
      </c>
      <c r="B213" s="82">
        <v>2</v>
      </c>
      <c r="C213" s="105">
        <v>0.0030455711207835624</v>
      </c>
      <c r="D213" s="82" t="s">
        <v>1224</v>
      </c>
      <c r="E213" s="82" t="b">
        <v>0</v>
      </c>
      <c r="F213" s="82" t="b">
        <v>0</v>
      </c>
      <c r="G213" s="82" t="b">
        <v>0</v>
      </c>
    </row>
    <row r="214" spans="1:7" ht="15">
      <c r="A214" s="84" t="s">
        <v>1046</v>
      </c>
      <c r="B214" s="82">
        <v>2</v>
      </c>
      <c r="C214" s="105">
        <v>0.0030455711207835624</v>
      </c>
      <c r="D214" s="82" t="s">
        <v>1224</v>
      </c>
      <c r="E214" s="82" t="b">
        <v>0</v>
      </c>
      <c r="F214" s="82" t="b">
        <v>0</v>
      </c>
      <c r="G214" s="82" t="b">
        <v>0</v>
      </c>
    </row>
    <row r="215" spans="1:7" ht="15">
      <c r="A215" s="84" t="s">
        <v>1047</v>
      </c>
      <c r="B215" s="82">
        <v>2</v>
      </c>
      <c r="C215" s="105">
        <v>0.0030455711207835624</v>
      </c>
      <c r="D215" s="82" t="s">
        <v>1224</v>
      </c>
      <c r="E215" s="82" t="b">
        <v>0</v>
      </c>
      <c r="F215" s="82" t="b">
        <v>0</v>
      </c>
      <c r="G215" s="82" t="b">
        <v>0</v>
      </c>
    </row>
    <row r="216" spans="1:7" ht="15">
      <c r="A216" s="84" t="s">
        <v>1048</v>
      </c>
      <c r="B216" s="82">
        <v>2</v>
      </c>
      <c r="C216" s="105">
        <v>0.0030455711207835624</v>
      </c>
      <c r="D216" s="82" t="s">
        <v>1224</v>
      </c>
      <c r="E216" s="82" t="b">
        <v>0</v>
      </c>
      <c r="F216" s="82" t="b">
        <v>0</v>
      </c>
      <c r="G216" s="82" t="b">
        <v>0</v>
      </c>
    </row>
    <row r="217" spans="1:7" ht="15">
      <c r="A217" s="84" t="s">
        <v>1049</v>
      </c>
      <c r="B217" s="82">
        <v>2</v>
      </c>
      <c r="C217" s="105">
        <v>0.002679799558615906</v>
      </c>
      <c r="D217" s="82" t="s">
        <v>1224</v>
      </c>
      <c r="E217" s="82" t="b">
        <v>0</v>
      </c>
      <c r="F217" s="82" t="b">
        <v>0</v>
      </c>
      <c r="G217" s="82" t="b">
        <v>0</v>
      </c>
    </row>
    <row r="218" spans="1:7" ht="15">
      <c r="A218" s="84" t="s">
        <v>1050</v>
      </c>
      <c r="B218" s="82">
        <v>2</v>
      </c>
      <c r="C218" s="105">
        <v>0.002679799558615906</v>
      </c>
      <c r="D218" s="82" t="s">
        <v>1224</v>
      </c>
      <c r="E218" s="82" t="b">
        <v>0</v>
      </c>
      <c r="F218" s="82" t="b">
        <v>0</v>
      </c>
      <c r="G218" s="82" t="b">
        <v>0</v>
      </c>
    </row>
    <row r="219" spans="1:7" ht="15">
      <c r="A219" s="84" t="s">
        <v>1051</v>
      </c>
      <c r="B219" s="82">
        <v>2</v>
      </c>
      <c r="C219" s="105">
        <v>0.002679799558615906</v>
      </c>
      <c r="D219" s="82" t="s">
        <v>1224</v>
      </c>
      <c r="E219" s="82" t="b">
        <v>0</v>
      </c>
      <c r="F219" s="82" t="b">
        <v>0</v>
      </c>
      <c r="G219" s="82" t="b">
        <v>0</v>
      </c>
    </row>
    <row r="220" spans="1:7" ht="15">
      <c r="A220" s="84" t="s">
        <v>1052</v>
      </c>
      <c r="B220" s="82">
        <v>2</v>
      </c>
      <c r="C220" s="105">
        <v>0.002679799558615906</v>
      </c>
      <c r="D220" s="82" t="s">
        <v>1224</v>
      </c>
      <c r="E220" s="82" t="b">
        <v>0</v>
      </c>
      <c r="F220" s="82" t="b">
        <v>0</v>
      </c>
      <c r="G220" s="82" t="b">
        <v>0</v>
      </c>
    </row>
    <row r="221" spans="1:7" ht="15">
      <c r="A221" s="84" t="s">
        <v>1053</v>
      </c>
      <c r="B221" s="82">
        <v>2</v>
      </c>
      <c r="C221" s="105">
        <v>0.002679799558615906</v>
      </c>
      <c r="D221" s="82" t="s">
        <v>1224</v>
      </c>
      <c r="E221" s="82" t="b">
        <v>0</v>
      </c>
      <c r="F221" s="82" t="b">
        <v>0</v>
      </c>
      <c r="G221" s="82" t="b">
        <v>0</v>
      </c>
    </row>
    <row r="222" spans="1:7" ht="15">
      <c r="A222" s="84" t="s">
        <v>1054</v>
      </c>
      <c r="B222" s="82">
        <v>2</v>
      </c>
      <c r="C222" s="105">
        <v>0.002679799558615906</v>
      </c>
      <c r="D222" s="82" t="s">
        <v>1224</v>
      </c>
      <c r="E222" s="82" t="b">
        <v>0</v>
      </c>
      <c r="F222" s="82" t="b">
        <v>0</v>
      </c>
      <c r="G222" s="82" t="b">
        <v>0</v>
      </c>
    </row>
    <row r="223" spans="1:7" ht="15">
      <c r="A223" s="84" t="s">
        <v>1055</v>
      </c>
      <c r="B223" s="82">
        <v>2</v>
      </c>
      <c r="C223" s="105">
        <v>0.002679799558615906</v>
      </c>
      <c r="D223" s="82" t="s">
        <v>1224</v>
      </c>
      <c r="E223" s="82" t="b">
        <v>0</v>
      </c>
      <c r="F223" s="82" t="b">
        <v>0</v>
      </c>
      <c r="G223" s="82" t="b">
        <v>0</v>
      </c>
    </row>
    <row r="224" spans="1:7" ht="15">
      <c r="A224" s="84" t="s">
        <v>1056</v>
      </c>
      <c r="B224" s="82">
        <v>2</v>
      </c>
      <c r="C224" s="105">
        <v>0.002679799558615906</v>
      </c>
      <c r="D224" s="82" t="s">
        <v>1224</v>
      </c>
      <c r="E224" s="82" t="b">
        <v>0</v>
      </c>
      <c r="F224" s="82" t="b">
        <v>0</v>
      </c>
      <c r="G224" s="82" t="b">
        <v>0</v>
      </c>
    </row>
    <row r="225" spans="1:7" ht="15">
      <c r="A225" s="84" t="s">
        <v>1057</v>
      </c>
      <c r="B225" s="82">
        <v>2</v>
      </c>
      <c r="C225" s="105">
        <v>0.002679799558615906</v>
      </c>
      <c r="D225" s="82" t="s">
        <v>1224</v>
      </c>
      <c r="E225" s="82" t="b">
        <v>0</v>
      </c>
      <c r="F225" s="82" t="b">
        <v>0</v>
      </c>
      <c r="G225" s="82" t="b">
        <v>0</v>
      </c>
    </row>
    <row r="226" spans="1:7" ht="15">
      <c r="A226" s="84" t="s">
        <v>1058</v>
      </c>
      <c r="B226" s="82">
        <v>2</v>
      </c>
      <c r="C226" s="105">
        <v>0.002679799558615906</v>
      </c>
      <c r="D226" s="82" t="s">
        <v>1224</v>
      </c>
      <c r="E226" s="82" t="b">
        <v>0</v>
      </c>
      <c r="F226" s="82" t="b">
        <v>0</v>
      </c>
      <c r="G226" s="82" t="b">
        <v>0</v>
      </c>
    </row>
    <row r="227" spans="1:7" ht="15">
      <c r="A227" s="84" t="s">
        <v>1059</v>
      </c>
      <c r="B227" s="82">
        <v>2</v>
      </c>
      <c r="C227" s="105">
        <v>0.002679799558615906</v>
      </c>
      <c r="D227" s="82" t="s">
        <v>1224</v>
      </c>
      <c r="E227" s="82" t="b">
        <v>0</v>
      </c>
      <c r="F227" s="82" t="b">
        <v>0</v>
      </c>
      <c r="G227" s="82" t="b">
        <v>0</v>
      </c>
    </row>
    <row r="228" spans="1:7" ht="15">
      <c r="A228" s="84" t="s">
        <v>1060</v>
      </c>
      <c r="B228" s="82">
        <v>2</v>
      </c>
      <c r="C228" s="105">
        <v>0.002679799558615906</v>
      </c>
      <c r="D228" s="82" t="s">
        <v>1224</v>
      </c>
      <c r="E228" s="82" t="b">
        <v>0</v>
      </c>
      <c r="F228" s="82" t="b">
        <v>0</v>
      </c>
      <c r="G228" s="82" t="b">
        <v>0</v>
      </c>
    </row>
    <row r="229" spans="1:7" ht="15">
      <c r="A229" s="84" t="s">
        <v>1061</v>
      </c>
      <c r="B229" s="82">
        <v>2</v>
      </c>
      <c r="C229" s="105">
        <v>0.002679799558615906</v>
      </c>
      <c r="D229" s="82" t="s">
        <v>1224</v>
      </c>
      <c r="E229" s="82" t="b">
        <v>0</v>
      </c>
      <c r="F229" s="82" t="b">
        <v>0</v>
      </c>
      <c r="G229" s="82" t="b">
        <v>0</v>
      </c>
    </row>
    <row r="230" spans="1:7" ht="15">
      <c r="A230" s="84" t="s">
        <v>1062</v>
      </c>
      <c r="B230" s="82">
        <v>2</v>
      </c>
      <c r="C230" s="105">
        <v>0.002679799558615906</v>
      </c>
      <c r="D230" s="82" t="s">
        <v>1224</v>
      </c>
      <c r="E230" s="82" t="b">
        <v>0</v>
      </c>
      <c r="F230" s="82" t="b">
        <v>0</v>
      </c>
      <c r="G230" s="82" t="b">
        <v>0</v>
      </c>
    </row>
    <row r="231" spans="1:7" ht="15">
      <c r="A231" s="84" t="s">
        <v>1063</v>
      </c>
      <c r="B231" s="82">
        <v>2</v>
      </c>
      <c r="C231" s="105">
        <v>0.002679799558615906</v>
      </c>
      <c r="D231" s="82" t="s">
        <v>1224</v>
      </c>
      <c r="E231" s="82" t="b">
        <v>0</v>
      </c>
      <c r="F231" s="82" t="b">
        <v>0</v>
      </c>
      <c r="G231" s="82" t="b">
        <v>0</v>
      </c>
    </row>
    <row r="232" spans="1:7" ht="15">
      <c r="A232" s="84" t="s">
        <v>1064</v>
      </c>
      <c r="B232" s="82">
        <v>2</v>
      </c>
      <c r="C232" s="105">
        <v>0.002679799558615906</v>
      </c>
      <c r="D232" s="82" t="s">
        <v>1224</v>
      </c>
      <c r="E232" s="82" t="b">
        <v>0</v>
      </c>
      <c r="F232" s="82" t="b">
        <v>0</v>
      </c>
      <c r="G232" s="82" t="b">
        <v>0</v>
      </c>
    </row>
    <row r="233" spans="1:7" ht="15">
      <c r="A233" s="84" t="s">
        <v>1065</v>
      </c>
      <c r="B233" s="82">
        <v>2</v>
      </c>
      <c r="C233" s="105">
        <v>0.002679799558615906</v>
      </c>
      <c r="D233" s="82" t="s">
        <v>1224</v>
      </c>
      <c r="E233" s="82" t="b">
        <v>0</v>
      </c>
      <c r="F233" s="82" t="b">
        <v>0</v>
      </c>
      <c r="G233" s="82" t="b">
        <v>0</v>
      </c>
    </row>
    <row r="234" spans="1:7" ht="15">
      <c r="A234" s="84" t="s">
        <v>1066</v>
      </c>
      <c r="B234" s="82">
        <v>2</v>
      </c>
      <c r="C234" s="105">
        <v>0.002679799558615906</v>
      </c>
      <c r="D234" s="82" t="s">
        <v>1224</v>
      </c>
      <c r="E234" s="82" t="b">
        <v>0</v>
      </c>
      <c r="F234" s="82" t="b">
        <v>1</v>
      </c>
      <c r="G234" s="82" t="b">
        <v>0</v>
      </c>
    </row>
    <row r="235" spans="1:7" ht="15">
      <c r="A235" s="84" t="s">
        <v>1067</v>
      </c>
      <c r="B235" s="82">
        <v>2</v>
      </c>
      <c r="C235" s="105">
        <v>0.002679799558615906</v>
      </c>
      <c r="D235" s="82" t="s">
        <v>1224</v>
      </c>
      <c r="E235" s="82" t="b">
        <v>0</v>
      </c>
      <c r="F235" s="82" t="b">
        <v>0</v>
      </c>
      <c r="G235" s="82" t="b">
        <v>0</v>
      </c>
    </row>
    <row r="236" spans="1:7" ht="15">
      <c r="A236" s="84" t="s">
        <v>1068</v>
      </c>
      <c r="B236" s="82">
        <v>2</v>
      </c>
      <c r="C236" s="105">
        <v>0.002679799558615906</v>
      </c>
      <c r="D236" s="82" t="s">
        <v>1224</v>
      </c>
      <c r="E236" s="82" t="b">
        <v>0</v>
      </c>
      <c r="F236" s="82" t="b">
        <v>0</v>
      </c>
      <c r="G236" s="82" t="b">
        <v>0</v>
      </c>
    </row>
    <row r="237" spans="1:7" ht="15">
      <c r="A237" s="84" t="s">
        <v>1069</v>
      </c>
      <c r="B237" s="82">
        <v>2</v>
      </c>
      <c r="C237" s="105">
        <v>0.002679799558615906</v>
      </c>
      <c r="D237" s="82" t="s">
        <v>1224</v>
      </c>
      <c r="E237" s="82" t="b">
        <v>0</v>
      </c>
      <c r="F237" s="82" t="b">
        <v>0</v>
      </c>
      <c r="G237" s="82" t="b">
        <v>0</v>
      </c>
    </row>
    <row r="238" spans="1:7" ht="15">
      <c r="A238" s="84" t="s">
        <v>1070</v>
      </c>
      <c r="B238" s="82">
        <v>2</v>
      </c>
      <c r="C238" s="105">
        <v>0.002679799558615906</v>
      </c>
      <c r="D238" s="82" t="s">
        <v>1224</v>
      </c>
      <c r="E238" s="82" t="b">
        <v>0</v>
      </c>
      <c r="F238" s="82" t="b">
        <v>0</v>
      </c>
      <c r="G238" s="82" t="b">
        <v>0</v>
      </c>
    </row>
    <row r="239" spans="1:7" ht="15">
      <c r="A239" s="84" t="s">
        <v>1071</v>
      </c>
      <c r="B239" s="82">
        <v>2</v>
      </c>
      <c r="C239" s="105">
        <v>0.002679799558615906</v>
      </c>
      <c r="D239" s="82" t="s">
        <v>1224</v>
      </c>
      <c r="E239" s="82" t="b">
        <v>0</v>
      </c>
      <c r="F239" s="82" t="b">
        <v>0</v>
      </c>
      <c r="G239" s="82" t="b">
        <v>0</v>
      </c>
    </row>
    <row r="240" spans="1:7" ht="15">
      <c r="A240" s="84" t="s">
        <v>1072</v>
      </c>
      <c r="B240" s="82">
        <v>2</v>
      </c>
      <c r="C240" s="105">
        <v>0.002679799558615906</v>
      </c>
      <c r="D240" s="82" t="s">
        <v>1224</v>
      </c>
      <c r="E240" s="82" t="b">
        <v>0</v>
      </c>
      <c r="F240" s="82" t="b">
        <v>0</v>
      </c>
      <c r="G240" s="82" t="b">
        <v>0</v>
      </c>
    </row>
    <row r="241" spans="1:7" ht="15">
      <c r="A241" s="84" t="s">
        <v>1073</v>
      </c>
      <c r="B241" s="82">
        <v>2</v>
      </c>
      <c r="C241" s="105">
        <v>0.002679799558615906</v>
      </c>
      <c r="D241" s="82" t="s">
        <v>1224</v>
      </c>
      <c r="E241" s="82" t="b">
        <v>0</v>
      </c>
      <c r="F241" s="82" t="b">
        <v>0</v>
      </c>
      <c r="G241" s="82" t="b">
        <v>0</v>
      </c>
    </row>
    <row r="242" spans="1:7" ht="15">
      <c r="A242" s="84" t="s">
        <v>1074</v>
      </c>
      <c r="B242" s="82">
        <v>2</v>
      </c>
      <c r="C242" s="105">
        <v>0.002679799558615906</v>
      </c>
      <c r="D242" s="82" t="s">
        <v>1224</v>
      </c>
      <c r="E242" s="82" t="b">
        <v>0</v>
      </c>
      <c r="F242" s="82" t="b">
        <v>0</v>
      </c>
      <c r="G242" s="82" t="b">
        <v>0</v>
      </c>
    </row>
    <row r="243" spans="1:7" ht="15">
      <c r="A243" s="84" t="s">
        <v>1075</v>
      </c>
      <c r="B243" s="82">
        <v>2</v>
      </c>
      <c r="C243" s="105">
        <v>0.002679799558615906</v>
      </c>
      <c r="D243" s="82" t="s">
        <v>1224</v>
      </c>
      <c r="E243" s="82" t="b">
        <v>0</v>
      </c>
      <c r="F243" s="82" t="b">
        <v>0</v>
      </c>
      <c r="G243" s="82" t="b">
        <v>0</v>
      </c>
    </row>
    <row r="244" spans="1:7" ht="15">
      <c r="A244" s="84" t="s">
        <v>1076</v>
      </c>
      <c r="B244" s="82">
        <v>2</v>
      </c>
      <c r="C244" s="105">
        <v>0.002679799558615906</v>
      </c>
      <c r="D244" s="82" t="s">
        <v>1224</v>
      </c>
      <c r="E244" s="82" t="b">
        <v>0</v>
      </c>
      <c r="F244" s="82" t="b">
        <v>0</v>
      </c>
      <c r="G244" s="82" t="b">
        <v>0</v>
      </c>
    </row>
    <row r="245" spans="1:7" ht="15">
      <c r="A245" s="84" t="s">
        <v>1077</v>
      </c>
      <c r="B245" s="82">
        <v>2</v>
      </c>
      <c r="C245" s="105">
        <v>0.002679799558615906</v>
      </c>
      <c r="D245" s="82" t="s">
        <v>1224</v>
      </c>
      <c r="E245" s="82" t="b">
        <v>0</v>
      </c>
      <c r="F245" s="82" t="b">
        <v>0</v>
      </c>
      <c r="G245" s="82" t="b">
        <v>0</v>
      </c>
    </row>
    <row r="246" spans="1:7" ht="15">
      <c r="A246" s="84" t="s">
        <v>1078</v>
      </c>
      <c r="B246" s="82">
        <v>2</v>
      </c>
      <c r="C246" s="105">
        <v>0.0030455711207835624</v>
      </c>
      <c r="D246" s="82" t="s">
        <v>1224</v>
      </c>
      <c r="E246" s="82" t="b">
        <v>0</v>
      </c>
      <c r="F246" s="82" t="b">
        <v>0</v>
      </c>
      <c r="G246" s="82" t="b">
        <v>0</v>
      </c>
    </row>
    <row r="247" spans="1:7" ht="15">
      <c r="A247" s="84" t="s">
        <v>1079</v>
      </c>
      <c r="B247" s="82">
        <v>2</v>
      </c>
      <c r="C247" s="105">
        <v>0.002679799558615906</v>
      </c>
      <c r="D247" s="82" t="s">
        <v>1224</v>
      </c>
      <c r="E247" s="82" t="b">
        <v>0</v>
      </c>
      <c r="F247" s="82" t="b">
        <v>0</v>
      </c>
      <c r="G247" s="82" t="b">
        <v>0</v>
      </c>
    </row>
    <row r="248" spans="1:7" ht="15">
      <c r="A248" s="84" t="s">
        <v>1080</v>
      </c>
      <c r="B248" s="82">
        <v>2</v>
      </c>
      <c r="C248" s="105">
        <v>0.0030455711207835624</v>
      </c>
      <c r="D248" s="82" t="s">
        <v>1224</v>
      </c>
      <c r="E248" s="82" t="b">
        <v>0</v>
      </c>
      <c r="F248" s="82" t="b">
        <v>0</v>
      </c>
      <c r="G248" s="82" t="b">
        <v>0</v>
      </c>
    </row>
    <row r="249" spans="1:7" ht="15">
      <c r="A249" s="84" t="s">
        <v>1081</v>
      </c>
      <c r="B249" s="82">
        <v>2</v>
      </c>
      <c r="C249" s="105">
        <v>0.0030455711207835624</v>
      </c>
      <c r="D249" s="82" t="s">
        <v>1224</v>
      </c>
      <c r="E249" s="82" t="b">
        <v>0</v>
      </c>
      <c r="F249" s="82" t="b">
        <v>0</v>
      </c>
      <c r="G249" s="82" t="b">
        <v>0</v>
      </c>
    </row>
    <row r="250" spans="1:7" ht="15">
      <c r="A250" s="84" t="s">
        <v>1082</v>
      </c>
      <c r="B250" s="82">
        <v>2</v>
      </c>
      <c r="C250" s="105">
        <v>0.002679799558615906</v>
      </c>
      <c r="D250" s="82" t="s">
        <v>1224</v>
      </c>
      <c r="E250" s="82" t="b">
        <v>0</v>
      </c>
      <c r="F250" s="82" t="b">
        <v>0</v>
      </c>
      <c r="G250" s="82" t="b">
        <v>0</v>
      </c>
    </row>
    <row r="251" spans="1:7" ht="15">
      <c r="A251" s="84" t="s">
        <v>1083</v>
      </c>
      <c r="B251" s="82">
        <v>2</v>
      </c>
      <c r="C251" s="105">
        <v>0.002679799558615906</v>
      </c>
      <c r="D251" s="82" t="s">
        <v>1224</v>
      </c>
      <c r="E251" s="82" t="b">
        <v>0</v>
      </c>
      <c r="F251" s="82" t="b">
        <v>0</v>
      </c>
      <c r="G251" s="82" t="b">
        <v>0</v>
      </c>
    </row>
    <row r="252" spans="1:7" ht="15">
      <c r="A252" s="84" t="s">
        <v>1084</v>
      </c>
      <c r="B252" s="82">
        <v>2</v>
      </c>
      <c r="C252" s="105">
        <v>0.002679799558615906</v>
      </c>
      <c r="D252" s="82" t="s">
        <v>1224</v>
      </c>
      <c r="E252" s="82" t="b">
        <v>0</v>
      </c>
      <c r="F252" s="82" t="b">
        <v>0</v>
      </c>
      <c r="G252" s="82" t="b">
        <v>0</v>
      </c>
    </row>
    <row r="253" spans="1:7" ht="15">
      <c r="A253" s="84" t="s">
        <v>1085</v>
      </c>
      <c r="B253" s="82">
        <v>2</v>
      </c>
      <c r="C253" s="105">
        <v>0.002679799558615906</v>
      </c>
      <c r="D253" s="82" t="s">
        <v>1224</v>
      </c>
      <c r="E253" s="82" t="b">
        <v>0</v>
      </c>
      <c r="F253" s="82" t="b">
        <v>0</v>
      </c>
      <c r="G253" s="82" t="b">
        <v>0</v>
      </c>
    </row>
    <row r="254" spans="1:7" ht="15">
      <c r="A254" s="84" t="s">
        <v>1086</v>
      </c>
      <c r="B254" s="82">
        <v>2</v>
      </c>
      <c r="C254" s="105">
        <v>0.002679799558615906</v>
      </c>
      <c r="D254" s="82" t="s">
        <v>1224</v>
      </c>
      <c r="E254" s="82" t="b">
        <v>0</v>
      </c>
      <c r="F254" s="82" t="b">
        <v>0</v>
      </c>
      <c r="G254" s="82" t="b">
        <v>0</v>
      </c>
    </row>
    <row r="255" spans="1:7" ht="15">
      <c r="A255" s="84" t="s">
        <v>1087</v>
      </c>
      <c r="B255" s="82">
        <v>2</v>
      </c>
      <c r="C255" s="105">
        <v>0.002679799558615906</v>
      </c>
      <c r="D255" s="82" t="s">
        <v>1224</v>
      </c>
      <c r="E255" s="82" t="b">
        <v>0</v>
      </c>
      <c r="F255" s="82" t="b">
        <v>0</v>
      </c>
      <c r="G255" s="82" t="b">
        <v>0</v>
      </c>
    </row>
    <row r="256" spans="1:7" ht="15">
      <c r="A256" s="84" t="s">
        <v>1088</v>
      </c>
      <c r="B256" s="82">
        <v>2</v>
      </c>
      <c r="C256" s="105">
        <v>0.002679799558615906</v>
      </c>
      <c r="D256" s="82" t="s">
        <v>1224</v>
      </c>
      <c r="E256" s="82" t="b">
        <v>0</v>
      </c>
      <c r="F256" s="82" t="b">
        <v>0</v>
      </c>
      <c r="G256" s="82" t="b">
        <v>0</v>
      </c>
    </row>
    <row r="257" spans="1:7" ht="15">
      <c r="A257" s="84" t="s">
        <v>1089</v>
      </c>
      <c r="B257" s="82">
        <v>2</v>
      </c>
      <c r="C257" s="105">
        <v>0.002679799558615906</v>
      </c>
      <c r="D257" s="82" t="s">
        <v>1224</v>
      </c>
      <c r="E257" s="82" t="b">
        <v>0</v>
      </c>
      <c r="F257" s="82" t="b">
        <v>0</v>
      </c>
      <c r="G257" s="82" t="b">
        <v>0</v>
      </c>
    </row>
    <row r="258" spans="1:7" ht="15">
      <c r="A258" s="84" t="s">
        <v>1090</v>
      </c>
      <c r="B258" s="82">
        <v>2</v>
      </c>
      <c r="C258" s="105">
        <v>0.0030455711207835624</v>
      </c>
      <c r="D258" s="82" t="s">
        <v>1224</v>
      </c>
      <c r="E258" s="82" t="b">
        <v>0</v>
      </c>
      <c r="F258" s="82" t="b">
        <v>0</v>
      </c>
      <c r="G258" s="82" t="b">
        <v>0</v>
      </c>
    </row>
    <row r="259" spans="1:7" ht="15">
      <c r="A259" s="84" t="s">
        <v>1091</v>
      </c>
      <c r="B259" s="82">
        <v>2</v>
      </c>
      <c r="C259" s="105">
        <v>0.0030455711207835624</v>
      </c>
      <c r="D259" s="82" t="s">
        <v>1224</v>
      </c>
      <c r="E259" s="82" t="b">
        <v>0</v>
      </c>
      <c r="F259" s="82" t="b">
        <v>0</v>
      </c>
      <c r="G259" s="82" t="b">
        <v>0</v>
      </c>
    </row>
    <row r="260" spans="1:7" ht="15">
      <c r="A260" s="84" t="s">
        <v>1092</v>
      </c>
      <c r="B260" s="82">
        <v>2</v>
      </c>
      <c r="C260" s="105">
        <v>0.0030455711207835624</v>
      </c>
      <c r="D260" s="82" t="s">
        <v>1224</v>
      </c>
      <c r="E260" s="82" t="b">
        <v>0</v>
      </c>
      <c r="F260" s="82" t="b">
        <v>0</v>
      </c>
      <c r="G260" s="82" t="b">
        <v>0</v>
      </c>
    </row>
    <row r="261" spans="1:7" ht="15">
      <c r="A261" s="84" t="s">
        <v>1093</v>
      </c>
      <c r="B261" s="82">
        <v>2</v>
      </c>
      <c r="C261" s="105">
        <v>0.002679799558615906</v>
      </c>
      <c r="D261" s="82" t="s">
        <v>1224</v>
      </c>
      <c r="E261" s="82" t="b">
        <v>0</v>
      </c>
      <c r="F261" s="82" t="b">
        <v>0</v>
      </c>
      <c r="G261" s="82" t="b">
        <v>0</v>
      </c>
    </row>
    <row r="262" spans="1:7" ht="15">
      <c r="A262" s="84" t="s">
        <v>1094</v>
      </c>
      <c r="B262" s="82">
        <v>2</v>
      </c>
      <c r="C262" s="105">
        <v>0.002679799558615906</v>
      </c>
      <c r="D262" s="82" t="s">
        <v>1224</v>
      </c>
      <c r="E262" s="82" t="b">
        <v>0</v>
      </c>
      <c r="F262" s="82" t="b">
        <v>0</v>
      </c>
      <c r="G262" s="82" t="b">
        <v>0</v>
      </c>
    </row>
    <row r="263" spans="1:7" ht="15">
      <c r="A263" s="84" t="s">
        <v>1095</v>
      </c>
      <c r="B263" s="82">
        <v>2</v>
      </c>
      <c r="C263" s="105">
        <v>0.002679799558615906</v>
      </c>
      <c r="D263" s="82" t="s">
        <v>1224</v>
      </c>
      <c r="E263" s="82" t="b">
        <v>0</v>
      </c>
      <c r="F263" s="82" t="b">
        <v>0</v>
      </c>
      <c r="G263" s="82" t="b">
        <v>0</v>
      </c>
    </row>
    <row r="264" spans="1:7" ht="15">
      <c r="A264" s="84" t="s">
        <v>1096</v>
      </c>
      <c r="B264" s="82">
        <v>2</v>
      </c>
      <c r="C264" s="105">
        <v>0.002679799558615906</v>
      </c>
      <c r="D264" s="82" t="s">
        <v>1224</v>
      </c>
      <c r="E264" s="82" t="b">
        <v>0</v>
      </c>
      <c r="F264" s="82" t="b">
        <v>0</v>
      </c>
      <c r="G264" s="82" t="b">
        <v>0</v>
      </c>
    </row>
    <row r="265" spans="1:7" ht="15">
      <c r="A265" s="84" t="s">
        <v>1097</v>
      </c>
      <c r="B265" s="82">
        <v>2</v>
      </c>
      <c r="C265" s="105">
        <v>0.0030455711207835624</v>
      </c>
      <c r="D265" s="82" t="s">
        <v>1224</v>
      </c>
      <c r="E265" s="82" t="b">
        <v>0</v>
      </c>
      <c r="F265" s="82" t="b">
        <v>0</v>
      </c>
      <c r="G265" s="82" t="b">
        <v>0</v>
      </c>
    </row>
    <row r="266" spans="1:7" ht="15">
      <c r="A266" s="84" t="s">
        <v>1098</v>
      </c>
      <c r="B266" s="82">
        <v>2</v>
      </c>
      <c r="C266" s="105">
        <v>0.0030455711207835624</v>
      </c>
      <c r="D266" s="82" t="s">
        <v>1224</v>
      </c>
      <c r="E266" s="82" t="b">
        <v>0</v>
      </c>
      <c r="F266" s="82" t="b">
        <v>0</v>
      </c>
      <c r="G266" s="82" t="b">
        <v>0</v>
      </c>
    </row>
    <row r="267" spans="1:7" ht="15">
      <c r="A267" s="84" t="s">
        <v>1099</v>
      </c>
      <c r="B267" s="82">
        <v>2</v>
      </c>
      <c r="C267" s="105">
        <v>0.0030455711207835624</v>
      </c>
      <c r="D267" s="82" t="s">
        <v>1224</v>
      </c>
      <c r="E267" s="82" t="b">
        <v>0</v>
      </c>
      <c r="F267" s="82" t="b">
        <v>0</v>
      </c>
      <c r="G267" s="82" t="b">
        <v>0</v>
      </c>
    </row>
    <row r="268" spans="1:7" ht="15">
      <c r="A268" s="84" t="s">
        <v>1100</v>
      </c>
      <c r="B268" s="82">
        <v>2</v>
      </c>
      <c r="C268" s="105">
        <v>0.002679799558615906</v>
      </c>
      <c r="D268" s="82" t="s">
        <v>1224</v>
      </c>
      <c r="E268" s="82" t="b">
        <v>0</v>
      </c>
      <c r="F268" s="82" t="b">
        <v>0</v>
      </c>
      <c r="G268" s="82" t="b">
        <v>0</v>
      </c>
    </row>
    <row r="269" spans="1:7" ht="15">
      <c r="A269" s="84" t="s">
        <v>1101</v>
      </c>
      <c r="B269" s="82">
        <v>2</v>
      </c>
      <c r="C269" s="105">
        <v>0.002679799558615906</v>
      </c>
      <c r="D269" s="82" t="s">
        <v>1224</v>
      </c>
      <c r="E269" s="82" t="b">
        <v>0</v>
      </c>
      <c r="F269" s="82" t="b">
        <v>0</v>
      </c>
      <c r="G269" s="82" t="b">
        <v>0</v>
      </c>
    </row>
    <row r="270" spans="1:7" ht="15">
      <c r="A270" s="84" t="s">
        <v>1102</v>
      </c>
      <c r="B270" s="82">
        <v>2</v>
      </c>
      <c r="C270" s="105">
        <v>0.002679799558615906</v>
      </c>
      <c r="D270" s="82" t="s">
        <v>1224</v>
      </c>
      <c r="E270" s="82" t="b">
        <v>0</v>
      </c>
      <c r="F270" s="82" t="b">
        <v>0</v>
      </c>
      <c r="G270" s="82" t="b">
        <v>0</v>
      </c>
    </row>
    <row r="271" spans="1:7" ht="15">
      <c r="A271" s="84" t="s">
        <v>1103</v>
      </c>
      <c r="B271" s="82">
        <v>2</v>
      </c>
      <c r="C271" s="105">
        <v>0.002679799558615906</v>
      </c>
      <c r="D271" s="82" t="s">
        <v>1224</v>
      </c>
      <c r="E271" s="82" t="b">
        <v>0</v>
      </c>
      <c r="F271" s="82" t="b">
        <v>0</v>
      </c>
      <c r="G271" s="82" t="b">
        <v>0</v>
      </c>
    </row>
    <row r="272" spans="1:7" ht="15">
      <c r="A272" s="84" t="s">
        <v>1104</v>
      </c>
      <c r="B272" s="82">
        <v>2</v>
      </c>
      <c r="C272" s="105">
        <v>0.002679799558615906</v>
      </c>
      <c r="D272" s="82" t="s">
        <v>1224</v>
      </c>
      <c r="E272" s="82" t="b">
        <v>0</v>
      </c>
      <c r="F272" s="82" t="b">
        <v>0</v>
      </c>
      <c r="G272" s="82" t="b">
        <v>0</v>
      </c>
    </row>
    <row r="273" spans="1:7" ht="15">
      <c r="A273" s="84" t="s">
        <v>1105</v>
      </c>
      <c r="B273" s="82">
        <v>2</v>
      </c>
      <c r="C273" s="105">
        <v>0.002679799558615906</v>
      </c>
      <c r="D273" s="82" t="s">
        <v>1224</v>
      </c>
      <c r="E273" s="82" t="b">
        <v>0</v>
      </c>
      <c r="F273" s="82" t="b">
        <v>0</v>
      </c>
      <c r="G273" s="82" t="b">
        <v>0</v>
      </c>
    </row>
    <row r="274" spans="1:7" ht="15">
      <c r="A274" s="84" t="s">
        <v>1106</v>
      </c>
      <c r="B274" s="82">
        <v>2</v>
      </c>
      <c r="C274" s="105">
        <v>0.0030455711207835624</v>
      </c>
      <c r="D274" s="82" t="s">
        <v>1224</v>
      </c>
      <c r="E274" s="82" t="b">
        <v>0</v>
      </c>
      <c r="F274" s="82" t="b">
        <v>0</v>
      </c>
      <c r="G274" s="82" t="b">
        <v>0</v>
      </c>
    </row>
    <row r="275" spans="1:7" ht="15">
      <c r="A275" s="84" t="s">
        <v>1107</v>
      </c>
      <c r="B275" s="82">
        <v>2</v>
      </c>
      <c r="C275" s="105">
        <v>0.0030455711207835624</v>
      </c>
      <c r="D275" s="82" t="s">
        <v>1224</v>
      </c>
      <c r="E275" s="82" t="b">
        <v>0</v>
      </c>
      <c r="F275" s="82" t="b">
        <v>0</v>
      </c>
      <c r="G275" s="82" t="b">
        <v>0</v>
      </c>
    </row>
    <row r="276" spans="1:7" ht="15">
      <c r="A276" s="84" t="s">
        <v>1108</v>
      </c>
      <c r="B276" s="82">
        <v>2</v>
      </c>
      <c r="C276" s="105">
        <v>0.0030455711207835624</v>
      </c>
      <c r="D276" s="82" t="s">
        <v>1224</v>
      </c>
      <c r="E276" s="82" t="b">
        <v>0</v>
      </c>
      <c r="F276" s="82" t="b">
        <v>0</v>
      </c>
      <c r="G276" s="82" t="b">
        <v>0</v>
      </c>
    </row>
    <row r="277" spans="1:7" ht="15">
      <c r="A277" s="84" t="s">
        <v>1109</v>
      </c>
      <c r="B277" s="82">
        <v>2</v>
      </c>
      <c r="C277" s="105">
        <v>0.002679799558615906</v>
      </c>
      <c r="D277" s="82" t="s">
        <v>1224</v>
      </c>
      <c r="E277" s="82" t="b">
        <v>0</v>
      </c>
      <c r="F277" s="82" t="b">
        <v>0</v>
      </c>
      <c r="G277" s="82" t="b">
        <v>0</v>
      </c>
    </row>
    <row r="278" spans="1:7" ht="15">
      <c r="A278" s="84" t="s">
        <v>1110</v>
      </c>
      <c r="B278" s="82">
        <v>2</v>
      </c>
      <c r="C278" s="105">
        <v>0.002679799558615906</v>
      </c>
      <c r="D278" s="82" t="s">
        <v>1224</v>
      </c>
      <c r="E278" s="82" t="b">
        <v>0</v>
      </c>
      <c r="F278" s="82" t="b">
        <v>0</v>
      </c>
      <c r="G278" s="82" t="b">
        <v>0</v>
      </c>
    </row>
    <row r="279" spans="1:7" ht="15">
      <c r="A279" s="84" t="s">
        <v>1111</v>
      </c>
      <c r="B279" s="82">
        <v>2</v>
      </c>
      <c r="C279" s="105">
        <v>0.002679799558615906</v>
      </c>
      <c r="D279" s="82" t="s">
        <v>1224</v>
      </c>
      <c r="E279" s="82" t="b">
        <v>0</v>
      </c>
      <c r="F279" s="82" t="b">
        <v>0</v>
      </c>
      <c r="G279" s="82" t="b">
        <v>0</v>
      </c>
    </row>
    <row r="280" spans="1:7" ht="15">
      <c r="A280" s="84" t="s">
        <v>1112</v>
      </c>
      <c r="B280" s="82">
        <v>2</v>
      </c>
      <c r="C280" s="105">
        <v>0.002679799558615906</v>
      </c>
      <c r="D280" s="82" t="s">
        <v>1224</v>
      </c>
      <c r="E280" s="82" t="b">
        <v>0</v>
      </c>
      <c r="F280" s="82" t="b">
        <v>0</v>
      </c>
      <c r="G280" s="82" t="b">
        <v>0</v>
      </c>
    </row>
    <row r="281" spans="1:7" ht="15">
      <c r="A281" s="84" t="s">
        <v>1113</v>
      </c>
      <c r="B281" s="82">
        <v>2</v>
      </c>
      <c r="C281" s="105">
        <v>0.002679799558615906</v>
      </c>
      <c r="D281" s="82" t="s">
        <v>1224</v>
      </c>
      <c r="E281" s="82" t="b">
        <v>1</v>
      </c>
      <c r="F281" s="82" t="b">
        <v>0</v>
      </c>
      <c r="G281" s="82" t="b">
        <v>0</v>
      </c>
    </row>
    <row r="282" spans="1:7" ht="15">
      <c r="A282" s="84" t="s">
        <v>1114</v>
      </c>
      <c r="B282" s="82">
        <v>2</v>
      </c>
      <c r="C282" s="105">
        <v>0.002679799558615906</v>
      </c>
      <c r="D282" s="82" t="s">
        <v>1224</v>
      </c>
      <c r="E282" s="82" t="b">
        <v>0</v>
      </c>
      <c r="F282" s="82" t="b">
        <v>0</v>
      </c>
      <c r="G282" s="82" t="b">
        <v>0</v>
      </c>
    </row>
    <row r="283" spans="1:7" ht="15">
      <c r="A283" s="84" t="s">
        <v>1115</v>
      </c>
      <c r="B283" s="82">
        <v>2</v>
      </c>
      <c r="C283" s="105">
        <v>0.0030455711207835624</v>
      </c>
      <c r="D283" s="82" t="s">
        <v>1224</v>
      </c>
      <c r="E283" s="82" t="b">
        <v>0</v>
      </c>
      <c r="F283" s="82" t="b">
        <v>0</v>
      </c>
      <c r="G283" s="82" t="b">
        <v>0</v>
      </c>
    </row>
    <row r="284" spans="1:7" ht="15">
      <c r="A284" s="84" t="s">
        <v>1116</v>
      </c>
      <c r="B284" s="82">
        <v>2</v>
      </c>
      <c r="C284" s="105">
        <v>0.002679799558615906</v>
      </c>
      <c r="D284" s="82" t="s">
        <v>1224</v>
      </c>
      <c r="E284" s="82" t="b">
        <v>0</v>
      </c>
      <c r="F284" s="82" t="b">
        <v>0</v>
      </c>
      <c r="G284" s="82" t="b">
        <v>0</v>
      </c>
    </row>
    <row r="285" spans="1:7" ht="15">
      <c r="A285" s="84" t="s">
        <v>1117</v>
      </c>
      <c r="B285" s="82">
        <v>2</v>
      </c>
      <c r="C285" s="105">
        <v>0.002679799558615906</v>
      </c>
      <c r="D285" s="82" t="s">
        <v>1224</v>
      </c>
      <c r="E285" s="82" t="b">
        <v>0</v>
      </c>
      <c r="F285" s="82" t="b">
        <v>0</v>
      </c>
      <c r="G285" s="82" t="b">
        <v>0</v>
      </c>
    </row>
    <row r="286" spans="1:7" ht="15">
      <c r="A286" s="84" t="s">
        <v>1118</v>
      </c>
      <c r="B286" s="82">
        <v>2</v>
      </c>
      <c r="C286" s="105">
        <v>0.002679799558615906</v>
      </c>
      <c r="D286" s="82" t="s">
        <v>1224</v>
      </c>
      <c r="E286" s="82" t="b">
        <v>0</v>
      </c>
      <c r="F286" s="82" t="b">
        <v>0</v>
      </c>
      <c r="G286" s="82" t="b">
        <v>0</v>
      </c>
    </row>
    <row r="287" spans="1:7" ht="15">
      <c r="A287" s="84" t="s">
        <v>1119</v>
      </c>
      <c r="B287" s="82">
        <v>2</v>
      </c>
      <c r="C287" s="105">
        <v>0.002679799558615906</v>
      </c>
      <c r="D287" s="82" t="s">
        <v>1224</v>
      </c>
      <c r="E287" s="82" t="b">
        <v>0</v>
      </c>
      <c r="F287" s="82" t="b">
        <v>0</v>
      </c>
      <c r="G287" s="82" t="b">
        <v>0</v>
      </c>
    </row>
    <row r="288" spans="1:7" ht="15">
      <c r="A288" s="84" t="s">
        <v>1120</v>
      </c>
      <c r="B288" s="82">
        <v>2</v>
      </c>
      <c r="C288" s="105">
        <v>0.0030455711207835624</v>
      </c>
      <c r="D288" s="82" t="s">
        <v>1224</v>
      </c>
      <c r="E288" s="82" t="b">
        <v>0</v>
      </c>
      <c r="F288" s="82" t="b">
        <v>0</v>
      </c>
      <c r="G288" s="82" t="b">
        <v>0</v>
      </c>
    </row>
    <row r="289" spans="1:7" ht="15">
      <c r="A289" s="84" t="s">
        <v>1121</v>
      </c>
      <c r="B289" s="82">
        <v>2</v>
      </c>
      <c r="C289" s="105">
        <v>0.0030455711207835624</v>
      </c>
      <c r="D289" s="82" t="s">
        <v>1224</v>
      </c>
      <c r="E289" s="82" t="b">
        <v>0</v>
      </c>
      <c r="F289" s="82" t="b">
        <v>0</v>
      </c>
      <c r="G289" s="82" t="b">
        <v>0</v>
      </c>
    </row>
    <row r="290" spans="1:7" ht="15">
      <c r="A290" s="84" t="s">
        <v>1122</v>
      </c>
      <c r="B290" s="82">
        <v>2</v>
      </c>
      <c r="C290" s="105">
        <v>0.0030455711207835624</v>
      </c>
      <c r="D290" s="82" t="s">
        <v>1224</v>
      </c>
      <c r="E290" s="82" t="b">
        <v>0</v>
      </c>
      <c r="F290" s="82" t="b">
        <v>0</v>
      </c>
      <c r="G290" s="82" t="b">
        <v>0</v>
      </c>
    </row>
    <row r="291" spans="1:7" ht="15">
      <c r="A291" s="84" t="s">
        <v>1123</v>
      </c>
      <c r="B291" s="82">
        <v>2</v>
      </c>
      <c r="C291" s="105">
        <v>0.0030455711207835624</v>
      </c>
      <c r="D291" s="82" t="s">
        <v>1224</v>
      </c>
      <c r="E291" s="82" t="b">
        <v>0</v>
      </c>
      <c r="F291" s="82" t="b">
        <v>0</v>
      </c>
      <c r="G291" s="82" t="b">
        <v>0</v>
      </c>
    </row>
    <row r="292" spans="1:7" ht="15">
      <c r="A292" s="84" t="s">
        <v>1124</v>
      </c>
      <c r="B292" s="82">
        <v>2</v>
      </c>
      <c r="C292" s="105">
        <v>0.002679799558615906</v>
      </c>
      <c r="D292" s="82" t="s">
        <v>1224</v>
      </c>
      <c r="E292" s="82" t="b">
        <v>0</v>
      </c>
      <c r="F292" s="82" t="b">
        <v>0</v>
      </c>
      <c r="G292" s="82" t="b">
        <v>0</v>
      </c>
    </row>
    <row r="293" spans="1:7" ht="15">
      <c r="A293" s="84" t="s">
        <v>1125</v>
      </c>
      <c r="B293" s="82">
        <v>2</v>
      </c>
      <c r="C293" s="105">
        <v>0.0030455711207835624</v>
      </c>
      <c r="D293" s="82" t="s">
        <v>1224</v>
      </c>
      <c r="E293" s="82" t="b">
        <v>0</v>
      </c>
      <c r="F293" s="82" t="b">
        <v>0</v>
      </c>
      <c r="G293" s="82" t="b">
        <v>0</v>
      </c>
    </row>
    <row r="294" spans="1:7" ht="15">
      <c r="A294" s="84" t="s">
        <v>1126</v>
      </c>
      <c r="B294" s="82">
        <v>2</v>
      </c>
      <c r="C294" s="105">
        <v>0.0030455711207835624</v>
      </c>
      <c r="D294" s="82" t="s">
        <v>1224</v>
      </c>
      <c r="E294" s="82" t="b">
        <v>0</v>
      </c>
      <c r="F294" s="82" t="b">
        <v>0</v>
      </c>
      <c r="G294" s="82" t="b">
        <v>0</v>
      </c>
    </row>
    <row r="295" spans="1:7" ht="15">
      <c r="A295" s="84" t="s">
        <v>1127</v>
      </c>
      <c r="B295" s="82">
        <v>2</v>
      </c>
      <c r="C295" s="105">
        <v>0.0030455711207835624</v>
      </c>
      <c r="D295" s="82" t="s">
        <v>1224</v>
      </c>
      <c r="E295" s="82" t="b">
        <v>0</v>
      </c>
      <c r="F295" s="82" t="b">
        <v>0</v>
      </c>
      <c r="G295" s="82" t="b">
        <v>0</v>
      </c>
    </row>
    <row r="296" spans="1:7" ht="15">
      <c r="A296" s="84" t="s">
        <v>1128</v>
      </c>
      <c r="B296" s="82">
        <v>2</v>
      </c>
      <c r="C296" s="105">
        <v>0.0030455711207835624</v>
      </c>
      <c r="D296" s="82" t="s">
        <v>1224</v>
      </c>
      <c r="E296" s="82" t="b">
        <v>0</v>
      </c>
      <c r="F296" s="82" t="b">
        <v>0</v>
      </c>
      <c r="G296" s="82" t="b">
        <v>0</v>
      </c>
    </row>
    <row r="297" spans="1:7" ht="15">
      <c r="A297" s="84" t="s">
        <v>1129</v>
      </c>
      <c r="B297" s="82">
        <v>2</v>
      </c>
      <c r="C297" s="105">
        <v>0.0030455711207835624</v>
      </c>
      <c r="D297" s="82" t="s">
        <v>1224</v>
      </c>
      <c r="E297" s="82" t="b">
        <v>0</v>
      </c>
      <c r="F297" s="82" t="b">
        <v>0</v>
      </c>
      <c r="G297" s="82" t="b">
        <v>0</v>
      </c>
    </row>
    <row r="298" spans="1:7" ht="15">
      <c r="A298" s="84" t="s">
        <v>1130</v>
      </c>
      <c r="B298" s="82">
        <v>2</v>
      </c>
      <c r="C298" s="105">
        <v>0.0030455711207835624</v>
      </c>
      <c r="D298" s="82" t="s">
        <v>1224</v>
      </c>
      <c r="E298" s="82" t="b">
        <v>0</v>
      </c>
      <c r="F298" s="82" t="b">
        <v>0</v>
      </c>
      <c r="G298" s="82" t="b">
        <v>0</v>
      </c>
    </row>
    <row r="299" spans="1:7" ht="15">
      <c r="A299" s="84" t="s">
        <v>1131</v>
      </c>
      <c r="B299" s="82">
        <v>2</v>
      </c>
      <c r="C299" s="105">
        <v>0.0030455711207835624</v>
      </c>
      <c r="D299" s="82" t="s">
        <v>1224</v>
      </c>
      <c r="E299" s="82" t="b">
        <v>0</v>
      </c>
      <c r="F299" s="82" t="b">
        <v>0</v>
      </c>
      <c r="G299" s="82" t="b">
        <v>0</v>
      </c>
    </row>
    <row r="300" spans="1:7" ht="15">
      <c r="A300" s="84" t="s">
        <v>1132</v>
      </c>
      <c r="B300" s="82">
        <v>2</v>
      </c>
      <c r="C300" s="105">
        <v>0.0030455711207835624</v>
      </c>
      <c r="D300" s="82" t="s">
        <v>1224</v>
      </c>
      <c r="E300" s="82" t="b">
        <v>0</v>
      </c>
      <c r="F300" s="82" t="b">
        <v>0</v>
      </c>
      <c r="G300" s="82" t="b">
        <v>0</v>
      </c>
    </row>
    <row r="301" spans="1:7" ht="15">
      <c r="A301" s="84" t="s">
        <v>1133</v>
      </c>
      <c r="B301" s="82">
        <v>2</v>
      </c>
      <c r="C301" s="105">
        <v>0.002679799558615906</v>
      </c>
      <c r="D301" s="82" t="s">
        <v>1224</v>
      </c>
      <c r="E301" s="82" t="b">
        <v>1</v>
      </c>
      <c r="F301" s="82" t="b">
        <v>0</v>
      </c>
      <c r="G301" s="82" t="b">
        <v>0</v>
      </c>
    </row>
    <row r="302" spans="1:7" ht="15">
      <c r="A302" s="84" t="s">
        <v>1134</v>
      </c>
      <c r="B302" s="82">
        <v>2</v>
      </c>
      <c r="C302" s="105">
        <v>0.002679799558615906</v>
      </c>
      <c r="D302" s="82" t="s">
        <v>1224</v>
      </c>
      <c r="E302" s="82" t="b">
        <v>0</v>
      </c>
      <c r="F302" s="82" t="b">
        <v>0</v>
      </c>
      <c r="G302" s="82" t="b">
        <v>0</v>
      </c>
    </row>
    <row r="303" spans="1:7" ht="15">
      <c r="A303" s="84" t="s">
        <v>1135</v>
      </c>
      <c r="B303" s="82">
        <v>2</v>
      </c>
      <c r="C303" s="105">
        <v>0.002679799558615906</v>
      </c>
      <c r="D303" s="82" t="s">
        <v>1224</v>
      </c>
      <c r="E303" s="82" t="b">
        <v>0</v>
      </c>
      <c r="F303" s="82" t="b">
        <v>0</v>
      </c>
      <c r="G303" s="82" t="b">
        <v>0</v>
      </c>
    </row>
    <row r="304" spans="1:7" ht="15">
      <c r="A304" s="84" t="s">
        <v>1136</v>
      </c>
      <c r="B304" s="82">
        <v>2</v>
      </c>
      <c r="C304" s="105">
        <v>0.002679799558615906</v>
      </c>
      <c r="D304" s="82" t="s">
        <v>1224</v>
      </c>
      <c r="E304" s="82" t="b">
        <v>0</v>
      </c>
      <c r="F304" s="82" t="b">
        <v>0</v>
      </c>
      <c r="G304" s="82" t="b">
        <v>0</v>
      </c>
    </row>
    <row r="305" spans="1:7" ht="15">
      <c r="A305" s="84" t="s">
        <v>1137</v>
      </c>
      <c r="B305" s="82">
        <v>2</v>
      </c>
      <c r="C305" s="105">
        <v>0.002679799558615906</v>
      </c>
      <c r="D305" s="82" t="s">
        <v>1224</v>
      </c>
      <c r="E305" s="82" t="b">
        <v>0</v>
      </c>
      <c r="F305" s="82" t="b">
        <v>0</v>
      </c>
      <c r="G305" s="82" t="b">
        <v>0</v>
      </c>
    </row>
    <row r="306" spans="1:7" ht="15">
      <c r="A306" s="84" t="s">
        <v>1138</v>
      </c>
      <c r="B306" s="82">
        <v>2</v>
      </c>
      <c r="C306" s="105">
        <v>0.0030455711207835624</v>
      </c>
      <c r="D306" s="82" t="s">
        <v>1224</v>
      </c>
      <c r="E306" s="82" t="b">
        <v>0</v>
      </c>
      <c r="F306" s="82" t="b">
        <v>0</v>
      </c>
      <c r="G306" s="82" t="b">
        <v>0</v>
      </c>
    </row>
    <row r="307" spans="1:7" ht="15">
      <c r="A307" s="84" t="s">
        <v>1139</v>
      </c>
      <c r="B307" s="82">
        <v>2</v>
      </c>
      <c r="C307" s="105">
        <v>0.0030455711207835624</v>
      </c>
      <c r="D307" s="82" t="s">
        <v>1224</v>
      </c>
      <c r="E307" s="82" t="b">
        <v>0</v>
      </c>
      <c r="F307" s="82" t="b">
        <v>0</v>
      </c>
      <c r="G307" s="82" t="b">
        <v>0</v>
      </c>
    </row>
    <row r="308" spans="1:7" ht="15">
      <c r="A308" s="84" t="s">
        <v>1140</v>
      </c>
      <c r="B308" s="82">
        <v>2</v>
      </c>
      <c r="C308" s="105">
        <v>0.0030455711207835624</v>
      </c>
      <c r="D308" s="82" t="s">
        <v>1224</v>
      </c>
      <c r="E308" s="82" t="b">
        <v>0</v>
      </c>
      <c r="F308" s="82" t="b">
        <v>0</v>
      </c>
      <c r="G308" s="82" t="b">
        <v>0</v>
      </c>
    </row>
    <row r="309" spans="1:7" ht="15">
      <c r="A309" s="84" t="s">
        <v>1141</v>
      </c>
      <c r="B309" s="82">
        <v>2</v>
      </c>
      <c r="C309" s="105">
        <v>0.0030455711207835624</v>
      </c>
      <c r="D309" s="82" t="s">
        <v>1224</v>
      </c>
      <c r="E309" s="82" t="b">
        <v>0</v>
      </c>
      <c r="F309" s="82" t="b">
        <v>0</v>
      </c>
      <c r="G309" s="82" t="b">
        <v>0</v>
      </c>
    </row>
    <row r="310" spans="1:7" ht="15">
      <c r="A310" s="84" t="s">
        <v>1142</v>
      </c>
      <c r="B310" s="82">
        <v>2</v>
      </c>
      <c r="C310" s="105">
        <v>0.0030455711207835624</v>
      </c>
      <c r="D310" s="82" t="s">
        <v>1224</v>
      </c>
      <c r="E310" s="82" t="b">
        <v>0</v>
      </c>
      <c r="F310" s="82" t="b">
        <v>0</v>
      </c>
      <c r="G310" s="82" t="b">
        <v>0</v>
      </c>
    </row>
    <row r="311" spans="1:7" ht="15">
      <c r="A311" s="84" t="s">
        <v>1143</v>
      </c>
      <c r="B311" s="82">
        <v>2</v>
      </c>
      <c r="C311" s="105">
        <v>0.0030455711207835624</v>
      </c>
      <c r="D311" s="82" t="s">
        <v>1224</v>
      </c>
      <c r="E311" s="82" t="b">
        <v>0</v>
      </c>
      <c r="F311" s="82" t="b">
        <v>0</v>
      </c>
      <c r="G311" s="82" t="b">
        <v>0</v>
      </c>
    </row>
    <row r="312" spans="1:7" ht="15">
      <c r="A312" s="84" t="s">
        <v>1144</v>
      </c>
      <c r="B312" s="82">
        <v>2</v>
      </c>
      <c r="C312" s="105">
        <v>0.0030455711207835624</v>
      </c>
      <c r="D312" s="82" t="s">
        <v>1224</v>
      </c>
      <c r="E312" s="82" t="b">
        <v>0</v>
      </c>
      <c r="F312" s="82" t="b">
        <v>0</v>
      </c>
      <c r="G312" s="82" t="b">
        <v>0</v>
      </c>
    </row>
    <row r="313" spans="1:7" ht="15">
      <c r="A313" s="84" t="s">
        <v>1145</v>
      </c>
      <c r="B313" s="82">
        <v>2</v>
      </c>
      <c r="C313" s="105">
        <v>0.0030455711207835624</v>
      </c>
      <c r="D313" s="82" t="s">
        <v>1224</v>
      </c>
      <c r="E313" s="82" t="b">
        <v>0</v>
      </c>
      <c r="F313" s="82" t="b">
        <v>0</v>
      </c>
      <c r="G313" s="82" t="b">
        <v>0</v>
      </c>
    </row>
    <row r="314" spans="1:7" ht="15">
      <c r="A314" s="84" t="s">
        <v>1146</v>
      </c>
      <c r="B314" s="82">
        <v>2</v>
      </c>
      <c r="C314" s="105">
        <v>0.0030455711207835624</v>
      </c>
      <c r="D314" s="82" t="s">
        <v>1224</v>
      </c>
      <c r="E314" s="82" t="b">
        <v>0</v>
      </c>
      <c r="F314" s="82" t="b">
        <v>0</v>
      </c>
      <c r="G314" s="82" t="b">
        <v>0</v>
      </c>
    </row>
    <row r="315" spans="1:7" ht="15">
      <c r="A315" s="84" t="s">
        <v>1147</v>
      </c>
      <c r="B315" s="82">
        <v>2</v>
      </c>
      <c r="C315" s="105">
        <v>0.0030455711207835624</v>
      </c>
      <c r="D315" s="82" t="s">
        <v>1224</v>
      </c>
      <c r="E315" s="82" t="b">
        <v>0</v>
      </c>
      <c r="F315" s="82" t="b">
        <v>0</v>
      </c>
      <c r="G315" s="82" t="b">
        <v>0</v>
      </c>
    </row>
    <row r="316" spans="1:7" ht="15">
      <c r="A316" s="84" t="s">
        <v>1148</v>
      </c>
      <c r="B316" s="82">
        <v>2</v>
      </c>
      <c r="C316" s="105">
        <v>0.0030455711207835624</v>
      </c>
      <c r="D316" s="82" t="s">
        <v>1224</v>
      </c>
      <c r="E316" s="82" t="b">
        <v>0</v>
      </c>
      <c r="F316" s="82" t="b">
        <v>0</v>
      </c>
      <c r="G316" s="82" t="b">
        <v>0</v>
      </c>
    </row>
    <row r="317" spans="1:7" ht="15">
      <c r="A317" s="84" t="s">
        <v>1149</v>
      </c>
      <c r="B317" s="82">
        <v>2</v>
      </c>
      <c r="C317" s="105">
        <v>0.0030455711207835624</v>
      </c>
      <c r="D317" s="82" t="s">
        <v>1224</v>
      </c>
      <c r="E317" s="82" t="b">
        <v>0</v>
      </c>
      <c r="F317" s="82" t="b">
        <v>0</v>
      </c>
      <c r="G317" s="82" t="b">
        <v>0</v>
      </c>
    </row>
    <row r="318" spans="1:7" ht="15">
      <c r="A318" s="84" t="s">
        <v>1150</v>
      </c>
      <c r="B318" s="82">
        <v>2</v>
      </c>
      <c r="C318" s="105">
        <v>0.0030455711207835624</v>
      </c>
      <c r="D318" s="82" t="s">
        <v>1224</v>
      </c>
      <c r="E318" s="82" t="b">
        <v>0</v>
      </c>
      <c r="F318" s="82" t="b">
        <v>0</v>
      </c>
      <c r="G318" s="82" t="b">
        <v>0</v>
      </c>
    </row>
    <row r="319" spans="1:7" ht="15">
      <c r="A319" s="84" t="s">
        <v>1151</v>
      </c>
      <c r="B319" s="82">
        <v>2</v>
      </c>
      <c r="C319" s="105">
        <v>0.0030455711207835624</v>
      </c>
      <c r="D319" s="82" t="s">
        <v>1224</v>
      </c>
      <c r="E319" s="82" t="b">
        <v>0</v>
      </c>
      <c r="F319" s="82" t="b">
        <v>0</v>
      </c>
      <c r="G319" s="82" t="b">
        <v>0</v>
      </c>
    </row>
    <row r="320" spans="1:7" ht="15">
      <c r="A320" s="84" t="s">
        <v>1152</v>
      </c>
      <c r="B320" s="82">
        <v>2</v>
      </c>
      <c r="C320" s="105">
        <v>0.0030455711207835624</v>
      </c>
      <c r="D320" s="82" t="s">
        <v>1224</v>
      </c>
      <c r="E320" s="82" t="b">
        <v>0</v>
      </c>
      <c r="F320" s="82" t="b">
        <v>0</v>
      </c>
      <c r="G320" s="82" t="b">
        <v>0</v>
      </c>
    </row>
    <row r="321" spans="1:7" ht="15">
      <c r="A321" s="84" t="s">
        <v>1153</v>
      </c>
      <c r="B321" s="82">
        <v>2</v>
      </c>
      <c r="C321" s="105">
        <v>0.0030455711207835624</v>
      </c>
      <c r="D321" s="82" t="s">
        <v>1224</v>
      </c>
      <c r="E321" s="82" t="b">
        <v>0</v>
      </c>
      <c r="F321" s="82" t="b">
        <v>0</v>
      </c>
      <c r="G321" s="82" t="b">
        <v>0</v>
      </c>
    </row>
    <row r="322" spans="1:7" ht="15">
      <c r="A322" s="84" t="s">
        <v>1154</v>
      </c>
      <c r="B322" s="82">
        <v>2</v>
      </c>
      <c r="C322" s="105">
        <v>0.0030455711207835624</v>
      </c>
      <c r="D322" s="82" t="s">
        <v>1224</v>
      </c>
      <c r="E322" s="82" t="b">
        <v>0</v>
      </c>
      <c r="F322" s="82" t="b">
        <v>0</v>
      </c>
      <c r="G322" s="82" t="b">
        <v>0</v>
      </c>
    </row>
    <row r="323" spans="1:7" ht="15">
      <c r="A323" s="84" t="s">
        <v>1155</v>
      </c>
      <c r="B323" s="82">
        <v>2</v>
      </c>
      <c r="C323" s="105">
        <v>0.002679799558615906</v>
      </c>
      <c r="D323" s="82" t="s">
        <v>1224</v>
      </c>
      <c r="E323" s="82" t="b">
        <v>0</v>
      </c>
      <c r="F323" s="82" t="b">
        <v>0</v>
      </c>
      <c r="G323" s="82" t="b">
        <v>0</v>
      </c>
    </row>
    <row r="324" spans="1:7" ht="15">
      <c r="A324" s="84" t="s">
        <v>1156</v>
      </c>
      <c r="B324" s="82">
        <v>2</v>
      </c>
      <c r="C324" s="105">
        <v>0.002679799558615906</v>
      </c>
      <c r="D324" s="82" t="s">
        <v>1224</v>
      </c>
      <c r="E324" s="82" t="b">
        <v>0</v>
      </c>
      <c r="F324" s="82" t="b">
        <v>0</v>
      </c>
      <c r="G324" s="82" t="b">
        <v>0</v>
      </c>
    </row>
    <row r="325" spans="1:7" ht="15">
      <c r="A325" s="84" t="s">
        <v>1157</v>
      </c>
      <c r="B325" s="82">
        <v>2</v>
      </c>
      <c r="C325" s="105">
        <v>0.002679799558615906</v>
      </c>
      <c r="D325" s="82" t="s">
        <v>1224</v>
      </c>
      <c r="E325" s="82" t="b">
        <v>0</v>
      </c>
      <c r="F325" s="82" t="b">
        <v>0</v>
      </c>
      <c r="G325" s="82" t="b">
        <v>0</v>
      </c>
    </row>
    <row r="326" spans="1:7" ht="15">
      <c r="A326" s="84" t="s">
        <v>1158</v>
      </c>
      <c r="B326" s="82">
        <v>2</v>
      </c>
      <c r="C326" s="105">
        <v>0.0030455711207835624</v>
      </c>
      <c r="D326" s="82" t="s">
        <v>1224</v>
      </c>
      <c r="E326" s="82" t="b">
        <v>0</v>
      </c>
      <c r="F326" s="82" t="b">
        <v>0</v>
      </c>
      <c r="G326" s="82" t="b">
        <v>0</v>
      </c>
    </row>
    <row r="327" spans="1:7" ht="15">
      <c r="A327" s="84" t="s">
        <v>1159</v>
      </c>
      <c r="B327" s="82">
        <v>2</v>
      </c>
      <c r="C327" s="105">
        <v>0.0030455711207835624</v>
      </c>
      <c r="D327" s="82" t="s">
        <v>1224</v>
      </c>
      <c r="E327" s="82" t="b">
        <v>0</v>
      </c>
      <c r="F327" s="82" t="b">
        <v>0</v>
      </c>
      <c r="G327" s="82" t="b">
        <v>0</v>
      </c>
    </row>
    <row r="328" spans="1:7" ht="15">
      <c r="A328" s="84" t="s">
        <v>1160</v>
      </c>
      <c r="B328" s="82">
        <v>2</v>
      </c>
      <c r="C328" s="105">
        <v>0.0030455711207835624</v>
      </c>
      <c r="D328" s="82" t="s">
        <v>1224</v>
      </c>
      <c r="E328" s="82" t="b">
        <v>0</v>
      </c>
      <c r="F328" s="82" t="b">
        <v>0</v>
      </c>
      <c r="G328" s="82" t="b">
        <v>0</v>
      </c>
    </row>
    <row r="329" spans="1:7" ht="15">
      <c r="A329" s="84" t="s">
        <v>1161</v>
      </c>
      <c r="B329" s="82">
        <v>2</v>
      </c>
      <c r="C329" s="105">
        <v>0.0030455711207835624</v>
      </c>
      <c r="D329" s="82" t="s">
        <v>1224</v>
      </c>
      <c r="E329" s="82" t="b">
        <v>0</v>
      </c>
      <c r="F329" s="82" t="b">
        <v>0</v>
      </c>
      <c r="G329" s="82" t="b">
        <v>0</v>
      </c>
    </row>
    <row r="330" spans="1:7" ht="15">
      <c r="A330" s="84" t="s">
        <v>1162</v>
      </c>
      <c r="B330" s="82">
        <v>2</v>
      </c>
      <c r="C330" s="105">
        <v>0.002679799558615906</v>
      </c>
      <c r="D330" s="82" t="s">
        <v>1224</v>
      </c>
      <c r="E330" s="82" t="b">
        <v>0</v>
      </c>
      <c r="F330" s="82" t="b">
        <v>0</v>
      </c>
      <c r="G330" s="82" t="b">
        <v>0</v>
      </c>
    </row>
    <row r="331" spans="1:7" ht="15">
      <c r="A331" s="84" t="s">
        <v>1163</v>
      </c>
      <c r="B331" s="82">
        <v>2</v>
      </c>
      <c r="C331" s="105">
        <v>0.002679799558615906</v>
      </c>
      <c r="D331" s="82" t="s">
        <v>1224</v>
      </c>
      <c r="E331" s="82" t="b">
        <v>0</v>
      </c>
      <c r="F331" s="82" t="b">
        <v>0</v>
      </c>
      <c r="G331" s="82" t="b">
        <v>0</v>
      </c>
    </row>
    <row r="332" spans="1:7" ht="15">
      <c r="A332" s="84" t="s">
        <v>1164</v>
      </c>
      <c r="B332" s="82">
        <v>2</v>
      </c>
      <c r="C332" s="105">
        <v>0.0030455711207835624</v>
      </c>
      <c r="D332" s="82" t="s">
        <v>1224</v>
      </c>
      <c r="E332" s="82" t="b">
        <v>0</v>
      </c>
      <c r="F332" s="82" t="b">
        <v>0</v>
      </c>
      <c r="G332" s="82" t="b">
        <v>0</v>
      </c>
    </row>
    <row r="333" spans="1:7" ht="15">
      <c r="A333" s="84" t="s">
        <v>1165</v>
      </c>
      <c r="B333" s="82">
        <v>2</v>
      </c>
      <c r="C333" s="105">
        <v>0.0030455711207835624</v>
      </c>
      <c r="D333" s="82" t="s">
        <v>1224</v>
      </c>
      <c r="E333" s="82" t="b">
        <v>0</v>
      </c>
      <c r="F333" s="82" t="b">
        <v>0</v>
      </c>
      <c r="G333" s="82" t="b">
        <v>0</v>
      </c>
    </row>
    <row r="334" spans="1:7" ht="15">
      <c r="A334" s="84" t="s">
        <v>1166</v>
      </c>
      <c r="B334" s="82">
        <v>2</v>
      </c>
      <c r="C334" s="105">
        <v>0.0030455711207835624</v>
      </c>
      <c r="D334" s="82" t="s">
        <v>1224</v>
      </c>
      <c r="E334" s="82" t="b">
        <v>0</v>
      </c>
      <c r="F334" s="82" t="b">
        <v>0</v>
      </c>
      <c r="G334" s="82" t="b">
        <v>0</v>
      </c>
    </row>
    <row r="335" spans="1:7" ht="15">
      <c r="A335" s="84" t="s">
        <v>1167</v>
      </c>
      <c r="B335" s="82">
        <v>2</v>
      </c>
      <c r="C335" s="105">
        <v>0.0030455711207835624</v>
      </c>
      <c r="D335" s="82" t="s">
        <v>1224</v>
      </c>
      <c r="E335" s="82" t="b">
        <v>0</v>
      </c>
      <c r="F335" s="82" t="b">
        <v>0</v>
      </c>
      <c r="G335" s="82" t="b">
        <v>0</v>
      </c>
    </row>
    <row r="336" spans="1:7" ht="15">
      <c r="A336" s="84" t="s">
        <v>1168</v>
      </c>
      <c r="B336" s="82">
        <v>2</v>
      </c>
      <c r="C336" s="105">
        <v>0.0030455711207835624</v>
      </c>
      <c r="D336" s="82" t="s">
        <v>1224</v>
      </c>
      <c r="E336" s="82" t="b">
        <v>0</v>
      </c>
      <c r="F336" s="82" t="b">
        <v>0</v>
      </c>
      <c r="G336" s="82" t="b">
        <v>0</v>
      </c>
    </row>
    <row r="337" spans="1:7" ht="15">
      <c r="A337" s="84" t="s">
        <v>1169</v>
      </c>
      <c r="B337" s="82">
        <v>2</v>
      </c>
      <c r="C337" s="105">
        <v>0.002679799558615906</v>
      </c>
      <c r="D337" s="82" t="s">
        <v>1224</v>
      </c>
      <c r="E337" s="82" t="b">
        <v>0</v>
      </c>
      <c r="F337" s="82" t="b">
        <v>0</v>
      </c>
      <c r="G337" s="82" t="b">
        <v>0</v>
      </c>
    </row>
    <row r="338" spans="1:7" ht="15">
      <c r="A338" s="84" t="s">
        <v>1170</v>
      </c>
      <c r="B338" s="82">
        <v>2</v>
      </c>
      <c r="C338" s="105">
        <v>0.002679799558615906</v>
      </c>
      <c r="D338" s="82" t="s">
        <v>1224</v>
      </c>
      <c r="E338" s="82" t="b">
        <v>0</v>
      </c>
      <c r="F338" s="82" t="b">
        <v>0</v>
      </c>
      <c r="G338" s="82" t="b">
        <v>0</v>
      </c>
    </row>
    <row r="339" spans="1:7" ht="15">
      <c r="A339" s="84" t="s">
        <v>1171</v>
      </c>
      <c r="B339" s="82">
        <v>2</v>
      </c>
      <c r="C339" s="105">
        <v>0.002679799558615906</v>
      </c>
      <c r="D339" s="82" t="s">
        <v>1224</v>
      </c>
      <c r="E339" s="82" t="b">
        <v>0</v>
      </c>
      <c r="F339" s="82" t="b">
        <v>0</v>
      </c>
      <c r="G339" s="82" t="b">
        <v>0</v>
      </c>
    </row>
    <row r="340" spans="1:7" ht="15">
      <c r="A340" s="84" t="s">
        <v>1172</v>
      </c>
      <c r="B340" s="82">
        <v>2</v>
      </c>
      <c r="C340" s="105">
        <v>0.002679799558615906</v>
      </c>
      <c r="D340" s="82" t="s">
        <v>1224</v>
      </c>
      <c r="E340" s="82" t="b">
        <v>0</v>
      </c>
      <c r="F340" s="82" t="b">
        <v>0</v>
      </c>
      <c r="G340" s="82" t="b">
        <v>0</v>
      </c>
    </row>
    <row r="341" spans="1:7" ht="15">
      <c r="A341" s="84" t="s">
        <v>1173</v>
      </c>
      <c r="B341" s="82">
        <v>2</v>
      </c>
      <c r="C341" s="105">
        <v>0.0030455711207835624</v>
      </c>
      <c r="D341" s="82" t="s">
        <v>1224</v>
      </c>
      <c r="E341" s="82" t="b">
        <v>0</v>
      </c>
      <c r="F341" s="82" t="b">
        <v>0</v>
      </c>
      <c r="G341" s="82" t="b">
        <v>0</v>
      </c>
    </row>
    <row r="342" spans="1:7" ht="15">
      <c r="A342" s="84" t="s">
        <v>1174</v>
      </c>
      <c r="B342" s="82">
        <v>2</v>
      </c>
      <c r="C342" s="105">
        <v>0.0030455711207835624</v>
      </c>
      <c r="D342" s="82" t="s">
        <v>1224</v>
      </c>
      <c r="E342" s="82" t="b">
        <v>0</v>
      </c>
      <c r="F342" s="82" t="b">
        <v>0</v>
      </c>
      <c r="G342" s="82" t="b">
        <v>0</v>
      </c>
    </row>
    <row r="343" spans="1:7" ht="15">
      <c r="A343" s="84" t="s">
        <v>1175</v>
      </c>
      <c r="B343" s="82">
        <v>2</v>
      </c>
      <c r="C343" s="105">
        <v>0.002679799558615906</v>
      </c>
      <c r="D343" s="82" t="s">
        <v>1224</v>
      </c>
      <c r="E343" s="82" t="b">
        <v>0</v>
      </c>
      <c r="F343" s="82" t="b">
        <v>1</v>
      </c>
      <c r="G343" s="82" t="b">
        <v>0</v>
      </c>
    </row>
    <row r="344" spans="1:7" ht="15">
      <c r="A344" s="84" t="s">
        <v>1176</v>
      </c>
      <c r="B344" s="82">
        <v>2</v>
      </c>
      <c r="C344" s="105">
        <v>0.0030455711207835624</v>
      </c>
      <c r="D344" s="82" t="s">
        <v>1224</v>
      </c>
      <c r="E344" s="82" t="b">
        <v>0</v>
      </c>
      <c r="F344" s="82" t="b">
        <v>0</v>
      </c>
      <c r="G344" s="82" t="b">
        <v>0</v>
      </c>
    </row>
    <row r="345" spans="1:7" ht="15">
      <c r="A345" s="84" t="s">
        <v>1177</v>
      </c>
      <c r="B345" s="82">
        <v>2</v>
      </c>
      <c r="C345" s="105">
        <v>0.002679799558615906</v>
      </c>
      <c r="D345" s="82" t="s">
        <v>1224</v>
      </c>
      <c r="E345" s="82" t="b">
        <v>0</v>
      </c>
      <c r="F345" s="82" t="b">
        <v>0</v>
      </c>
      <c r="G345" s="82" t="b">
        <v>0</v>
      </c>
    </row>
    <row r="346" spans="1:7" ht="15">
      <c r="A346" s="84" t="s">
        <v>1178</v>
      </c>
      <c r="B346" s="82">
        <v>2</v>
      </c>
      <c r="C346" s="105">
        <v>0.002679799558615906</v>
      </c>
      <c r="D346" s="82" t="s">
        <v>1224</v>
      </c>
      <c r="E346" s="82" t="b">
        <v>0</v>
      </c>
      <c r="F346" s="82" t="b">
        <v>0</v>
      </c>
      <c r="G346" s="82" t="b">
        <v>0</v>
      </c>
    </row>
    <row r="347" spans="1:7" ht="15">
      <c r="A347" s="84" t="s">
        <v>1179</v>
      </c>
      <c r="B347" s="82">
        <v>2</v>
      </c>
      <c r="C347" s="105">
        <v>0.002679799558615906</v>
      </c>
      <c r="D347" s="82" t="s">
        <v>1224</v>
      </c>
      <c r="E347" s="82" t="b">
        <v>0</v>
      </c>
      <c r="F347" s="82" t="b">
        <v>1</v>
      </c>
      <c r="G347" s="82" t="b">
        <v>0</v>
      </c>
    </row>
    <row r="348" spans="1:7" ht="15">
      <c r="A348" s="84" t="s">
        <v>1180</v>
      </c>
      <c r="B348" s="82">
        <v>2</v>
      </c>
      <c r="C348" s="105">
        <v>0.002679799558615906</v>
      </c>
      <c r="D348" s="82" t="s">
        <v>1224</v>
      </c>
      <c r="E348" s="82" t="b">
        <v>1</v>
      </c>
      <c r="F348" s="82" t="b">
        <v>0</v>
      </c>
      <c r="G348" s="82" t="b">
        <v>0</v>
      </c>
    </row>
    <row r="349" spans="1:7" ht="15">
      <c r="A349" s="84" t="s">
        <v>1181</v>
      </c>
      <c r="B349" s="82">
        <v>2</v>
      </c>
      <c r="C349" s="105">
        <v>0.0030455711207835624</v>
      </c>
      <c r="D349" s="82" t="s">
        <v>1224</v>
      </c>
      <c r="E349" s="82" t="b">
        <v>0</v>
      </c>
      <c r="F349" s="82" t="b">
        <v>0</v>
      </c>
      <c r="G349" s="82" t="b">
        <v>0</v>
      </c>
    </row>
    <row r="350" spans="1:7" ht="15">
      <c r="A350" s="84" t="s">
        <v>1182</v>
      </c>
      <c r="B350" s="82">
        <v>2</v>
      </c>
      <c r="C350" s="105">
        <v>0.0030455711207835624</v>
      </c>
      <c r="D350" s="82" t="s">
        <v>1224</v>
      </c>
      <c r="E350" s="82" t="b">
        <v>0</v>
      </c>
      <c r="F350" s="82" t="b">
        <v>0</v>
      </c>
      <c r="G350" s="82" t="b">
        <v>0</v>
      </c>
    </row>
    <row r="351" spans="1:7" ht="15">
      <c r="A351" s="84" t="s">
        <v>1183</v>
      </c>
      <c r="B351" s="82">
        <v>2</v>
      </c>
      <c r="C351" s="105">
        <v>0.002679799558615906</v>
      </c>
      <c r="D351" s="82" t="s">
        <v>1224</v>
      </c>
      <c r="E351" s="82" t="b">
        <v>0</v>
      </c>
      <c r="F351" s="82" t="b">
        <v>0</v>
      </c>
      <c r="G351" s="82" t="b">
        <v>0</v>
      </c>
    </row>
    <row r="352" spans="1:7" ht="15">
      <c r="A352" s="84" t="s">
        <v>1184</v>
      </c>
      <c r="B352" s="82">
        <v>2</v>
      </c>
      <c r="C352" s="105">
        <v>0.002679799558615906</v>
      </c>
      <c r="D352" s="82" t="s">
        <v>1224</v>
      </c>
      <c r="E352" s="82" t="b">
        <v>0</v>
      </c>
      <c r="F352" s="82" t="b">
        <v>0</v>
      </c>
      <c r="G352" s="82" t="b">
        <v>0</v>
      </c>
    </row>
    <row r="353" spans="1:7" ht="15">
      <c r="A353" s="84" t="s">
        <v>1185</v>
      </c>
      <c r="B353" s="82">
        <v>2</v>
      </c>
      <c r="C353" s="105">
        <v>0.0030455711207835624</v>
      </c>
      <c r="D353" s="82" t="s">
        <v>1224</v>
      </c>
      <c r="E353" s="82" t="b">
        <v>0</v>
      </c>
      <c r="F353" s="82" t="b">
        <v>0</v>
      </c>
      <c r="G353" s="82" t="b">
        <v>0</v>
      </c>
    </row>
    <row r="354" spans="1:7" ht="15">
      <c r="A354" s="84" t="s">
        <v>1186</v>
      </c>
      <c r="B354" s="82">
        <v>2</v>
      </c>
      <c r="C354" s="105">
        <v>0.002679799558615906</v>
      </c>
      <c r="D354" s="82" t="s">
        <v>1224</v>
      </c>
      <c r="E354" s="82" t="b">
        <v>0</v>
      </c>
      <c r="F354" s="82" t="b">
        <v>0</v>
      </c>
      <c r="G354" s="82" t="b">
        <v>0</v>
      </c>
    </row>
    <row r="355" spans="1:7" ht="15">
      <c r="A355" s="84" t="s">
        <v>1187</v>
      </c>
      <c r="B355" s="82">
        <v>2</v>
      </c>
      <c r="C355" s="105">
        <v>0.002679799558615906</v>
      </c>
      <c r="D355" s="82" t="s">
        <v>1224</v>
      </c>
      <c r="E355" s="82" t="b">
        <v>0</v>
      </c>
      <c r="F355" s="82" t="b">
        <v>0</v>
      </c>
      <c r="G355" s="82" t="b">
        <v>0</v>
      </c>
    </row>
    <row r="356" spans="1:7" ht="15">
      <c r="A356" s="84" t="s">
        <v>1188</v>
      </c>
      <c r="B356" s="82">
        <v>2</v>
      </c>
      <c r="C356" s="105">
        <v>0.0030455711207835624</v>
      </c>
      <c r="D356" s="82" t="s">
        <v>1224</v>
      </c>
      <c r="E356" s="82" t="b">
        <v>0</v>
      </c>
      <c r="F356" s="82" t="b">
        <v>0</v>
      </c>
      <c r="G356" s="82" t="b">
        <v>0</v>
      </c>
    </row>
    <row r="357" spans="1:7" ht="15">
      <c r="A357" s="84" t="s">
        <v>1189</v>
      </c>
      <c r="B357" s="82">
        <v>2</v>
      </c>
      <c r="C357" s="105">
        <v>0.002679799558615906</v>
      </c>
      <c r="D357" s="82" t="s">
        <v>1224</v>
      </c>
      <c r="E357" s="82" t="b">
        <v>0</v>
      </c>
      <c r="F357" s="82" t="b">
        <v>0</v>
      </c>
      <c r="G357" s="82" t="b">
        <v>0</v>
      </c>
    </row>
    <row r="358" spans="1:7" ht="15">
      <c r="A358" s="84" t="s">
        <v>1190</v>
      </c>
      <c r="B358" s="82">
        <v>2</v>
      </c>
      <c r="C358" s="105">
        <v>0.002679799558615906</v>
      </c>
      <c r="D358" s="82" t="s">
        <v>1224</v>
      </c>
      <c r="E358" s="82" t="b">
        <v>0</v>
      </c>
      <c r="F358" s="82" t="b">
        <v>0</v>
      </c>
      <c r="G358" s="82" t="b">
        <v>0</v>
      </c>
    </row>
    <row r="359" spans="1:7" ht="15">
      <c r="A359" s="84" t="s">
        <v>1191</v>
      </c>
      <c r="B359" s="82">
        <v>2</v>
      </c>
      <c r="C359" s="105">
        <v>0.002679799558615906</v>
      </c>
      <c r="D359" s="82" t="s">
        <v>1224</v>
      </c>
      <c r="E359" s="82" t="b">
        <v>0</v>
      </c>
      <c r="F359" s="82" t="b">
        <v>0</v>
      </c>
      <c r="G359" s="82" t="b">
        <v>0</v>
      </c>
    </row>
    <row r="360" spans="1:7" ht="15">
      <c r="A360" s="84" t="s">
        <v>1192</v>
      </c>
      <c r="B360" s="82">
        <v>2</v>
      </c>
      <c r="C360" s="105">
        <v>0.002679799558615906</v>
      </c>
      <c r="D360" s="82" t="s">
        <v>1224</v>
      </c>
      <c r="E360" s="82" t="b">
        <v>0</v>
      </c>
      <c r="F360" s="82" t="b">
        <v>0</v>
      </c>
      <c r="G360" s="82" t="b">
        <v>0</v>
      </c>
    </row>
    <row r="361" spans="1:7" ht="15">
      <c r="A361" s="84" t="s">
        <v>1193</v>
      </c>
      <c r="B361" s="82">
        <v>2</v>
      </c>
      <c r="C361" s="105">
        <v>0.002679799558615906</v>
      </c>
      <c r="D361" s="82" t="s">
        <v>1224</v>
      </c>
      <c r="E361" s="82" t="b">
        <v>0</v>
      </c>
      <c r="F361" s="82" t="b">
        <v>0</v>
      </c>
      <c r="G361" s="82" t="b">
        <v>0</v>
      </c>
    </row>
    <row r="362" spans="1:7" ht="15">
      <c r="A362" s="84" t="s">
        <v>1194</v>
      </c>
      <c r="B362" s="82">
        <v>2</v>
      </c>
      <c r="C362" s="105">
        <v>0.0030455711207835624</v>
      </c>
      <c r="D362" s="82" t="s">
        <v>1224</v>
      </c>
      <c r="E362" s="82" t="b">
        <v>0</v>
      </c>
      <c r="F362" s="82" t="b">
        <v>0</v>
      </c>
      <c r="G362" s="82" t="b">
        <v>0</v>
      </c>
    </row>
    <row r="363" spans="1:7" ht="15">
      <c r="A363" s="84" t="s">
        <v>1195</v>
      </c>
      <c r="B363" s="82">
        <v>2</v>
      </c>
      <c r="C363" s="105">
        <v>0.002679799558615906</v>
      </c>
      <c r="D363" s="82" t="s">
        <v>1224</v>
      </c>
      <c r="E363" s="82" t="b">
        <v>0</v>
      </c>
      <c r="F363" s="82" t="b">
        <v>0</v>
      </c>
      <c r="G363" s="82" t="b">
        <v>0</v>
      </c>
    </row>
    <row r="364" spans="1:7" ht="15">
      <c r="A364" s="84" t="s">
        <v>1196</v>
      </c>
      <c r="B364" s="82">
        <v>2</v>
      </c>
      <c r="C364" s="105">
        <v>0.002679799558615906</v>
      </c>
      <c r="D364" s="82" t="s">
        <v>1224</v>
      </c>
      <c r="E364" s="82" t="b">
        <v>0</v>
      </c>
      <c r="F364" s="82" t="b">
        <v>0</v>
      </c>
      <c r="G364" s="82" t="b">
        <v>0</v>
      </c>
    </row>
    <row r="365" spans="1:7" ht="15">
      <c r="A365" s="84" t="s">
        <v>1197</v>
      </c>
      <c r="B365" s="82">
        <v>2</v>
      </c>
      <c r="C365" s="105">
        <v>0.002679799558615906</v>
      </c>
      <c r="D365" s="82" t="s">
        <v>1224</v>
      </c>
      <c r="E365" s="82" t="b">
        <v>0</v>
      </c>
      <c r="F365" s="82" t="b">
        <v>0</v>
      </c>
      <c r="G365" s="82" t="b">
        <v>0</v>
      </c>
    </row>
    <row r="366" spans="1:7" ht="15">
      <c r="A366" s="84" t="s">
        <v>1198</v>
      </c>
      <c r="B366" s="82">
        <v>2</v>
      </c>
      <c r="C366" s="105">
        <v>0.0030455711207835624</v>
      </c>
      <c r="D366" s="82" t="s">
        <v>1224</v>
      </c>
      <c r="E366" s="82" t="b">
        <v>0</v>
      </c>
      <c r="F366" s="82" t="b">
        <v>0</v>
      </c>
      <c r="G366" s="82" t="b">
        <v>0</v>
      </c>
    </row>
    <row r="367" spans="1:7" ht="15">
      <c r="A367" s="84" t="s">
        <v>1199</v>
      </c>
      <c r="B367" s="82">
        <v>2</v>
      </c>
      <c r="C367" s="105">
        <v>0.0030455711207835624</v>
      </c>
      <c r="D367" s="82" t="s">
        <v>1224</v>
      </c>
      <c r="E367" s="82" t="b">
        <v>0</v>
      </c>
      <c r="F367" s="82" t="b">
        <v>0</v>
      </c>
      <c r="G367" s="82" t="b">
        <v>0</v>
      </c>
    </row>
    <row r="368" spans="1:7" ht="15">
      <c r="A368" s="84" t="s">
        <v>1200</v>
      </c>
      <c r="B368" s="82">
        <v>2</v>
      </c>
      <c r="C368" s="105">
        <v>0.0030455711207835624</v>
      </c>
      <c r="D368" s="82" t="s">
        <v>1224</v>
      </c>
      <c r="E368" s="82" t="b">
        <v>0</v>
      </c>
      <c r="F368" s="82" t="b">
        <v>0</v>
      </c>
      <c r="G368" s="82" t="b">
        <v>0</v>
      </c>
    </row>
    <row r="369" spans="1:7" ht="15">
      <c r="A369" s="84" t="s">
        <v>1201</v>
      </c>
      <c r="B369" s="82">
        <v>2</v>
      </c>
      <c r="C369" s="105">
        <v>0.0030455711207835624</v>
      </c>
      <c r="D369" s="82" t="s">
        <v>1224</v>
      </c>
      <c r="E369" s="82" t="b">
        <v>0</v>
      </c>
      <c r="F369" s="82" t="b">
        <v>0</v>
      </c>
      <c r="G369" s="82" t="b">
        <v>0</v>
      </c>
    </row>
    <row r="370" spans="1:7" ht="15">
      <c r="A370" s="84" t="s">
        <v>1202</v>
      </c>
      <c r="B370" s="82">
        <v>2</v>
      </c>
      <c r="C370" s="105">
        <v>0.002679799558615906</v>
      </c>
      <c r="D370" s="82" t="s">
        <v>1224</v>
      </c>
      <c r="E370" s="82" t="b">
        <v>0</v>
      </c>
      <c r="F370" s="82" t="b">
        <v>0</v>
      </c>
      <c r="G370" s="82" t="b">
        <v>0</v>
      </c>
    </row>
    <row r="371" spans="1:7" ht="15">
      <c r="A371" s="84" t="s">
        <v>1203</v>
      </c>
      <c r="B371" s="82">
        <v>2</v>
      </c>
      <c r="C371" s="105">
        <v>0.002679799558615906</v>
      </c>
      <c r="D371" s="82" t="s">
        <v>1224</v>
      </c>
      <c r="E371" s="82" t="b">
        <v>0</v>
      </c>
      <c r="F371" s="82" t="b">
        <v>0</v>
      </c>
      <c r="G371" s="82" t="b">
        <v>0</v>
      </c>
    </row>
    <row r="372" spans="1:7" ht="15">
      <c r="A372" s="84" t="s">
        <v>1204</v>
      </c>
      <c r="B372" s="82">
        <v>2</v>
      </c>
      <c r="C372" s="105">
        <v>0.002679799558615906</v>
      </c>
      <c r="D372" s="82" t="s">
        <v>1224</v>
      </c>
      <c r="E372" s="82" t="b">
        <v>0</v>
      </c>
      <c r="F372" s="82" t="b">
        <v>0</v>
      </c>
      <c r="G372" s="82" t="b">
        <v>0</v>
      </c>
    </row>
    <row r="373" spans="1:7" ht="15">
      <c r="A373" s="84" t="s">
        <v>1205</v>
      </c>
      <c r="B373" s="82">
        <v>2</v>
      </c>
      <c r="C373" s="105">
        <v>0.002679799558615906</v>
      </c>
      <c r="D373" s="82" t="s">
        <v>1224</v>
      </c>
      <c r="E373" s="82" t="b">
        <v>0</v>
      </c>
      <c r="F373" s="82" t="b">
        <v>0</v>
      </c>
      <c r="G373" s="82" t="b">
        <v>0</v>
      </c>
    </row>
    <row r="374" spans="1:7" ht="15">
      <c r="A374" s="84" t="s">
        <v>1206</v>
      </c>
      <c r="B374" s="82">
        <v>2</v>
      </c>
      <c r="C374" s="105">
        <v>0.0030455711207835624</v>
      </c>
      <c r="D374" s="82" t="s">
        <v>1224</v>
      </c>
      <c r="E374" s="82" t="b">
        <v>0</v>
      </c>
      <c r="F374" s="82" t="b">
        <v>0</v>
      </c>
      <c r="G374" s="82" t="b">
        <v>0</v>
      </c>
    </row>
    <row r="375" spans="1:7" ht="15">
      <c r="A375" s="84" t="s">
        <v>1207</v>
      </c>
      <c r="B375" s="82">
        <v>2</v>
      </c>
      <c r="C375" s="105">
        <v>0.0030455711207835624</v>
      </c>
      <c r="D375" s="82" t="s">
        <v>1224</v>
      </c>
      <c r="E375" s="82" t="b">
        <v>0</v>
      </c>
      <c r="F375" s="82" t="b">
        <v>0</v>
      </c>
      <c r="G375" s="82" t="b">
        <v>0</v>
      </c>
    </row>
    <row r="376" spans="1:7" ht="15">
      <c r="A376" s="84" t="s">
        <v>1208</v>
      </c>
      <c r="B376" s="82">
        <v>2</v>
      </c>
      <c r="C376" s="105">
        <v>0.0030455711207835624</v>
      </c>
      <c r="D376" s="82" t="s">
        <v>1224</v>
      </c>
      <c r="E376" s="82" t="b">
        <v>0</v>
      </c>
      <c r="F376" s="82" t="b">
        <v>0</v>
      </c>
      <c r="G376" s="82" t="b">
        <v>0</v>
      </c>
    </row>
    <row r="377" spans="1:7" ht="15">
      <c r="A377" s="84" t="s">
        <v>1209</v>
      </c>
      <c r="B377" s="82">
        <v>2</v>
      </c>
      <c r="C377" s="105">
        <v>0.0030455711207835624</v>
      </c>
      <c r="D377" s="82" t="s">
        <v>1224</v>
      </c>
      <c r="E377" s="82" t="b">
        <v>0</v>
      </c>
      <c r="F377" s="82" t="b">
        <v>0</v>
      </c>
      <c r="G377" s="82" t="b">
        <v>0</v>
      </c>
    </row>
    <row r="378" spans="1:7" ht="15">
      <c r="A378" s="84" t="s">
        <v>1210</v>
      </c>
      <c r="B378" s="82">
        <v>2</v>
      </c>
      <c r="C378" s="105">
        <v>0.0030455711207835624</v>
      </c>
      <c r="D378" s="82" t="s">
        <v>1224</v>
      </c>
      <c r="E378" s="82" t="b">
        <v>0</v>
      </c>
      <c r="F378" s="82" t="b">
        <v>0</v>
      </c>
      <c r="G378" s="82" t="b">
        <v>0</v>
      </c>
    </row>
    <row r="379" spans="1:7" ht="15">
      <c r="A379" s="84" t="s">
        <v>1211</v>
      </c>
      <c r="B379" s="82">
        <v>2</v>
      </c>
      <c r="C379" s="105">
        <v>0.002679799558615906</v>
      </c>
      <c r="D379" s="82" t="s">
        <v>1224</v>
      </c>
      <c r="E379" s="82" t="b">
        <v>0</v>
      </c>
      <c r="F379" s="82" t="b">
        <v>0</v>
      </c>
      <c r="G379" s="82" t="b">
        <v>0</v>
      </c>
    </row>
    <row r="380" spans="1:7" ht="15">
      <c r="A380" s="84" t="s">
        <v>1212</v>
      </c>
      <c r="B380" s="82">
        <v>2</v>
      </c>
      <c r="C380" s="105">
        <v>0.002679799558615906</v>
      </c>
      <c r="D380" s="82" t="s">
        <v>1224</v>
      </c>
      <c r="E380" s="82" t="b">
        <v>0</v>
      </c>
      <c r="F380" s="82" t="b">
        <v>0</v>
      </c>
      <c r="G380" s="82" t="b">
        <v>0</v>
      </c>
    </row>
    <row r="381" spans="1:7" ht="15">
      <c r="A381" s="84" t="s">
        <v>1213</v>
      </c>
      <c r="B381" s="82">
        <v>2</v>
      </c>
      <c r="C381" s="105">
        <v>0.002679799558615906</v>
      </c>
      <c r="D381" s="82" t="s">
        <v>1224</v>
      </c>
      <c r="E381" s="82" t="b">
        <v>0</v>
      </c>
      <c r="F381" s="82" t="b">
        <v>0</v>
      </c>
      <c r="G381" s="82" t="b">
        <v>0</v>
      </c>
    </row>
    <row r="382" spans="1:7" ht="15">
      <c r="A382" s="84" t="s">
        <v>1214</v>
      </c>
      <c r="B382" s="82">
        <v>2</v>
      </c>
      <c r="C382" s="105">
        <v>0.0030455711207835624</v>
      </c>
      <c r="D382" s="82" t="s">
        <v>1224</v>
      </c>
      <c r="E382" s="82" t="b">
        <v>0</v>
      </c>
      <c r="F382" s="82" t="b">
        <v>0</v>
      </c>
      <c r="G382" s="82" t="b">
        <v>0</v>
      </c>
    </row>
    <row r="383" spans="1:7" ht="15">
      <c r="A383" s="84" t="s">
        <v>1215</v>
      </c>
      <c r="B383" s="82">
        <v>2</v>
      </c>
      <c r="C383" s="105">
        <v>0.0030455711207835624</v>
      </c>
      <c r="D383" s="82" t="s">
        <v>1224</v>
      </c>
      <c r="E383" s="82" t="b">
        <v>0</v>
      </c>
      <c r="F383" s="82" t="b">
        <v>0</v>
      </c>
      <c r="G383" s="82" t="b">
        <v>0</v>
      </c>
    </row>
    <row r="384" spans="1:7" ht="15">
      <c r="A384" s="84" t="s">
        <v>1216</v>
      </c>
      <c r="B384" s="82">
        <v>2</v>
      </c>
      <c r="C384" s="105">
        <v>0.0030455711207835624</v>
      </c>
      <c r="D384" s="82" t="s">
        <v>1224</v>
      </c>
      <c r="E384" s="82" t="b">
        <v>0</v>
      </c>
      <c r="F384" s="82" t="b">
        <v>0</v>
      </c>
      <c r="G384" s="82" t="b">
        <v>0</v>
      </c>
    </row>
    <row r="385" spans="1:7" ht="15">
      <c r="A385" s="84" t="s">
        <v>1217</v>
      </c>
      <c r="B385" s="82">
        <v>2</v>
      </c>
      <c r="C385" s="105">
        <v>0.0030455711207835624</v>
      </c>
      <c r="D385" s="82" t="s">
        <v>1224</v>
      </c>
      <c r="E385" s="82" t="b">
        <v>0</v>
      </c>
      <c r="F385" s="82" t="b">
        <v>0</v>
      </c>
      <c r="G385" s="82" t="b">
        <v>0</v>
      </c>
    </row>
    <row r="386" spans="1:7" ht="15">
      <c r="A386" s="84" t="s">
        <v>1218</v>
      </c>
      <c r="B386" s="82">
        <v>2</v>
      </c>
      <c r="C386" s="105">
        <v>0.002679799558615906</v>
      </c>
      <c r="D386" s="82" t="s">
        <v>1224</v>
      </c>
      <c r="E386" s="82" t="b">
        <v>0</v>
      </c>
      <c r="F386" s="82" t="b">
        <v>0</v>
      </c>
      <c r="G386" s="82" t="b">
        <v>0</v>
      </c>
    </row>
    <row r="387" spans="1:7" ht="15">
      <c r="A387" s="84" t="s">
        <v>844</v>
      </c>
      <c r="B387" s="82">
        <v>20</v>
      </c>
      <c r="C387" s="105">
        <v>0.028963428721648782</v>
      </c>
      <c r="D387" s="82" t="s">
        <v>807</v>
      </c>
      <c r="E387" s="82" t="b">
        <v>0</v>
      </c>
      <c r="F387" s="82" t="b">
        <v>0</v>
      </c>
      <c r="G387" s="82" t="b">
        <v>0</v>
      </c>
    </row>
    <row r="388" spans="1:7" ht="15">
      <c r="A388" s="84" t="s">
        <v>843</v>
      </c>
      <c r="B388" s="82">
        <v>19</v>
      </c>
      <c r="C388" s="105">
        <v>0.0286685311261982</v>
      </c>
      <c r="D388" s="82" t="s">
        <v>807</v>
      </c>
      <c r="E388" s="82" t="b">
        <v>0</v>
      </c>
      <c r="F388" s="82" t="b">
        <v>0</v>
      </c>
      <c r="G388" s="82" t="b">
        <v>0</v>
      </c>
    </row>
    <row r="389" spans="1:7" ht="15">
      <c r="A389" s="84" t="s">
        <v>845</v>
      </c>
      <c r="B389" s="82">
        <v>13</v>
      </c>
      <c r="C389" s="105">
        <v>0.025453275981450123</v>
      </c>
      <c r="D389" s="82" t="s">
        <v>807</v>
      </c>
      <c r="E389" s="82" t="b">
        <v>0</v>
      </c>
      <c r="F389" s="82" t="b">
        <v>0</v>
      </c>
      <c r="G389" s="82" t="b">
        <v>0</v>
      </c>
    </row>
    <row r="390" spans="1:7" ht="15">
      <c r="A390" s="84" t="s">
        <v>847</v>
      </c>
      <c r="B390" s="82">
        <v>13</v>
      </c>
      <c r="C390" s="105">
        <v>0.029489416526378945</v>
      </c>
      <c r="D390" s="82" t="s">
        <v>807</v>
      </c>
      <c r="E390" s="82" t="b">
        <v>0</v>
      </c>
      <c r="F390" s="82" t="b">
        <v>0</v>
      </c>
      <c r="G390" s="82" t="b">
        <v>0</v>
      </c>
    </row>
    <row r="391" spans="1:7" ht="15">
      <c r="A391" s="84" t="s">
        <v>876</v>
      </c>
      <c r="B391" s="82">
        <v>6</v>
      </c>
      <c r="C391" s="105">
        <v>0.022158926288608837</v>
      </c>
      <c r="D391" s="82" t="s">
        <v>807</v>
      </c>
      <c r="E391" s="82" t="b">
        <v>0</v>
      </c>
      <c r="F391" s="82" t="b">
        <v>0</v>
      </c>
      <c r="G391" s="82" t="b">
        <v>0</v>
      </c>
    </row>
    <row r="392" spans="1:7" ht="15">
      <c r="A392" s="84" t="s">
        <v>877</v>
      </c>
      <c r="B392" s="82">
        <v>6</v>
      </c>
      <c r="C392" s="105">
        <v>0.022158926288608837</v>
      </c>
      <c r="D392" s="82" t="s">
        <v>807</v>
      </c>
      <c r="E392" s="82" t="b">
        <v>0</v>
      </c>
      <c r="F392" s="82" t="b">
        <v>0</v>
      </c>
      <c r="G392" s="82" t="b">
        <v>0</v>
      </c>
    </row>
    <row r="393" spans="1:7" ht="15">
      <c r="A393" s="84" t="s">
        <v>936</v>
      </c>
      <c r="B393" s="82">
        <v>4</v>
      </c>
      <c r="C393" s="105">
        <v>0.016691868305637656</v>
      </c>
      <c r="D393" s="82" t="s">
        <v>807</v>
      </c>
      <c r="E393" s="82" t="b">
        <v>0</v>
      </c>
      <c r="F393" s="82" t="b">
        <v>0</v>
      </c>
      <c r="G393" s="82" t="b">
        <v>0</v>
      </c>
    </row>
    <row r="394" spans="1:7" ht="15">
      <c r="A394" s="84" t="s">
        <v>935</v>
      </c>
      <c r="B394" s="82">
        <v>4</v>
      </c>
      <c r="C394" s="105">
        <v>0.0134108874264662</v>
      </c>
      <c r="D394" s="82" t="s">
        <v>807</v>
      </c>
      <c r="E394" s="82" t="b">
        <v>0</v>
      </c>
      <c r="F394" s="82" t="b">
        <v>0</v>
      </c>
      <c r="G394" s="82" t="b">
        <v>0</v>
      </c>
    </row>
    <row r="395" spans="1:7" ht="15">
      <c r="A395" s="84" t="s">
        <v>932</v>
      </c>
      <c r="B395" s="82">
        <v>4</v>
      </c>
      <c r="C395" s="105">
        <v>0.016691868305637656</v>
      </c>
      <c r="D395" s="82" t="s">
        <v>807</v>
      </c>
      <c r="E395" s="82" t="b">
        <v>0</v>
      </c>
      <c r="F395" s="82" t="b">
        <v>0</v>
      </c>
      <c r="G395" s="82" t="b">
        <v>0</v>
      </c>
    </row>
    <row r="396" spans="1:7" ht="15">
      <c r="A396" s="84" t="s">
        <v>933</v>
      </c>
      <c r="B396" s="82">
        <v>4</v>
      </c>
      <c r="C396" s="105">
        <v>0.016691868305637656</v>
      </c>
      <c r="D396" s="82" t="s">
        <v>807</v>
      </c>
      <c r="E396" s="82" t="b">
        <v>0</v>
      </c>
      <c r="F396" s="82" t="b">
        <v>0</v>
      </c>
      <c r="G396" s="82" t="b">
        <v>0</v>
      </c>
    </row>
    <row r="397" spans="1:7" ht="15">
      <c r="A397" s="84" t="s">
        <v>868</v>
      </c>
      <c r="B397" s="82">
        <v>4</v>
      </c>
      <c r="C397" s="105">
        <v>0.0134108874264662</v>
      </c>
      <c r="D397" s="82" t="s">
        <v>807</v>
      </c>
      <c r="E397" s="82" t="b">
        <v>0</v>
      </c>
      <c r="F397" s="82" t="b">
        <v>0</v>
      </c>
      <c r="G397" s="82" t="b">
        <v>0</v>
      </c>
    </row>
    <row r="398" spans="1:7" ht="15">
      <c r="A398" s="84" t="s">
        <v>1012</v>
      </c>
      <c r="B398" s="82">
        <v>3</v>
      </c>
      <c r="C398" s="105">
        <v>0.011079463144304419</v>
      </c>
      <c r="D398" s="82" t="s">
        <v>807</v>
      </c>
      <c r="E398" s="82" t="b">
        <v>0</v>
      </c>
      <c r="F398" s="82" t="b">
        <v>0</v>
      </c>
      <c r="G398" s="82" t="b">
        <v>0</v>
      </c>
    </row>
    <row r="399" spans="1:7" ht="15">
      <c r="A399" s="84" t="s">
        <v>900</v>
      </c>
      <c r="B399" s="82">
        <v>3</v>
      </c>
      <c r="C399" s="105">
        <v>0.011079463144304419</v>
      </c>
      <c r="D399" s="82" t="s">
        <v>807</v>
      </c>
      <c r="E399" s="82" t="b">
        <v>1</v>
      </c>
      <c r="F399" s="82" t="b">
        <v>0</v>
      </c>
      <c r="G399" s="82" t="b">
        <v>0</v>
      </c>
    </row>
    <row r="400" spans="1:7" ht="15">
      <c r="A400" s="84" t="s">
        <v>901</v>
      </c>
      <c r="B400" s="82">
        <v>3</v>
      </c>
      <c r="C400" s="105">
        <v>0.011079463144304419</v>
      </c>
      <c r="D400" s="82" t="s">
        <v>807</v>
      </c>
      <c r="E400" s="82" t="b">
        <v>0</v>
      </c>
      <c r="F400" s="82" t="b">
        <v>0</v>
      </c>
      <c r="G400" s="82" t="b">
        <v>0</v>
      </c>
    </row>
    <row r="401" spans="1:7" ht="15">
      <c r="A401" s="84" t="s">
        <v>902</v>
      </c>
      <c r="B401" s="82">
        <v>3</v>
      </c>
      <c r="C401" s="105">
        <v>0.011079463144304419</v>
      </c>
      <c r="D401" s="82" t="s">
        <v>807</v>
      </c>
      <c r="E401" s="82" t="b">
        <v>0</v>
      </c>
      <c r="F401" s="82" t="b">
        <v>0</v>
      </c>
      <c r="G401" s="82" t="b">
        <v>0</v>
      </c>
    </row>
    <row r="402" spans="1:7" ht="15">
      <c r="A402" s="84" t="s">
        <v>903</v>
      </c>
      <c r="B402" s="82">
        <v>3</v>
      </c>
      <c r="C402" s="105">
        <v>0.011079463144304419</v>
      </c>
      <c r="D402" s="82" t="s">
        <v>807</v>
      </c>
      <c r="E402" s="82" t="b">
        <v>0</v>
      </c>
      <c r="F402" s="82" t="b">
        <v>0</v>
      </c>
      <c r="G402" s="82" t="b">
        <v>0</v>
      </c>
    </row>
    <row r="403" spans="1:7" ht="15">
      <c r="A403" s="84" t="s">
        <v>882</v>
      </c>
      <c r="B403" s="82">
        <v>3</v>
      </c>
      <c r="C403" s="105">
        <v>0.011079463144304419</v>
      </c>
      <c r="D403" s="82" t="s">
        <v>807</v>
      </c>
      <c r="E403" s="82" t="b">
        <v>0</v>
      </c>
      <c r="F403" s="82" t="b">
        <v>1</v>
      </c>
      <c r="G403" s="82" t="b">
        <v>0</v>
      </c>
    </row>
    <row r="404" spans="1:7" ht="15">
      <c r="A404" s="84" t="s">
        <v>940</v>
      </c>
      <c r="B404" s="82">
        <v>3</v>
      </c>
      <c r="C404" s="105">
        <v>0.011079463144304419</v>
      </c>
      <c r="D404" s="82" t="s">
        <v>807</v>
      </c>
      <c r="E404" s="82" t="b">
        <v>0</v>
      </c>
      <c r="F404" s="82" t="b">
        <v>1</v>
      </c>
      <c r="G404" s="82" t="b">
        <v>0</v>
      </c>
    </row>
    <row r="405" spans="1:7" ht="15">
      <c r="A405" s="84" t="s">
        <v>884</v>
      </c>
      <c r="B405" s="82">
        <v>3</v>
      </c>
      <c r="C405" s="105">
        <v>0.011079463144304419</v>
      </c>
      <c r="D405" s="82" t="s">
        <v>807</v>
      </c>
      <c r="E405" s="82" t="b">
        <v>0</v>
      </c>
      <c r="F405" s="82" t="b">
        <v>1</v>
      </c>
      <c r="G405" s="82" t="b">
        <v>0</v>
      </c>
    </row>
    <row r="406" spans="1:7" ht="15">
      <c r="A406" s="84" t="s">
        <v>866</v>
      </c>
      <c r="B406" s="82">
        <v>3</v>
      </c>
      <c r="C406" s="105">
        <v>0.011079463144304419</v>
      </c>
      <c r="D406" s="82" t="s">
        <v>807</v>
      </c>
      <c r="E406" s="82" t="b">
        <v>0</v>
      </c>
      <c r="F406" s="82" t="b">
        <v>0</v>
      </c>
      <c r="G406" s="82" t="b">
        <v>0</v>
      </c>
    </row>
    <row r="407" spans="1:7" ht="15">
      <c r="A407" s="84" t="s">
        <v>941</v>
      </c>
      <c r="B407" s="82">
        <v>3</v>
      </c>
      <c r="C407" s="105">
        <v>0.011079463144304419</v>
      </c>
      <c r="D407" s="82" t="s">
        <v>807</v>
      </c>
      <c r="E407" s="82" t="b">
        <v>0</v>
      </c>
      <c r="F407" s="82" t="b">
        <v>0</v>
      </c>
      <c r="G407" s="82" t="b">
        <v>0</v>
      </c>
    </row>
    <row r="408" spans="1:7" ht="15">
      <c r="A408" s="84" t="s">
        <v>942</v>
      </c>
      <c r="B408" s="82">
        <v>3</v>
      </c>
      <c r="C408" s="105">
        <v>0.011079463144304419</v>
      </c>
      <c r="D408" s="82" t="s">
        <v>807</v>
      </c>
      <c r="E408" s="82" t="b">
        <v>0</v>
      </c>
      <c r="F408" s="82" t="b">
        <v>1</v>
      </c>
      <c r="G408" s="82" t="b">
        <v>0</v>
      </c>
    </row>
    <row r="409" spans="1:7" ht="15">
      <c r="A409" s="84" t="s">
        <v>943</v>
      </c>
      <c r="B409" s="82">
        <v>3</v>
      </c>
      <c r="C409" s="105">
        <v>0.011079463144304419</v>
      </c>
      <c r="D409" s="82" t="s">
        <v>807</v>
      </c>
      <c r="E409" s="82" t="b">
        <v>0</v>
      </c>
      <c r="F409" s="82" t="b">
        <v>0</v>
      </c>
      <c r="G409" s="82" t="b">
        <v>0</v>
      </c>
    </row>
    <row r="410" spans="1:7" ht="15">
      <c r="A410" s="84" t="s">
        <v>891</v>
      </c>
      <c r="B410" s="82">
        <v>2</v>
      </c>
      <c r="C410" s="105">
        <v>0.009986424592404558</v>
      </c>
      <c r="D410" s="82" t="s">
        <v>807</v>
      </c>
      <c r="E410" s="82" t="b">
        <v>0</v>
      </c>
      <c r="F410" s="82" t="b">
        <v>0</v>
      </c>
      <c r="G410" s="82" t="b">
        <v>0</v>
      </c>
    </row>
    <row r="411" spans="1:7" ht="15">
      <c r="A411" s="84" t="s">
        <v>1024</v>
      </c>
      <c r="B411" s="82">
        <v>2</v>
      </c>
      <c r="C411" s="105">
        <v>0.009986424592404558</v>
      </c>
      <c r="D411" s="82" t="s">
        <v>807</v>
      </c>
      <c r="E411" s="82" t="b">
        <v>0</v>
      </c>
      <c r="F411" s="82" t="b">
        <v>0</v>
      </c>
      <c r="G411" s="82" t="b">
        <v>0</v>
      </c>
    </row>
    <row r="412" spans="1:7" ht="15">
      <c r="A412" s="84" t="s">
        <v>1079</v>
      </c>
      <c r="B412" s="82">
        <v>2</v>
      </c>
      <c r="C412" s="105">
        <v>0.008345934152818828</v>
      </c>
      <c r="D412" s="82" t="s">
        <v>807</v>
      </c>
      <c r="E412" s="82" t="b">
        <v>0</v>
      </c>
      <c r="F412" s="82" t="b">
        <v>0</v>
      </c>
      <c r="G412" s="82" t="b">
        <v>0</v>
      </c>
    </row>
    <row r="413" spans="1:7" ht="15">
      <c r="A413" s="84" t="s">
        <v>1207</v>
      </c>
      <c r="B413" s="82">
        <v>2</v>
      </c>
      <c r="C413" s="105">
        <v>0.009986424592404558</v>
      </c>
      <c r="D413" s="82" t="s">
        <v>807</v>
      </c>
      <c r="E413" s="82" t="b">
        <v>0</v>
      </c>
      <c r="F413" s="82" t="b">
        <v>0</v>
      </c>
      <c r="G413" s="82" t="b">
        <v>0</v>
      </c>
    </row>
    <row r="414" spans="1:7" ht="15">
      <c r="A414" s="84" t="s">
        <v>1208</v>
      </c>
      <c r="B414" s="82">
        <v>2</v>
      </c>
      <c r="C414" s="105">
        <v>0.009986424592404558</v>
      </c>
      <c r="D414" s="82" t="s">
        <v>807</v>
      </c>
      <c r="E414" s="82" t="b">
        <v>0</v>
      </c>
      <c r="F414" s="82" t="b">
        <v>0</v>
      </c>
      <c r="G414" s="82" t="b">
        <v>0</v>
      </c>
    </row>
    <row r="415" spans="1:7" ht="15">
      <c r="A415" s="84" t="s">
        <v>1209</v>
      </c>
      <c r="B415" s="82">
        <v>2</v>
      </c>
      <c r="C415" s="105">
        <v>0.009986424592404558</v>
      </c>
      <c r="D415" s="82" t="s">
        <v>807</v>
      </c>
      <c r="E415" s="82" t="b">
        <v>0</v>
      </c>
      <c r="F415" s="82" t="b">
        <v>0</v>
      </c>
      <c r="G415" s="82" t="b">
        <v>0</v>
      </c>
    </row>
    <row r="416" spans="1:7" ht="15">
      <c r="A416" s="84" t="s">
        <v>1210</v>
      </c>
      <c r="B416" s="82">
        <v>2</v>
      </c>
      <c r="C416" s="105">
        <v>0.009986424592404558</v>
      </c>
      <c r="D416" s="82" t="s">
        <v>807</v>
      </c>
      <c r="E416" s="82" t="b">
        <v>0</v>
      </c>
      <c r="F416" s="82" t="b">
        <v>0</v>
      </c>
      <c r="G416" s="82" t="b">
        <v>0</v>
      </c>
    </row>
    <row r="417" spans="1:7" ht="15">
      <c r="A417" s="84" t="s">
        <v>1206</v>
      </c>
      <c r="B417" s="82">
        <v>2</v>
      </c>
      <c r="C417" s="105">
        <v>0.009986424592404558</v>
      </c>
      <c r="D417" s="82" t="s">
        <v>807</v>
      </c>
      <c r="E417" s="82" t="b">
        <v>0</v>
      </c>
      <c r="F417" s="82" t="b">
        <v>0</v>
      </c>
      <c r="G417" s="82" t="b">
        <v>0</v>
      </c>
    </row>
    <row r="418" spans="1:7" ht="15">
      <c r="A418" s="84" t="s">
        <v>1198</v>
      </c>
      <c r="B418" s="82">
        <v>2</v>
      </c>
      <c r="C418" s="105">
        <v>0.009986424592404558</v>
      </c>
      <c r="D418" s="82" t="s">
        <v>807</v>
      </c>
      <c r="E418" s="82" t="b">
        <v>0</v>
      </c>
      <c r="F418" s="82" t="b">
        <v>0</v>
      </c>
      <c r="G418" s="82" t="b">
        <v>0</v>
      </c>
    </row>
    <row r="419" spans="1:7" ht="15">
      <c r="A419" s="84" t="s">
        <v>1199</v>
      </c>
      <c r="B419" s="82">
        <v>2</v>
      </c>
      <c r="C419" s="105">
        <v>0.009986424592404558</v>
      </c>
      <c r="D419" s="82" t="s">
        <v>807</v>
      </c>
      <c r="E419" s="82" t="b">
        <v>0</v>
      </c>
      <c r="F419" s="82" t="b">
        <v>0</v>
      </c>
      <c r="G419" s="82" t="b">
        <v>0</v>
      </c>
    </row>
    <row r="420" spans="1:7" ht="15">
      <c r="A420" s="84" t="s">
        <v>1200</v>
      </c>
      <c r="B420" s="82">
        <v>2</v>
      </c>
      <c r="C420" s="105">
        <v>0.009986424592404558</v>
      </c>
      <c r="D420" s="82" t="s">
        <v>807</v>
      </c>
      <c r="E420" s="82" t="b">
        <v>0</v>
      </c>
      <c r="F420" s="82" t="b">
        <v>0</v>
      </c>
      <c r="G420" s="82" t="b">
        <v>0</v>
      </c>
    </row>
    <row r="421" spans="1:7" ht="15">
      <c r="A421" s="84" t="s">
        <v>1201</v>
      </c>
      <c r="B421" s="82">
        <v>2</v>
      </c>
      <c r="C421" s="105">
        <v>0.009986424592404558</v>
      </c>
      <c r="D421" s="82" t="s">
        <v>807</v>
      </c>
      <c r="E421" s="82" t="b">
        <v>0</v>
      </c>
      <c r="F421" s="82" t="b">
        <v>0</v>
      </c>
      <c r="G421" s="82" t="b">
        <v>0</v>
      </c>
    </row>
    <row r="422" spans="1:7" ht="15">
      <c r="A422" s="84" t="s">
        <v>1194</v>
      </c>
      <c r="B422" s="82">
        <v>2</v>
      </c>
      <c r="C422" s="105">
        <v>0.009986424592404558</v>
      </c>
      <c r="D422" s="82" t="s">
        <v>807</v>
      </c>
      <c r="E422" s="82" t="b">
        <v>0</v>
      </c>
      <c r="F422" s="82" t="b">
        <v>0</v>
      </c>
      <c r="G422" s="82" t="b">
        <v>0</v>
      </c>
    </row>
    <row r="423" spans="1:7" ht="15">
      <c r="A423" s="84" t="s">
        <v>1188</v>
      </c>
      <c r="B423" s="82">
        <v>2</v>
      </c>
      <c r="C423" s="105">
        <v>0.009986424592404558</v>
      </c>
      <c r="D423" s="82" t="s">
        <v>807</v>
      </c>
      <c r="E423" s="82" t="b">
        <v>0</v>
      </c>
      <c r="F423" s="82" t="b">
        <v>0</v>
      </c>
      <c r="G423" s="82" t="b">
        <v>0</v>
      </c>
    </row>
    <row r="424" spans="1:7" ht="15">
      <c r="A424" s="84" t="s">
        <v>1185</v>
      </c>
      <c r="B424" s="82">
        <v>2</v>
      </c>
      <c r="C424" s="105">
        <v>0.009986424592404558</v>
      </c>
      <c r="D424" s="82" t="s">
        <v>807</v>
      </c>
      <c r="E424" s="82" t="b">
        <v>0</v>
      </c>
      <c r="F424" s="82" t="b">
        <v>0</v>
      </c>
      <c r="G424" s="82" t="b">
        <v>0</v>
      </c>
    </row>
    <row r="425" spans="1:7" ht="15">
      <c r="A425" s="84" t="s">
        <v>1181</v>
      </c>
      <c r="B425" s="82">
        <v>2</v>
      </c>
      <c r="C425" s="105">
        <v>0.009986424592404558</v>
      </c>
      <c r="D425" s="82" t="s">
        <v>807</v>
      </c>
      <c r="E425" s="82" t="b">
        <v>0</v>
      </c>
      <c r="F425" s="82" t="b">
        <v>0</v>
      </c>
      <c r="G425" s="82" t="b">
        <v>0</v>
      </c>
    </row>
    <row r="426" spans="1:7" ht="15">
      <c r="A426" s="84" t="s">
        <v>1182</v>
      </c>
      <c r="B426" s="82">
        <v>2</v>
      </c>
      <c r="C426" s="105">
        <v>0.009986424592404558</v>
      </c>
      <c r="D426" s="82" t="s">
        <v>807</v>
      </c>
      <c r="E426" s="82" t="b">
        <v>0</v>
      </c>
      <c r="F426" s="82" t="b">
        <v>0</v>
      </c>
      <c r="G426" s="82" t="b">
        <v>0</v>
      </c>
    </row>
    <row r="427" spans="1:7" ht="15">
      <c r="A427" s="84" t="s">
        <v>1183</v>
      </c>
      <c r="B427" s="82">
        <v>2</v>
      </c>
      <c r="C427" s="105">
        <v>0.008345934152818828</v>
      </c>
      <c r="D427" s="82" t="s">
        <v>807</v>
      </c>
      <c r="E427" s="82" t="b">
        <v>0</v>
      </c>
      <c r="F427" s="82" t="b">
        <v>0</v>
      </c>
      <c r="G427" s="82" t="b">
        <v>0</v>
      </c>
    </row>
    <row r="428" spans="1:7" ht="15">
      <c r="A428" s="84" t="s">
        <v>1184</v>
      </c>
      <c r="B428" s="82">
        <v>2</v>
      </c>
      <c r="C428" s="105">
        <v>0.008345934152818828</v>
      </c>
      <c r="D428" s="82" t="s">
        <v>807</v>
      </c>
      <c r="E428" s="82" t="b">
        <v>0</v>
      </c>
      <c r="F428" s="82" t="b">
        <v>0</v>
      </c>
      <c r="G428" s="82" t="b">
        <v>0</v>
      </c>
    </row>
    <row r="429" spans="1:7" ht="15">
      <c r="A429" s="84" t="s">
        <v>995</v>
      </c>
      <c r="B429" s="82">
        <v>2</v>
      </c>
      <c r="C429" s="105">
        <v>0.008345934152818828</v>
      </c>
      <c r="D429" s="82" t="s">
        <v>807</v>
      </c>
      <c r="E429" s="82" t="b">
        <v>0</v>
      </c>
      <c r="F429" s="82" t="b">
        <v>0</v>
      </c>
      <c r="G429" s="82" t="b">
        <v>0</v>
      </c>
    </row>
    <row r="430" spans="1:7" ht="15">
      <c r="A430" s="84" t="s">
        <v>1176</v>
      </c>
      <c r="B430" s="82">
        <v>2</v>
      </c>
      <c r="C430" s="105">
        <v>0.009986424592404558</v>
      </c>
      <c r="D430" s="82" t="s">
        <v>807</v>
      </c>
      <c r="E430" s="82" t="b">
        <v>0</v>
      </c>
      <c r="F430" s="82" t="b">
        <v>0</v>
      </c>
      <c r="G430" s="82" t="b">
        <v>0</v>
      </c>
    </row>
    <row r="431" spans="1:7" ht="15">
      <c r="A431" s="84" t="s">
        <v>1173</v>
      </c>
      <c r="B431" s="82">
        <v>2</v>
      </c>
      <c r="C431" s="105">
        <v>0.009986424592404558</v>
      </c>
      <c r="D431" s="82" t="s">
        <v>807</v>
      </c>
      <c r="E431" s="82" t="b">
        <v>0</v>
      </c>
      <c r="F431" s="82" t="b">
        <v>0</v>
      </c>
      <c r="G431" s="82" t="b">
        <v>0</v>
      </c>
    </row>
    <row r="432" spans="1:7" ht="15">
      <c r="A432" s="84" t="s">
        <v>1174</v>
      </c>
      <c r="B432" s="82">
        <v>2</v>
      </c>
      <c r="C432" s="105">
        <v>0.009986424592404558</v>
      </c>
      <c r="D432" s="82" t="s">
        <v>807</v>
      </c>
      <c r="E432" s="82" t="b">
        <v>0</v>
      </c>
      <c r="F432" s="82" t="b">
        <v>0</v>
      </c>
      <c r="G432" s="82" t="b">
        <v>0</v>
      </c>
    </row>
    <row r="433" spans="1:7" ht="15">
      <c r="A433" s="84" t="s">
        <v>1168</v>
      </c>
      <c r="B433" s="82">
        <v>2</v>
      </c>
      <c r="C433" s="105">
        <v>0.009986424592404558</v>
      </c>
      <c r="D433" s="82" t="s">
        <v>807</v>
      </c>
      <c r="E433" s="82" t="b">
        <v>0</v>
      </c>
      <c r="F433" s="82" t="b">
        <v>0</v>
      </c>
      <c r="G433" s="82" t="b">
        <v>0</v>
      </c>
    </row>
    <row r="434" spans="1:7" ht="15">
      <c r="A434" s="84" t="s">
        <v>1167</v>
      </c>
      <c r="B434" s="82">
        <v>2</v>
      </c>
      <c r="C434" s="105">
        <v>0.009986424592404558</v>
      </c>
      <c r="D434" s="82" t="s">
        <v>807</v>
      </c>
      <c r="E434" s="82" t="b">
        <v>0</v>
      </c>
      <c r="F434" s="82" t="b">
        <v>0</v>
      </c>
      <c r="G434" s="82" t="b">
        <v>0</v>
      </c>
    </row>
    <row r="435" spans="1:7" ht="15">
      <c r="A435" s="84" t="s">
        <v>1165</v>
      </c>
      <c r="B435" s="82">
        <v>2</v>
      </c>
      <c r="C435" s="105">
        <v>0.009986424592404558</v>
      </c>
      <c r="D435" s="82" t="s">
        <v>807</v>
      </c>
      <c r="E435" s="82" t="b">
        <v>0</v>
      </c>
      <c r="F435" s="82" t="b">
        <v>0</v>
      </c>
      <c r="G435" s="82" t="b">
        <v>0</v>
      </c>
    </row>
    <row r="436" spans="1:7" ht="15">
      <c r="A436" s="84" t="s">
        <v>1166</v>
      </c>
      <c r="B436" s="82">
        <v>2</v>
      </c>
      <c r="C436" s="105">
        <v>0.009986424592404558</v>
      </c>
      <c r="D436" s="82" t="s">
        <v>807</v>
      </c>
      <c r="E436" s="82" t="b">
        <v>0</v>
      </c>
      <c r="F436" s="82" t="b">
        <v>0</v>
      </c>
      <c r="G436" s="82" t="b">
        <v>0</v>
      </c>
    </row>
    <row r="437" spans="1:7" ht="15">
      <c r="A437" s="84" t="s">
        <v>1160</v>
      </c>
      <c r="B437" s="82">
        <v>2</v>
      </c>
      <c r="C437" s="105">
        <v>0.009986424592404558</v>
      </c>
      <c r="D437" s="82" t="s">
        <v>807</v>
      </c>
      <c r="E437" s="82" t="b">
        <v>0</v>
      </c>
      <c r="F437" s="82" t="b">
        <v>0</v>
      </c>
      <c r="G437" s="82" t="b">
        <v>0</v>
      </c>
    </row>
    <row r="438" spans="1:7" ht="15">
      <c r="A438" s="84" t="s">
        <v>1161</v>
      </c>
      <c r="B438" s="82">
        <v>2</v>
      </c>
      <c r="C438" s="105">
        <v>0.009986424592404558</v>
      </c>
      <c r="D438" s="82" t="s">
        <v>807</v>
      </c>
      <c r="E438" s="82" t="b">
        <v>0</v>
      </c>
      <c r="F438" s="82" t="b">
        <v>0</v>
      </c>
      <c r="G438" s="82" t="b">
        <v>0</v>
      </c>
    </row>
    <row r="439" spans="1:7" ht="15">
      <c r="A439" s="84" t="s">
        <v>899</v>
      </c>
      <c r="B439" s="82">
        <v>2</v>
      </c>
      <c r="C439" s="105">
        <v>0.009986424592404558</v>
      </c>
      <c r="D439" s="82" t="s">
        <v>807</v>
      </c>
      <c r="E439" s="82" t="b">
        <v>0</v>
      </c>
      <c r="F439" s="82" t="b">
        <v>0</v>
      </c>
      <c r="G439" s="82" t="b">
        <v>0</v>
      </c>
    </row>
    <row r="440" spans="1:7" ht="15">
      <c r="A440" s="84" t="s">
        <v>1158</v>
      </c>
      <c r="B440" s="82">
        <v>2</v>
      </c>
      <c r="C440" s="105">
        <v>0.009986424592404558</v>
      </c>
      <c r="D440" s="82" t="s">
        <v>807</v>
      </c>
      <c r="E440" s="82" t="b">
        <v>0</v>
      </c>
      <c r="F440" s="82" t="b">
        <v>0</v>
      </c>
      <c r="G440" s="82" t="b">
        <v>0</v>
      </c>
    </row>
    <row r="441" spans="1:7" ht="15">
      <c r="A441" s="84" t="s">
        <v>1147</v>
      </c>
      <c r="B441" s="82">
        <v>2</v>
      </c>
      <c r="C441" s="105">
        <v>0.009986424592404558</v>
      </c>
      <c r="D441" s="82" t="s">
        <v>807</v>
      </c>
      <c r="E441" s="82" t="b">
        <v>0</v>
      </c>
      <c r="F441" s="82" t="b">
        <v>0</v>
      </c>
      <c r="G441" s="82" t="b">
        <v>0</v>
      </c>
    </row>
    <row r="442" spans="1:7" ht="15">
      <c r="A442" s="84" t="s">
        <v>1148</v>
      </c>
      <c r="B442" s="82">
        <v>2</v>
      </c>
      <c r="C442" s="105">
        <v>0.009986424592404558</v>
      </c>
      <c r="D442" s="82" t="s">
        <v>807</v>
      </c>
      <c r="E442" s="82" t="b">
        <v>0</v>
      </c>
      <c r="F442" s="82" t="b">
        <v>0</v>
      </c>
      <c r="G442" s="82" t="b">
        <v>0</v>
      </c>
    </row>
    <row r="443" spans="1:7" ht="15">
      <c r="A443" s="84" t="s">
        <v>1149</v>
      </c>
      <c r="B443" s="82">
        <v>2</v>
      </c>
      <c r="C443" s="105">
        <v>0.009986424592404558</v>
      </c>
      <c r="D443" s="82" t="s">
        <v>807</v>
      </c>
      <c r="E443" s="82" t="b">
        <v>0</v>
      </c>
      <c r="F443" s="82" t="b">
        <v>0</v>
      </c>
      <c r="G443" s="82" t="b">
        <v>0</v>
      </c>
    </row>
    <row r="444" spans="1:7" ht="15">
      <c r="A444" s="84" t="s">
        <v>1150</v>
      </c>
      <c r="B444" s="82">
        <v>2</v>
      </c>
      <c r="C444" s="105">
        <v>0.009986424592404558</v>
      </c>
      <c r="D444" s="82" t="s">
        <v>807</v>
      </c>
      <c r="E444" s="82" t="b">
        <v>0</v>
      </c>
      <c r="F444" s="82" t="b">
        <v>0</v>
      </c>
      <c r="G444" s="82" t="b">
        <v>0</v>
      </c>
    </row>
    <row r="445" spans="1:7" ht="15">
      <c r="A445" s="84" t="s">
        <v>1151</v>
      </c>
      <c r="B445" s="82">
        <v>2</v>
      </c>
      <c r="C445" s="105">
        <v>0.009986424592404558</v>
      </c>
      <c r="D445" s="82" t="s">
        <v>807</v>
      </c>
      <c r="E445" s="82" t="b">
        <v>0</v>
      </c>
      <c r="F445" s="82" t="b">
        <v>0</v>
      </c>
      <c r="G445" s="82" t="b">
        <v>0</v>
      </c>
    </row>
    <row r="446" spans="1:7" ht="15">
      <c r="A446" s="84" t="s">
        <v>1152</v>
      </c>
      <c r="B446" s="82">
        <v>2</v>
      </c>
      <c r="C446" s="105">
        <v>0.009986424592404558</v>
      </c>
      <c r="D446" s="82" t="s">
        <v>807</v>
      </c>
      <c r="E446" s="82" t="b">
        <v>0</v>
      </c>
      <c r="F446" s="82" t="b">
        <v>0</v>
      </c>
      <c r="G446" s="82" t="b">
        <v>0</v>
      </c>
    </row>
    <row r="447" spans="1:7" ht="15">
      <c r="A447" s="84" t="s">
        <v>1153</v>
      </c>
      <c r="B447" s="82">
        <v>2</v>
      </c>
      <c r="C447" s="105">
        <v>0.009986424592404558</v>
      </c>
      <c r="D447" s="82" t="s">
        <v>807</v>
      </c>
      <c r="E447" s="82" t="b">
        <v>0</v>
      </c>
      <c r="F447" s="82" t="b">
        <v>0</v>
      </c>
      <c r="G447" s="82" t="b">
        <v>0</v>
      </c>
    </row>
    <row r="448" spans="1:7" ht="15">
      <c r="A448" s="84" t="s">
        <v>1154</v>
      </c>
      <c r="B448" s="82">
        <v>2</v>
      </c>
      <c r="C448" s="105">
        <v>0.009986424592404558</v>
      </c>
      <c r="D448" s="82" t="s">
        <v>807</v>
      </c>
      <c r="E448" s="82" t="b">
        <v>0</v>
      </c>
      <c r="F448" s="82" t="b">
        <v>0</v>
      </c>
      <c r="G448" s="82" t="b">
        <v>0</v>
      </c>
    </row>
    <row r="449" spans="1:7" ht="15">
      <c r="A449" s="84" t="s">
        <v>1155</v>
      </c>
      <c r="B449" s="82">
        <v>2</v>
      </c>
      <c r="C449" s="105">
        <v>0.008345934152818828</v>
      </c>
      <c r="D449" s="82" t="s">
        <v>807</v>
      </c>
      <c r="E449" s="82" t="b">
        <v>0</v>
      </c>
      <c r="F449" s="82" t="b">
        <v>0</v>
      </c>
      <c r="G449" s="82" t="b">
        <v>0</v>
      </c>
    </row>
    <row r="450" spans="1:7" ht="15">
      <c r="A450" s="84" t="s">
        <v>1156</v>
      </c>
      <c r="B450" s="82">
        <v>2</v>
      </c>
      <c r="C450" s="105">
        <v>0.008345934152818828</v>
      </c>
      <c r="D450" s="82" t="s">
        <v>807</v>
      </c>
      <c r="E450" s="82" t="b">
        <v>0</v>
      </c>
      <c r="F450" s="82" t="b">
        <v>0</v>
      </c>
      <c r="G450" s="82" t="b">
        <v>0</v>
      </c>
    </row>
    <row r="451" spans="1:7" ht="15">
      <c r="A451" s="84" t="s">
        <v>1157</v>
      </c>
      <c r="B451" s="82">
        <v>2</v>
      </c>
      <c r="C451" s="105">
        <v>0.008345934152818828</v>
      </c>
      <c r="D451" s="82" t="s">
        <v>807</v>
      </c>
      <c r="E451" s="82" t="b">
        <v>0</v>
      </c>
      <c r="F451" s="82" t="b">
        <v>0</v>
      </c>
      <c r="G451" s="82" t="b">
        <v>0</v>
      </c>
    </row>
    <row r="452" spans="1:7" ht="15">
      <c r="A452" s="84" t="s">
        <v>934</v>
      </c>
      <c r="B452" s="82">
        <v>2</v>
      </c>
      <c r="C452" s="105">
        <v>0.008345934152818828</v>
      </c>
      <c r="D452" s="82" t="s">
        <v>807</v>
      </c>
      <c r="E452" s="82" t="b">
        <v>0</v>
      </c>
      <c r="F452" s="82" t="b">
        <v>0</v>
      </c>
      <c r="G452" s="82" t="b">
        <v>0</v>
      </c>
    </row>
    <row r="453" spans="1:7" ht="15">
      <c r="A453" s="84" t="s">
        <v>1143</v>
      </c>
      <c r="B453" s="82">
        <v>2</v>
      </c>
      <c r="C453" s="105">
        <v>0.009986424592404558</v>
      </c>
      <c r="D453" s="82" t="s">
        <v>807</v>
      </c>
      <c r="E453" s="82" t="b">
        <v>0</v>
      </c>
      <c r="F453" s="82" t="b">
        <v>0</v>
      </c>
      <c r="G453" s="82" t="b">
        <v>0</v>
      </c>
    </row>
    <row r="454" spans="1:7" ht="15">
      <c r="A454" s="84" t="s">
        <v>1144</v>
      </c>
      <c r="B454" s="82">
        <v>2</v>
      </c>
      <c r="C454" s="105">
        <v>0.009986424592404558</v>
      </c>
      <c r="D454" s="82" t="s">
        <v>807</v>
      </c>
      <c r="E454" s="82" t="b">
        <v>0</v>
      </c>
      <c r="F454" s="82" t="b">
        <v>0</v>
      </c>
      <c r="G454" s="82" t="b">
        <v>0</v>
      </c>
    </row>
    <row r="455" spans="1:7" ht="15">
      <c r="A455" s="84" t="s">
        <v>1145</v>
      </c>
      <c r="B455" s="82">
        <v>2</v>
      </c>
      <c r="C455" s="105">
        <v>0.009986424592404558</v>
      </c>
      <c r="D455" s="82" t="s">
        <v>807</v>
      </c>
      <c r="E455" s="82" t="b">
        <v>0</v>
      </c>
      <c r="F455" s="82" t="b">
        <v>0</v>
      </c>
      <c r="G455" s="82" t="b">
        <v>0</v>
      </c>
    </row>
    <row r="456" spans="1:7" ht="15">
      <c r="A456" s="84" t="s">
        <v>1146</v>
      </c>
      <c r="B456" s="82">
        <v>2</v>
      </c>
      <c r="C456" s="105">
        <v>0.009986424592404558</v>
      </c>
      <c r="D456" s="82" t="s">
        <v>807</v>
      </c>
      <c r="E456" s="82" t="b">
        <v>0</v>
      </c>
      <c r="F456" s="82" t="b">
        <v>0</v>
      </c>
      <c r="G456" s="82" t="b">
        <v>0</v>
      </c>
    </row>
    <row r="457" spans="1:7" ht="15">
      <c r="A457" s="84" t="s">
        <v>1142</v>
      </c>
      <c r="B457" s="82">
        <v>2</v>
      </c>
      <c r="C457" s="105">
        <v>0.009986424592404558</v>
      </c>
      <c r="D457" s="82" t="s">
        <v>807</v>
      </c>
      <c r="E457" s="82" t="b">
        <v>0</v>
      </c>
      <c r="F457" s="82" t="b">
        <v>0</v>
      </c>
      <c r="G457" s="82" t="b">
        <v>0</v>
      </c>
    </row>
    <row r="458" spans="1:7" ht="15">
      <c r="A458" s="84" t="s">
        <v>1140</v>
      </c>
      <c r="B458" s="82">
        <v>2</v>
      </c>
      <c r="C458" s="105">
        <v>0.009986424592404558</v>
      </c>
      <c r="D458" s="82" t="s">
        <v>807</v>
      </c>
      <c r="E458" s="82" t="b">
        <v>0</v>
      </c>
      <c r="F458" s="82" t="b">
        <v>0</v>
      </c>
      <c r="G458" s="82" t="b">
        <v>0</v>
      </c>
    </row>
    <row r="459" spans="1:7" ht="15">
      <c r="A459" s="84" t="s">
        <v>1141</v>
      </c>
      <c r="B459" s="82">
        <v>2</v>
      </c>
      <c r="C459" s="105">
        <v>0.009986424592404558</v>
      </c>
      <c r="D459" s="82" t="s">
        <v>807</v>
      </c>
      <c r="E459" s="82" t="b">
        <v>0</v>
      </c>
      <c r="F459" s="82" t="b">
        <v>0</v>
      </c>
      <c r="G459" s="82" t="b">
        <v>0</v>
      </c>
    </row>
    <row r="460" spans="1:7" ht="15">
      <c r="A460" s="84" t="s">
        <v>1138</v>
      </c>
      <c r="B460" s="82">
        <v>2</v>
      </c>
      <c r="C460" s="105">
        <v>0.009986424592404558</v>
      </c>
      <c r="D460" s="82" t="s">
        <v>807</v>
      </c>
      <c r="E460" s="82" t="b">
        <v>0</v>
      </c>
      <c r="F460" s="82" t="b">
        <v>0</v>
      </c>
      <c r="G460" s="82" t="b">
        <v>0</v>
      </c>
    </row>
    <row r="461" spans="1:7" ht="15">
      <c r="A461" s="84" t="s">
        <v>1139</v>
      </c>
      <c r="B461" s="82">
        <v>2</v>
      </c>
      <c r="C461" s="105">
        <v>0.009986424592404558</v>
      </c>
      <c r="D461" s="82" t="s">
        <v>807</v>
      </c>
      <c r="E461" s="82" t="b">
        <v>0</v>
      </c>
      <c r="F461" s="82" t="b">
        <v>0</v>
      </c>
      <c r="G461" s="82" t="b">
        <v>0</v>
      </c>
    </row>
    <row r="462" spans="1:7" ht="15">
      <c r="A462" s="84" t="s">
        <v>1130</v>
      </c>
      <c r="B462" s="82">
        <v>2</v>
      </c>
      <c r="C462" s="105">
        <v>0.009986424592404558</v>
      </c>
      <c r="D462" s="82" t="s">
        <v>807</v>
      </c>
      <c r="E462" s="82" t="b">
        <v>0</v>
      </c>
      <c r="F462" s="82" t="b">
        <v>0</v>
      </c>
      <c r="G462" s="82" t="b">
        <v>0</v>
      </c>
    </row>
    <row r="463" spans="1:7" ht="15">
      <c r="A463" s="84" t="s">
        <v>1131</v>
      </c>
      <c r="B463" s="82">
        <v>2</v>
      </c>
      <c r="C463" s="105">
        <v>0.009986424592404558</v>
      </c>
      <c r="D463" s="82" t="s">
        <v>807</v>
      </c>
      <c r="E463" s="82" t="b">
        <v>0</v>
      </c>
      <c r="F463" s="82" t="b">
        <v>0</v>
      </c>
      <c r="G463" s="82" t="b">
        <v>0</v>
      </c>
    </row>
    <row r="464" spans="1:7" ht="15">
      <c r="A464" s="84" t="s">
        <v>1132</v>
      </c>
      <c r="B464" s="82">
        <v>2</v>
      </c>
      <c r="C464" s="105">
        <v>0.009986424592404558</v>
      </c>
      <c r="D464" s="82" t="s">
        <v>807</v>
      </c>
      <c r="E464" s="82" t="b">
        <v>0</v>
      </c>
      <c r="F464" s="82" t="b">
        <v>0</v>
      </c>
      <c r="G464" s="82" t="b">
        <v>0</v>
      </c>
    </row>
    <row r="465" spans="1:7" ht="15">
      <c r="A465" s="84" t="s">
        <v>1126</v>
      </c>
      <c r="B465" s="82">
        <v>2</v>
      </c>
      <c r="C465" s="105">
        <v>0.009986424592404558</v>
      </c>
      <c r="D465" s="82" t="s">
        <v>807</v>
      </c>
      <c r="E465" s="82" t="b">
        <v>0</v>
      </c>
      <c r="F465" s="82" t="b">
        <v>0</v>
      </c>
      <c r="G465" s="82" t="b">
        <v>0</v>
      </c>
    </row>
    <row r="466" spans="1:7" ht="15">
      <c r="A466" s="84" t="s">
        <v>1127</v>
      </c>
      <c r="B466" s="82">
        <v>2</v>
      </c>
      <c r="C466" s="105">
        <v>0.009986424592404558</v>
      </c>
      <c r="D466" s="82" t="s">
        <v>807</v>
      </c>
      <c r="E466" s="82" t="b">
        <v>0</v>
      </c>
      <c r="F466" s="82" t="b">
        <v>0</v>
      </c>
      <c r="G466" s="82" t="b">
        <v>0</v>
      </c>
    </row>
    <row r="467" spans="1:7" ht="15">
      <c r="A467" s="84" t="s">
        <v>1128</v>
      </c>
      <c r="B467" s="82">
        <v>2</v>
      </c>
      <c r="C467" s="105">
        <v>0.009986424592404558</v>
      </c>
      <c r="D467" s="82" t="s">
        <v>807</v>
      </c>
      <c r="E467" s="82" t="b">
        <v>0</v>
      </c>
      <c r="F467" s="82" t="b">
        <v>0</v>
      </c>
      <c r="G467" s="82" t="b">
        <v>0</v>
      </c>
    </row>
    <row r="468" spans="1:7" ht="15">
      <c r="A468" s="84" t="s">
        <v>1129</v>
      </c>
      <c r="B468" s="82">
        <v>2</v>
      </c>
      <c r="C468" s="105">
        <v>0.009986424592404558</v>
      </c>
      <c r="D468" s="82" t="s">
        <v>807</v>
      </c>
      <c r="E468" s="82" t="b">
        <v>0</v>
      </c>
      <c r="F468" s="82" t="b">
        <v>0</v>
      </c>
      <c r="G468" s="82" t="b">
        <v>0</v>
      </c>
    </row>
    <row r="469" spans="1:7" ht="15">
      <c r="A469" s="84" t="s">
        <v>1125</v>
      </c>
      <c r="B469" s="82">
        <v>2</v>
      </c>
      <c r="C469" s="105">
        <v>0.009986424592404558</v>
      </c>
      <c r="D469" s="82" t="s">
        <v>807</v>
      </c>
      <c r="E469" s="82" t="b">
        <v>0</v>
      </c>
      <c r="F469" s="82" t="b">
        <v>0</v>
      </c>
      <c r="G469" s="82" t="b">
        <v>0</v>
      </c>
    </row>
    <row r="470" spans="1:7" ht="15">
      <c r="A470" s="84" t="s">
        <v>885</v>
      </c>
      <c r="B470" s="82">
        <v>2</v>
      </c>
      <c r="C470" s="105">
        <v>0.008345934152818828</v>
      </c>
      <c r="D470" s="82" t="s">
        <v>807</v>
      </c>
      <c r="E470" s="82" t="b">
        <v>0</v>
      </c>
      <c r="F470" s="82" t="b">
        <v>0</v>
      </c>
      <c r="G470" s="82" t="b">
        <v>0</v>
      </c>
    </row>
    <row r="471" spans="1:7" ht="15">
      <c r="A471" s="84" t="s">
        <v>1120</v>
      </c>
      <c r="B471" s="82">
        <v>2</v>
      </c>
      <c r="C471" s="105">
        <v>0.009986424592404558</v>
      </c>
      <c r="D471" s="82" t="s">
        <v>807</v>
      </c>
      <c r="E471" s="82" t="b">
        <v>0</v>
      </c>
      <c r="F471" s="82" t="b">
        <v>0</v>
      </c>
      <c r="G471" s="82" t="b">
        <v>0</v>
      </c>
    </row>
    <row r="472" spans="1:7" ht="15">
      <c r="A472" s="84" t="s">
        <v>1121</v>
      </c>
      <c r="B472" s="82">
        <v>2</v>
      </c>
      <c r="C472" s="105">
        <v>0.009986424592404558</v>
      </c>
      <c r="D472" s="82" t="s">
        <v>807</v>
      </c>
      <c r="E472" s="82" t="b">
        <v>0</v>
      </c>
      <c r="F472" s="82" t="b">
        <v>0</v>
      </c>
      <c r="G472" s="82" t="b">
        <v>0</v>
      </c>
    </row>
    <row r="473" spans="1:7" ht="15">
      <c r="A473" s="84" t="s">
        <v>1122</v>
      </c>
      <c r="B473" s="82">
        <v>2</v>
      </c>
      <c r="C473" s="105">
        <v>0.009986424592404558</v>
      </c>
      <c r="D473" s="82" t="s">
        <v>807</v>
      </c>
      <c r="E473" s="82" t="b">
        <v>0</v>
      </c>
      <c r="F473" s="82" t="b">
        <v>0</v>
      </c>
      <c r="G473" s="82" t="b">
        <v>0</v>
      </c>
    </row>
    <row r="474" spans="1:7" ht="15">
      <c r="A474" s="84" t="s">
        <v>1123</v>
      </c>
      <c r="B474" s="82">
        <v>2</v>
      </c>
      <c r="C474" s="105">
        <v>0.009986424592404558</v>
      </c>
      <c r="D474" s="82" t="s">
        <v>807</v>
      </c>
      <c r="E474" s="82" t="b">
        <v>0</v>
      </c>
      <c r="F474" s="82" t="b">
        <v>0</v>
      </c>
      <c r="G474" s="82" t="b">
        <v>0</v>
      </c>
    </row>
    <row r="475" spans="1:7" ht="15">
      <c r="A475" s="84" t="s">
        <v>1115</v>
      </c>
      <c r="B475" s="82">
        <v>2</v>
      </c>
      <c r="C475" s="105">
        <v>0.009986424592404558</v>
      </c>
      <c r="D475" s="82" t="s">
        <v>807</v>
      </c>
      <c r="E475" s="82" t="b">
        <v>0</v>
      </c>
      <c r="F475" s="82" t="b">
        <v>0</v>
      </c>
      <c r="G475" s="82" t="b">
        <v>0</v>
      </c>
    </row>
    <row r="476" spans="1:7" ht="15">
      <c r="A476" s="84" t="s">
        <v>1106</v>
      </c>
      <c r="B476" s="82">
        <v>2</v>
      </c>
      <c r="C476" s="105">
        <v>0.009986424592404558</v>
      </c>
      <c r="D476" s="82" t="s">
        <v>807</v>
      </c>
      <c r="E476" s="82" t="b">
        <v>0</v>
      </c>
      <c r="F476" s="82" t="b">
        <v>0</v>
      </c>
      <c r="G476" s="82" t="b">
        <v>0</v>
      </c>
    </row>
    <row r="477" spans="1:7" ht="15">
      <c r="A477" s="84" t="s">
        <v>1107</v>
      </c>
      <c r="B477" s="82">
        <v>2</v>
      </c>
      <c r="C477" s="105">
        <v>0.009986424592404558</v>
      </c>
      <c r="D477" s="82" t="s">
        <v>807</v>
      </c>
      <c r="E477" s="82" t="b">
        <v>0</v>
      </c>
      <c r="F477" s="82" t="b">
        <v>0</v>
      </c>
      <c r="G477" s="82" t="b">
        <v>0</v>
      </c>
    </row>
    <row r="478" spans="1:7" ht="15">
      <c r="A478" s="84" t="s">
        <v>1108</v>
      </c>
      <c r="B478" s="82">
        <v>2</v>
      </c>
      <c r="C478" s="105">
        <v>0.009986424592404558</v>
      </c>
      <c r="D478" s="82" t="s">
        <v>807</v>
      </c>
      <c r="E478" s="82" t="b">
        <v>0</v>
      </c>
      <c r="F478" s="82" t="b">
        <v>0</v>
      </c>
      <c r="G478" s="82" t="b">
        <v>0</v>
      </c>
    </row>
    <row r="479" spans="1:7" ht="15">
      <c r="A479" s="84" t="s">
        <v>1090</v>
      </c>
      <c r="B479" s="82">
        <v>2</v>
      </c>
      <c r="C479" s="105">
        <v>0.009986424592404558</v>
      </c>
      <c r="D479" s="82" t="s">
        <v>807</v>
      </c>
      <c r="E479" s="82" t="b">
        <v>0</v>
      </c>
      <c r="F479" s="82" t="b">
        <v>0</v>
      </c>
      <c r="G479" s="82" t="b">
        <v>0</v>
      </c>
    </row>
    <row r="480" spans="1:7" ht="15">
      <c r="A480" s="84" t="s">
        <v>1091</v>
      </c>
      <c r="B480" s="82">
        <v>2</v>
      </c>
      <c r="C480" s="105">
        <v>0.009986424592404558</v>
      </c>
      <c r="D480" s="82" t="s">
        <v>807</v>
      </c>
      <c r="E480" s="82" t="b">
        <v>0</v>
      </c>
      <c r="F480" s="82" t="b">
        <v>0</v>
      </c>
      <c r="G480" s="82" t="b">
        <v>0</v>
      </c>
    </row>
    <row r="481" spans="1:7" ht="15">
      <c r="A481" s="84" t="s">
        <v>1092</v>
      </c>
      <c r="B481" s="82">
        <v>2</v>
      </c>
      <c r="C481" s="105">
        <v>0.009986424592404558</v>
      </c>
      <c r="D481" s="82" t="s">
        <v>807</v>
      </c>
      <c r="E481" s="82" t="b">
        <v>0</v>
      </c>
      <c r="F481" s="82" t="b">
        <v>0</v>
      </c>
      <c r="G481" s="82" t="b">
        <v>0</v>
      </c>
    </row>
    <row r="482" spans="1:7" ht="15">
      <c r="A482" s="84" t="s">
        <v>1080</v>
      </c>
      <c r="B482" s="82">
        <v>2</v>
      </c>
      <c r="C482" s="105">
        <v>0.009986424592404558</v>
      </c>
      <c r="D482" s="82" t="s">
        <v>807</v>
      </c>
      <c r="E482" s="82" t="b">
        <v>0</v>
      </c>
      <c r="F482" s="82" t="b">
        <v>0</v>
      </c>
      <c r="G482" s="82" t="b">
        <v>0</v>
      </c>
    </row>
    <row r="483" spans="1:7" ht="15">
      <c r="A483" s="84" t="s">
        <v>1081</v>
      </c>
      <c r="B483" s="82">
        <v>2</v>
      </c>
      <c r="C483" s="105">
        <v>0.009986424592404558</v>
      </c>
      <c r="D483" s="82" t="s">
        <v>807</v>
      </c>
      <c r="E483" s="82" t="b">
        <v>0</v>
      </c>
      <c r="F483" s="82" t="b">
        <v>0</v>
      </c>
      <c r="G483" s="82" t="b">
        <v>0</v>
      </c>
    </row>
    <row r="484" spans="1:7" ht="15">
      <c r="A484" s="84" t="s">
        <v>974</v>
      </c>
      <c r="B484" s="82">
        <v>2</v>
      </c>
      <c r="C484" s="105">
        <v>0.008345934152818828</v>
      </c>
      <c r="D484" s="82" t="s">
        <v>807</v>
      </c>
      <c r="E484" s="82" t="b">
        <v>0</v>
      </c>
      <c r="F484" s="82" t="b">
        <v>0</v>
      </c>
      <c r="G484" s="82" t="b">
        <v>0</v>
      </c>
    </row>
    <row r="485" spans="1:7" ht="15">
      <c r="A485" s="84" t="s">
        <v>1078</v>
      </c>
      <c r="B485" s="82">
        <v>2</v>
      </c>
      <c r="C485" s="105">
        <v>0.009986424592404558</v>
      </c>
      <c r="D485" s="82" t="s">
        <v>807</v>
      </c>
      <c r="E485" s="82" t="b">
        <v>0</v>
      </c>
      <c r="F485" s="82" t="b">
        <v>0</v>
      </c>
      <c r="G485" s="82" t="b">
        <v>0</v>
      </c>
    </row>
    <row r="486" spans="1:7" ht="15">
      <c r="A486" s="84" t="s">
        <v>1044</v>
      </c>
      <c r="B486" s="82">
        <v>2</v>
      </c>
      <c r="C486" s="105">
        <v>0.009986424592404558</v>
      </c>
      <c r="D486" s="82" t="s">
        <v>807</v>
      </c>
      <c r="E486" s="82" t="b">
        <v>0</v>
      </c>
      <c r="F486" s="82" t="b">
        <v>0</v>
      </c>
      <c r="G486" s="82" t="b">
        <v>0</v>
      </c>
    </row>
    <row r="487" spans="1:7" ht="15">
      <c r="A487" s="84" t="s">
        <v>1159</v>
      </c>
      <c r="B487" s="82">
        <v>2</v>
      </c>
      <c r="C487" s="105">
        <v>0.009986424592404558</v>
      </c>
      <c r="D487" s="82" t="s">
        <v>807</v>
      </c>
      <c r="E487" s="82" t="b">
        <v>0</v>
      </c>
      <c r="F487" s="82" t="b">
        <v>0</v>
      </c>
      <c r="G487" s="82" t="b">
        <v>0</v>
      </c>
    </row>
    <row r="488" spans="1:7" ht="15">
      <c r="A488" s="84" t="s">
        <v>937</v>
      </c>
      <c r="B488" s="82">
        <v>2</v>
      </c>
      <c r="C488" s="105">
        <v>0.008345934152818828</v>
      </c>
      <c r="D488" s="82" t="s">
        <v>807</v>
      </c>
      <c r="E488" s="82" t="b">
        <v>0</v>
      </c>
      <c r="F488" s="82" t="b">
        <v>0</v>
      </c>
      <c r="G488" s="82" t="b">
        <v>0</v>
      </c>
    </row>
    <row r="489" spans="1:7" ht="15">
      <c r="A489" s="84" t="s">
        <v>938</v>
      </c>
      <c r="B489" s="82">
        <v>2</v>
      </c>
      <c r="C489" s="105">
        <v>0.008345934152818828</v>
      </c>
      <c r="D489" s="82" t="s">
        <v>807</v>
      </c>
      <c r="E489" s="82" t="b">
        <v>0</v>
      </c>
      <c r="F489" s="82" t="b">
        <v>0</v>
      </c>
      <c r="G489" s="82" t="b">
        <v>0</v>
      </c>
    </row>
    <row r="490" spans="1:7" ht="15">
      <c r="A490" s="84" t="s">
        <v>939</v>
      </c>
      <c r="B490" s="82">
        <v>2</v>
      </c>
      <c r="C490" s="105">
        <v>0.008345934152818828</v>
      </c>
      <c r="D490" s="82" t="s">
        <v>807</v>
      </c>
      <c r="E490" s="82" t="b">
        <v>0</v>
      </c>
      <c r="F490" s="82" t="b">
        <v>1</v>
      </c>
      <c r="G490" s="82" t="b">
        <v>0</v>
      </c>
    </row>
    <row r="491" spans="1:7" ht="15">
      <c r="A491" s="84" t="s">
        <v>844</v>
      </c>
      <c r="B491" s="82">
        <v>6</v>
      </c>
      <c r="C491" s="105">
        <v>0.03443547392996483</v>
      </c>
      <c r="D491" s="82" t="s">
        <v>808</v>
      </c>
      <c r="E491" s="82" t="b">
        <v>0</v>
      </c>
      <c r="F491" s="82" t="b">
        <v>0</v>
      </c>
      <c r="G491" s="82" t="b">
        <v>0</v>
      </c>
    </row>
    <row r="492" spans="1:7" ht="15">
      <c r="A492" s="84" t="s">
        <v>843</v>
      </c>
      <c r="B492" s="82">
        <v>5</v>
      </c>
      <c r="C492" s="105">
        <v>0.031765268819452276</v>
      </c>
      <c r="D492" s="82" t="s">
        <v>808</v>
      </c>
      <c r="E492" s="82" t="b">
        <v>0</v>
      </c>
      <c r="F492" s="82" t="b">
        <v>0</v>
      </c>
      <c r="G492" s="82" t="b">
        <v>0</v>
      </c>
    </row>
    <row r="493" spans="1:7" ht="15">
      <c r="A493" s="84" t="s">
        <v>905</v>
      </c>
      <c r="B493" s="82">
        <v>5</v>
      </c>
      <c r="C493" s="105">
        <v>0.031765268819452276</v>
      </c>
      <c r="D493" s="82" t="s">
        <v>808</v>
      </c>
      <c r="E493" s="82" t="b">
        <v>0</v>
      </c>
      <c r="F493" s="82" t="b">
        <v>0</v>
      </c>
      <c r="G493" s="82" t="b">
        <v>0</v>
      </c>
    </row>
    <row r="494" spans="1:7" ht="15">
      <c r="A494" s="84" t="s">
        <v>847</v>
      </c>
      <c r="B494" s="82">
        <v>4</v>
      </c>
      <c r="C494" s="105">
        <v>0.028417176699222484</v>
      </c>
      <c r="D494" s="82" t="s">
        <v>808</v>
      </c>
      <c r="E494" s="82" t="b">
        <v>0</v>
      </c>
      <c r="F494" s="82" t="b">
        <v>0</v>
      </c>
      <c r="G494" s="82" t="b">
        <v>0</v>
      </c>
    </row>
    <row r="495" spans="1:7" ht="15">
      <c r="A495" s="84" t="s">
        <v>945</v>
      </c>
      <c r="B495" s="82">
        <v>4</v>
      </c>
      <c r="C495" s="105">
        <v>0.028417176699222484</v>
      </c>
      <c r="D495" s="82" t="s">
        <v>808</v>
      </c>
      <c r="E495" s="82" t="b">
        <v>0</v>
      </c>
      <c r="F495" s="82" t="b">
        <v>0</v>
      </c>
      <c r="G495" s="82" t="b">
        <v>0</v>
      </c>
    </row>
    <row r="496" spans="1:7" ht="15">
      <c r="A496" s="84" t="s">
        <v>1018</v>
      </c>
      <c r="B496" s="82">
        <v>3</v>
      </c>
      <c r="C496" s="105">
        <v>0.02831358009799782</v>
      </c>
      <c r="D496" s="82" t="s">
        <v>808</v>
      </c>
      <c r="E496" s="82" t="b">
        <v>0</v>
      </c>
      <c r="F496" s="82" t="b">
        <v>0</v>
      </c>
      <c r="G496" s="82" t="b">
        <v>0</v>
      </c>
    </row>
    <row r="497" spans="1:7" ht="15">
      <c r="A497" s="84" t="s">
        <v>1019</v>
      </c>
      <c r="B497" s="82">
        <v>3</v>
      </c>
      <c r="C497" s="105">
        <v>0.024218434538563375</v>
      </c>
      <c r="D497" s="82" t="s">
        <v>808</v>
      </c>
      <c r="E497" s="82" t="b">
        <v>0</v>
      </c>
      <c r="F497" s="82" t="b">
        <v>0</v>
      </c>
      <c r="G497" s="82" t="b">
        <v>0</v>
      </c>
    </row>
    <row r="498" spans="1:7" ht="15">
      <c r="A498" s="84" t="s">
        <v>1016</v>
      </c>
      <c r="B498" s="82">
        <v>2</v>
      </c>
      <c r="C498" s="105">
        <v>0.01887572006533188</v>
      </c>
      <c r="D498" s="82" t="s">
        <v>808</v>
      </c>
      <c r="E498" s="82" t="b">
        <v>0</v>
      </c>
      <c r="F498" s="82" t="b">
        <v>0</v>
      </c>
      <c r="G498" s="82" t="b">
        <v>0</v>
      </c>
    </row>
    <row r="499" spans="1:7" ht="15">
      <c r="A499" s="84" t="s">
        <v>1203</v>
      </c>
      <c r="B499" s="82">
        <v>2</v>
      </c>
      <c r="C499" s="105">
        <v>0.01887572006533188</v>
      </c>
      <c r="D499" s="82" t="s">
        <v>808</v>
      </c>
      <c r="E499" s="82" t="b">
        <v>0</v>
      </c>
      <c r="F499" s="82" t="b">
        <v>0</v>
      </c>
      <c r="G499" s="82" t="b">
        <v>0</v>
      </c>
    </row>
    <row r="500" spans="1:7" ht="15">
      <c r="A500" s="84" t="s">
        <v>1204</v>
      </c>
      <c r="B500" s="82">
        <v>2</v>
      </c>
      <c r="C500" s="105">
        <v>0.01887572006533188</v>
      </c>
      <c r="D500" s="82" t="s">
        <v>808</v>
      </c>
      <c r="E500" s="82" t="b">
        <v>0</v>
      </c>
      <c r="F500" s="82" t="b">
        <v>0</v>
      </c>
      <c r="G500" s="82" t="b">
        <v>0</v>
      </c>
    </row>
    <row r="501" spans="1:7" ht="15">
      <c r="A501" s="84" t="s">
        <v>1015</v>
      </c>
      <c r="B501" s="82">
        <v>2</v>
      </c>
      <c r="C501" s="105">
        <v>0.01887572006533188</v>
      </c>
      <c r="D501" s="82" t="s">
        <v>808</v>
      </c>
      <c r="E501" s="82" t="b">
        <v>0</v>
      </c>
      <c r="F501" s="82" t="b">
        <v>0</v>
      </c>
      <c r="G501" s="82" t="b">
        <v>0</v>
      </c>
    </row>
    <row r="502" spans="1:7" ht="15">
      <c r="A502" s="84" t="s">
        <v>850</v>
      </c>
      <c r="B502" s="82">
        <v>2</v>
      </c>
      <c r="C502" s="105">
        <v>0.01887572006533188</v>
      </c>
      <c r="D502" s="82" t="s">
        <v>808</v>
      </c>
      <c r="E502" s="82" t="b">
        <v>0</v>
      </c>
      <c r="F502" s="82" t="b">
        <v>0</v>
      </c>
      <c r="G502" s="82" t="b">
        <v>0</v>
      </c>
    </row>
    <row r="503" spans="1:7" ht="15">
      <c r="A503" s="84" t="s">
        <v>1205</v>
      </c>
      <c r="B503" s="82">
        <v>2</v>
      </c>
      <c r="C503" s="105">
        <v>0.01887572006533188</v>
      </c>
      <c r="D503" s="82" t="s">
        <v>808</v>
      </c>
      <c r="E503" s="82" t="b">
        <v>0</v>
      </c>
      <c r="F503" s="82" t="b">
        <v>0</v>
      </c>
      <c r="G503" s="82" t="b">
        <v>0</v>
      </c>
    </row>
    <row r="504" spans="1:7" ht="15">
      <c r="A504" s="84" t="s">
        <v>867</v>
      </c>
      <c r="B504" s="82">
        <v>2</v>
      </c>
      <c r="C504" s="105">
        <v>0.01887572006533188</v>
      </c>
      <c r="D504" s="82" t="s">
        <v>808</v>
      </c>
      <c r="E504" s="82" t="b">
        <v>0</v>
      </c>
      <c r="F504" s="82" t="b">
        <v>0</v>
      </c>
      <c r="G504" s="82" t="b">
        <v>0</v>
      </c>
    </row>
    <row r="505" spans="1:7" ht="15">
      <c r="A505" s="84" t="s">
        <v>931</v>
      </c>
      <c r="B505" s="82">
        <v>2</v>
      </c>
      <c r="C505" s="105">
        <v>0.01887572006533188</v>
      </c>
      <c r="D505" s="82" t="s">
        <v>808</v>
      </c>
      <c r="E505" s="82" t="b">
        <v>0</v>
      </c>
      <c r="F505" s="82" t="b">
        <v>0</v>
      </c>
      <c r="G505" s="82" t="b">
        <v>0</v>
      </c>
    </row>
    <row r="506" spans="1:7" ht="15">
      <c r="A506" s="84" t="s">
        <v>849</v>
      </c>
      <c r="B506" s="82">
        <v>2</v>
      </c>
      <c r="C506" s="105">
        <v>0.01887572006533188</v>
      </c>
      <c r="D506" s="82" t="s">
        <v>808</v>
      </c>
      <c r="E506" s="82" t="b">
        <v>0</v>
      </c>
      <c r="F506" s="82" t="b">
        <v>0</v>
      </c>
      <c r="G506" s="82" t="b">
        <v>0</v>
      </c>
    </row>
    <row r="507" spans="1:7" ht="15">
      <c r="A507" s="84" t="s">
        <v>1010</v>
      </c>
      <c r="B507" s="82">
        <v>2</v>
      </c>
      <c r="C507" s="105">
        <v>0.01887572006533188</v>
      </c>
      <c r="D507" s="82" t="s">
        <v>808</v>
      </c>
      <c r="E507" s="82" t="b">
        <v>0</v>
      </c>
      <c r="F507" s="82" t="b">
        <v>0</v>
      </c>
      <c r="G507" s="82" t="b">
        <v>0</v>
      </c>
    </row>
    <row r="508" spans="1:7" ht="15">
      <c r="A508" s="84" t="s">
        <v>1011</v>
      </c>
      <c r="B508" s="82">
        <v>2</v>
      </c>
      <c r="C508" s="105">
        <v>0.01887572006533188</v>
      </c>
      <c r="D508" s="82" t="s">
        <v>808</v>
      </c>
      <c r="E508" s="82" t="b">
        <v>0</v>
      </c>
      <c r="F508" s="82" t="b">
        <v>0</v>
      </c>
      <c r="G508" s="82" t="b">
        <v>0</v>
      </c>
    </row>
    <row r="509" spans="1:7" ht="15">
      <c r="A509" s="84" t="s">
        <v>1218</v>
      </c>
      <c r="B509" s="82">
        <v>2</v>
      </c>
      <c r="C509" s="105">
        <v>0.01887572006533188</v>
      </c>
      <c r="D509" s="82" t="s">
        <v>808</v>
      </c>
      <c r="E509" s="82" t="b">
        <v>0</v>
      </c>
      <c r="F509" s="82" t="b">
        <v>0</v>
      </c>
      <c r="G509" s="82" t="b">
        <v>0</v>
      </c>
    </row>
    <row r="510" spans="1:7" ht="15">
      <c r="A510" s="84" t="s">
        <v>959</v>
      </c>
      <c r="B510" s="82">
        <v>2</v>
      </c>
      <c r="C510" s="105">
        <v>0.01887572006533188</v>
      </c>
      <c r="D510" s="82" t="s">
        <v>808</v>
      </c>
      <c r="E510" s="82" t="b">
        <v>0</v>
      </c>
      <c r="F510" s="82" t="b">
        <v>0</v>
      </c>
      <c r="G510" s="82" t="b">
        <v>0</v>
      </c>
    </row>
    <row r="511" spans="1:7" ht="15">
      <c r="A511" s="84" t="s">
        <v>900</v>
      </c>
      <c r="B511" s="82">
        <v>2</v>
      </c>
      <c r="C511" s="105">
        <v>0.01887572006533188</v>
      </c>
      <c r="D511" s="82" t="s">
        <v>808</v>
      </c>
      <c r="E511" s="82" t="b">
        <v>1</v>
      </c>
      <c r="F511" s="82" t="b">
        <v>0</v>
      </c>
      <c r="G511" s="82" t="b">
        <v>0</v>
      </c>
    </row>
    <row r="512" spans="1:7" ht="15">
      <c r="A512" s="84" t="s">
        <v>901</v>
      </c>
      <c r="B512" s="82">
        <v>2</v>
      </c>
      <c r="C512" s="105">
        <v>0.01887572006533188</v>
      </c>
      <c r="D512" s="82" t="s">
        <v>808</v>
      </c>
      <c r="E512" s="82" t="b">
        <v>0</v>
      </c>
      <c r="F512" s="82" t="b">
        <v>0</v>
      </c>
      <c r="G512" s="82" t="b">
        <v>0</v>
      </c>
    </row>
    <row r="513" spans="1:7" ht="15">
      <c r="A513" s="84" t="s">
        <v>902</v>
      </c>
      <c r="B513" s="82">
        <v>2</v>
      </c>
      <c r="C513" s="105">
        <v>0.01887572006533188</v>
      </c>
      <c r="D513" s="82" t="s">
        <v>808</v>
      </c>
      <c r="E513" s="82" t="b">
        <v>0</v>
      </c>
      <c r="F513" s="82" t="b">
        <v>0</v>
      </c>
      <c r="G513" s="82" t="b">
        <v>0</v>
      </c>
    </row>
    <row r="514" spans="1:7" ht="15">
      <c r="A514" s="84" t="s">
        <v>903</v>
      </c>
      <c r="B514" s="82">
        <v>2</v>
      </c>
      <c r="C514" s="105">
        <v>0.01887572006533188</v>
      </c>
      <c r="D514" s="82" t="s">
        <v>808</v>
      </c>
      <c r="E514" s="82" t="b">
        <v>0</v>
      </c>
      <c r="F514" s="82" t="b">
        <v>0</v>
      </c>
      <c r="G514" s="82" t="b">
        <v>0</v>
      </c>
    </row>
    <row r="515" spans="1:7" ht="15">
      <c r="A515" s="84" t="s">
        <v>1013</v>
      </c>
      <c r="B515" s="82">
        <v>2</v>
      </c>
      <c r="C515" s="105">
        <v>0.01887572006533188</v>
      </c>
      <c r="D515" s="82" t="s">
        <v>808</v>
      </c>
      <c r="E515" s="82" t="b">
        <v>0</v>
      </c>
      <c r="F515" s="82" t="b">
        <v>1</v>
      </c>
      <c r="G515" s="82" t="b">
        <v>0</v>
      </c>
    </row>
    <row r="516" spans="1:7" ht="15">
      <c r="A516" s="84" t="s">
        <v>856</v>
      </c>
      <c r="B516" s="82">
        <v>2</v>
      </c>
      <c r="C516" s="105">
        <v>0.01887572006533188</v>
      </c>
      <c r="D516" s="82" t="s">
        <v>808</v>
      </c>
      <c r="E516" s="82" t="b">
        <v>0</v>
      </c>
      <c r="F516" s="82" t="b">
        <v>0</v>
      </c>
      <c r="G516" s="82" t="b">
        <v>0</v>
      </c>
    </row>
    <row r="517" spans="1:7" ht="15">
      <c r="A517" s="84" t="s">
        <v>859</v>
      </c>
      <c r="B517" s="82">
        <v>2</v>
      </c>
      <c r="C517" s="105">
        <v>0.01887572006533188</v>
      </c>
      <c r="D517" s="82" t="s">
        <v>808</v>
      </c>
      <c r="E517" s="82" t="b">
        <v>0</v>
      </c>
      <c r="F517" s="82" t="b">
        <v>0</v>
      </c>
      <c r="G517" s="82" t="b">
        <v>0</v>
      </c>
    </row>
    <row r="518" spans="1:7" ht="15">
      <c r="A518" s="84" t="s">
        <v>1214</v>
      </c>
      <c r="B518" s="82">
        <v>2</v>
      </c>
      <c r="C518" s="105">
        <v>0.023542851781052518</v>
      </c>
      <c r="D518" s="82" t="s">
        <v>808</v>
      </c>
      <c r="E518" s="82" t="b">
        <v>0</v>
      </c>
      <c r="F518" s="82" t="b">
        <v>0</v>
      </c>
      <c r="G518" s="82" t="b">
        <v>0</v>
      </c>
    </row>
    <row r="519" spans="1:7" ht="15">
      <c r="A519" s="84" t="s">
        <v>1215</v>
      </c>
      <c r="B519" s="82">
        <v>2</v>
      </c>
      <c r="C519" s="105">
        <v>0.023542851781052518</v>
      </c>
      <c r="D519" s="82" t="s">
        <v>808</v>
      </c>
      <c r="E519" s="82" t="b">
        <v>0</v>
      </c>
      <c r="F519" s="82" t="b">
        <v>0</v>
      </c>
      <c r="G519" s="82" t="b">
        <v>0</v>
      </c>
    </row>
    <row r="520" spans="1:7" ht="15">
      <c r="A520" s="84" t="s">
        <v>1216</v>
      </c>
      <c r="B520" s="82">
        <v>2</v>
      </c>
      <c r="C520" s="105">
        <v>0.023542851781052518</v>
      </c>
      <c r="D520" s="82" t="s">
        <v>808</v>
      </c>
      <c r="E520" s="82" t="b">
        <v>0</v>
      </c>
      <c r="F520" s="82" t="b">
        <v>0</v>
      </c>
      <c r="G520" s="82" t="b">
        <v>0</v>
      </c>
    </row>
    <row r="521" spans="1:7" ht="15">
      <c r="A521" s="84" t="s">
        <v>1217</v>
      </c>
      <c r="B521" s="82">
        <v>2</v>
      </c>
      <c r="C521" s="105">
        <v>0.023542851781052518</v>
      </c>
      <c r="D521" s="82" t="s">
        <v>808</v>
      </c>
      <c r="E521" s="82" t="b">
        <v>0</v>
      </c>
      <c r="F521" s="82" t="b">
        <v>0</v>
      </c>
      <c r="G521" s="82" t="b">
        <v>0</v>
      </c>
    </row>
    <row r="522" spans="1:7" ht="15">
      <c r="A522" s="84" t="s">
        <v>860</v>
      </c>
      <c r="B522" s="82">
        <v>8</v>
      </c>
      <c r="C522" s="105">
        <v>0.02193364748654951</v>
      </c>
      <c r="D522" s="82" t="s">
        <v>809</v>
      </c>
      <c r="E522" s="82" t="b">
        <v>0</v>
      </c>
      <c r="F522" s="82" t="b">
        <v>0</v>
      </c>
      <c r="G522" s="82" t="b">
        <v>0</v>
      </c>
    </row>
    <row r="523" spans="1:7" ht="15">
      <c r="A523" s="84" t="s">
        <v>848</v>
      </c>
      <c r="B523" s="82">
        <v>7</v>
      </c>
      <c r="C523" s="105">
        <v>0.021181861299965174</v>
      </c>
      <c r="D523" s="82" t="s">
        <v>809</v>
      </c>
      <c r="E523" s="82" t="b">
        <v>0</v>
      </c>
      <c r="F523" s="82" t="b">
        <v>0</v>
      </c>
      <c r="G523" s="82" t="b">
        <v>0</v>
      </c>
    </row>
    <row r="524" spans="1:7" ht="15">
      <c r="A524" s="84" t="s">
        <v>881</v>
      </c>
      <c r="B524" s="82">
        <v>5</v>
      </c>
      <c r="C524" s="105">
        <v>0.018711470430464148</v>
      </c>
      <c r="D524" s="82" t="s">
        <v>809</v>
      </c>
      <c r="E524" s="82" t="b">
        <v>0</v>
      </c>
      <c r="F524" s="82" t="b">
        <v>0</v>
      </c>
      <c r="G524" s="82" t="b">
        <v>0</v>
      </c>
    </row>
    <row r="525" spans="1:7" ht="15">
      <c r="A525" s="84" t="s">
        <v>858</v>
      </c>
      <c r="B525" s="82">
        <v>4</v>
      </c>
      <c r="C525" s="105">
        <v>0.01931915182704497</v>
      </c>
      <c r="D525" s="82" t="s">
        <v>809</v>
      </c>
      <c r="E525" s="82" t="b">
        <v>0</v>
      </c>
      <c r="F525" s="82" t="b">
        <v>0</v>
      </c>
      <c r="G525" s="82" t="b">
        <v>0</v>
      </c>
    </row>
    <row r="526" spans="1:7" ht="15">
      <c r="A526" s="84" t="s">
        <v>912</v>
      </c>
      <c r="B526" s="82">
        <v>4</v>
      </c>
      <c r="C526" s="105">
        <v>0.01686937267786262</v>
      </c>
      <c r="D526" s="82" t="s">
        <v>809</v>
      </c>
      <c r="E526" s="82" t="b">
        <v>0</v>
      </c>
      <c r="F526" s="82" t="b">
        <v>0</v>
      </c>
      <c r="G526" s="82" t="b">
        <v>0</v>
      </c>
    </row>
    <row r="527" spans="1:7" ht="15">
      <c r="A527" s="84" t="s">
        <v>913</v>
      </c>
      <c r="B527" s="82">
        <v>4</v>
      </c>
      <c r="C527" s="105">
        <v>0.01686937267786262</v>
      </c>
      <c r="D527" s="82" t="s">
        <v>809</v>
      </c>
      <c r="E527" s="82" t="b">
        <v>0</v>
      </c>
      <c r="F527" s="82" t="b">
        <v>0</v>
      </c>
      <c r="G527" s="82" t="b">
        <v>0</v>
      </c>
    </row>
    <row r="528" spans="1:7" ht="15">
      <c r="A528" s="84" t="s">
        <v>914</v>
      </c>
      <c r="B528" s="82">
        <v>4</v>
      </c>
      <c r="C528" s="105">
        <v>0.01686937267786262</v>
      </c>
      <c r="D528" s="82" t="s">
        <v>809</v>
      </c>
      <c r="E528" s="82" t="b">
        <v>0</v>
      </c>
      <c r="F528" s="82" t="b">
        <v>0</v>
      </c>
      <c r="G528" s="82" t="b">
        <v>0</v>
      </c>
    </row>
    <row r="529" spans="1:7" ht="15">
      <c r="A529" s="84" t="s">
        <v>915</v>
      </c>
      <c r="B529" s="82">
        <v>4</v>
      </c>
      <c r="C529" s="105">
        <v>0.01686937267786262</v>
      </c>
      <c r="D529" s="82" t="s">
        <v>809</v>
      </c>
      <c r="E529" s="82" t="b">
        <v>0</v>
      </c>
      <c r="F529" s="82" t="b">
        <v>0</v>
      </c>
      <c r="G529" s="82" t="b">
        <v>0</v>
      </c>
    </row>
    <row r="530" spans="1:7" ht="15">
      <c r="A530" s="84" t="s">
        <v>916</v>
      </c>
      <c r="B530" s="82">
        <v>4</v>
      </c>
      <c r="C530" s="105">
        <v>0.01686937267786262</v>
      </c>
      <c r="D530" s="82" t="s">
        <v>809</v>
      </c>
      <c r="E530" s="82" t="b">
        <v>0</v>
      </c>
      <c r="F530" s="82" t="b">
        <v>0</v>
      </c>
      <c r="G530" s="82" t="b">
        <v>0</v>
      </c>
    </row>
    <row r="531" spans="1:7" ht="15">
      <c r="A531" s="84" t="s">
        <v>917</v>
      </c>
      <c r="B531" s="82">
        <v>4</v>
      </c>
      <c r="C531" s="105">
        <v>0.01686937267786262</v>
      </c>
      <c r="D531" s="82" t="s">
        <v>809</v>
      </c>
      <c r="E531" s="82" t="b">
        <v>0</v>
      </c>
      <c r="F531" s="82" t="b">
        <v>0</v>
      </c>
      <c r="G531" s="82" t="b">
        <v>0</v>
      </c>
    </row>
    <row r="532" spans="1:7" ht="15">
      <c r="A532" s="84" t="s">
        <v>861</v>
      </c>
      <c r="B532" s="82">
        <v>4</v>
      </c>
      <c r="C532" s="105">
        <v>0.022771921612450487</v>
      </c>
      <c r="D532" s="82" t="s">
        <v>809</v>
      </c>
      <c r="E532" s="82" t="b">
        <v>0</v>
      </c>
      <c r="F532" s="82" t="b">
        <v>0</v>
      </c>
      <c r="G532" s="82" t="b">
        <v>0</v>
      </c>
    </row>
    <row r="533" spans="1:7" ht="15">
      <c r="A533" s="84" t="s">
        <v>855</v>
      </c>
      <c r="B533" s="82">
        <v>3</v>
      </c>
      <c r="C533" s="105">
        <v>0.014489363870283729</v>
      </c>
      <c r="D533" s="82" t="s">
        <v>809</v>
      </c>
      <c r="E533" s="82" t="b">
        <v>0</v>
      </c>
      <c r="F533" s="82" t="b">
        <v>0</v>
      </c>
      <c r="G533" s="82" t="b">
        <v>0</v>
      </c>
    </row>
    <row r="534" spans="1:7" ht="15">
      <c r="A534" s="84" t="s">
        <v>910</v>
      </c>
      <c r="B534" s="82">
        <v>3</v>
      </c>
      <c r="C534" s="105">
        <v>0.014489363870283729</v>
      </c>
      <c r="D534" s="82" t="s">
        <v>809</v>
      </c>
      <c r="E534" s="82" t="b">
        <v>0</v>
      </c>
      <c r="F534" s="82" t="b">
        <v>0</v>
      </c>
      <c r="G534" s="82" t="b">
        <v>0</v>
      </c>
    </row>
    <row r="535" spans="1:7" ht="15">
      <c r="A535" s="84" t="s">
        <v>911</v>
      </c>
      <c r="B535" s="82">
        <v>3</v>
      </c>
      <c r="C535" s="105">
        <v>0.014489363870283729</v>
      </c>
      <c r="D535" s="82" t="s">
        <v>809</v>
      </c>
      <c r="E535" s="82" t="b">
        <v>0</v>
      </c>
      <c r="F535" s="82" t="b">
        <v>0</v>
      </c>
      <c r="G535" s="82" t="b">
        <v>0</v>
      </c>
    </row>
    <row r="536" spans="1:7" ht="15">
      <c r="A536" s="84" t="s">
        <v>880</v>
      </c>
      <c r="B536" s="82">
        <v>3</v>
      </c>
      <c r="C536" s="105">
        <v>0.014489363870283729</v>
      </c>
      <c r="D536" s="82" t="s">
        <v>809</v>
      </c>
      <c r="E536" s="82" t="b">
        <v>0</v>
      </c>
      <c r="F536" s="82" t="b">
        <v>0</v>
      </c>
      <c r="G536" s="82" t="b">
        <v>0</v>
      </c>
    </row>
    <row r="537" spans="1:7" ht="15">
      <c r="A537" s="84" t="s">
        <v>859</v>
      </c>
      <c r="B537" s="82">
        <v>3</v>
      </c>
      <c r="C537" s="105">
        <v>0.014489363870283729</v>
      </c>
      <c r="D537" s="82" t="s">
        <v>809</v>
      </c>
      <c r="E537" s="82" t="b">
        <v>0</v>
      </c>
      <c r="F537" s="82" t="b">
        <v>0</v>
      </c>
      <c r="G537" s="82" t="b">
        <v>0</v>
      </c>
    </row>
    <row r="538" spans="1:7" ht="15">
      <c r="A538" s="84" t="s">
        <v>895</v>
      </c>
      <c r="B538" s="82">
        <v>3</v>
      </c>
      <c r="C538" s="105">
        <v>0.014489363870283729</v>
      </c>
      <c r="D538" s="82" t="s">
        <v>809</v>
      </c>
      <c r="E538" s="82" t="b">
        <v>0</v>
      </c>
      <c r="F538" s="82" t="b">
        <v>0</v>
      </c>
      <c r="G538" s="82" t="b">
        <v>0</v>
      </c>
    </row>
    <row r="539" spans="1:7" ht="15">
      <c r="A539" s="84" t="s">
        <v>960</v>
      </c>
      <c r="B539" s="82">
        <v>3</v>
      </c>
      <c r="C539" s="105">
        <v>0.014489363870283729</v>
      </c>
      <c r="D539" s="82" t="s">
        <v>809</v>
      </c>
      <c r="E539" s="82" t="b">
        <v>0</v>
      </c>
      <c r="F539" s="82" t="b">
        <v>0</v>
      </c>
      <c r="G539" s="82" t="b">
        <v>0</v>
      </c>
    </row>
    <row r="540" spans="1:7" ht="15">
      <c r="A540" s="84" t="s">
        <v>879</v>
      </c>
      <c r="B540" s="82">
        <v>3</v>
      </c>
      <c r="C540" s="105">
        <v>0.014489363870283729</v>
      </c>
      <c r="D540" s="82" t="s">
        <v>809</v>
      </c>
      <c r="E540" s="82" t="b">
        <v>0</v>
      </c>
      <c r="F540" s="82" t="b">
        <v>0</v>
      </c>
      <c r="G540" s="82" t="b">
        <v>0</v>
      </c>
    </row>
    <row r="541" spans="1:7" ht="15">
      <c r="A541" s="84" t="s">
        <v>845</v>
      </c>
      <c r="B541" s="82">
        <v>3</v>
      </c>
      <c r="C541" s="105">
        <v>0.014489363870283729</v>
      </c>
      <c r="D541" s="82" t="s">
        <v>809</v>
      </c>
      <c r="E541" s="82" t="b">
        <v>0</v>
      </c>
      <c r="F541" s="82" t="b">
        <v>0</v>
      </c>
      <c r="G541" s="82" t="b">
        <v>0</v>
      </c>
    </row>
    <row r="542" spans="1:7" ht="15">
      <c r="A542" s="84" t="s">
        <v>962</v>
      </c>
      <c r="B542" s="82">
        <v>3</v>
      </c>
      <c r="C542" s="105">
        <v>0.014489363870283729</v>
      </c>
      <c r="D542" s="82" t="s">
        <v>809</v>
      </c>
      <c r="E542" s="82" t="b">
        <v>0</v>
      </c>
      <c r="F542" s="82" t="b">
        <v>0</v>
      </c>
      <c r="G542" s="82" t="b">
        <v>0</v>
      </c>
    </row>
    <row r="543" spans="1:7" ht="15">
      <c r="A543" s="84" t="s">
        <v>963</v>
      </c>
      <c r="B543" s="82">
        <v>3</v>
      </c>
      <c r="C543" s="105">
        <v>0.014489363870283729</v>
      </c>
      <c r="D543" s="82" t="s">
        <v>809</v>
      </c>
      <c r="E543" s="82" t="b">
        <v>0</v>
      </c>
      <c r="F543" s="82" t="b">
        <v>0</v>
      </c>
      <c r="G543" s="82" t="b">
        <v>0</v>
      </c>
    </row>
    <row r="544" spans="1:7" ht="15">
      <c r="A544" s="84" t="s">
        <v>964</v>
      </c>
      <c r="B544" s="82">
        <v>3</v>
      </c>
      <c r="C544" s="105">
        <v>0.014489363870283729</v>
      </c>
      <c r="D544" s="82" t="s">
        <v>809</v>
      </c>
      <c r="E544" s="82" t="b">
        <v>0</v>
      </c>
      <c r="F544" s="82" t="b">
        <v>0</v>
      </c>
      <c r="G544" s="82" t="b">
        <v>0</v>
      </c>
    </row>
    <row r="545" spans="1:7" ht="15">
      <c r="A545" s="84" t="s">
        <v>965</v>
      </c>
      <c r="B545" s="82">
        <v>3</v>
      </c>
      <c r="C545" s="105">
        <v>0.014489363870283729</v>
      </c>
      <c r="D545" s="82" t="s">
        <v>809</v>
      </c>
      <c r="E545" s="82" t="b">
        <v>0</v>
      </c>
      <c r="F545" s="82" t="b">
        <v>0</v>
      </c>
      <c r="G545" s="82" t="b">
        <v>0</v>
      </c>
    </row>
    <row r="546" spans="1:7" ht="15">
      <c r="A546" s="84" t="s">
        <v>966</v>
      </c>
      <c r="B546" s="82">
        <v>3</v>
      </c>
      <c r="C546" s="105">
        <v>0.014489363870283729</v>
      </c>
      <c r="D546" s="82" t="s">
        <v>809</v>
      </c>
      <c r="E546" s="82" t="b">
        <v>0</v>
      </c>
      <c r="F546" s="82" t="b">
        <v>0</v>
      </c>
      <c r="G546" s="82" t="b">
        <v>0</v>
      </c>
    </row>
    <row r="547" spans="1:7" ht="15">
      <c r="A547" s="84" t="s">
        <v>967</v>
      </c>
      <c r="B547" s="82">
        <v>3</v>
      </c>
      <c r="C547" s="105">
        <v>0.014489363870283729</v>
      </c>
      <c r="D547" s="82" t="s">
        <v>809</v>
      </c>
      <c r="E547" s="82" t="b">
        <v>0</v>
      </c>
      <c r="F547" s="82" t="b">
        <v>0</v>
      </c>
      <c r="G547" s="82" t="b">
        <v>0</v>
      </c>
    </row>
    <row r="548" spans="1:7" ht="15">
      <c r="A548" s="84" t="s">
        <v>968</v>
      </c>
      <c r="B548" s="82">
        <v>3</v>
      </c>
      <c r="C548" s="105">
        <v>0.014489363870283729</v>
      </c>
      <c r="D548" s="82" t="s">
        <v>809</v>
      </c>
      <c r="E548" s="82" t="b">
        <v>0</v>
      </c>
      <c r="F548" s="82" t="b">
        <v>0</v>
      </c>
      <c r="G548" s="82" t="b">
        <v>0</v>
      </c>
    </row>
    <row r="549" spans="1:7" ht="15">
      <c r="A549" s="84" t="s">
        <v>969</v>
      </c>
      <c r="B549" s="82">
        <v>3</v>
      </c>
      <c r="C549" s="105">
        <v>0.021505852910278764</v>
      </c>
      <c r="D549" s="82" t="s">
        <v>809</v>
      </c>
      <c r="E549" s="82" t="b">
        <v>0</v>
      </c>
      <c r="F549" s="82" t="b">
        <v>0</v>
      </c>
      <c r="G549" s="82" t="b">
        <v>0</v>
      </c>
    </row>
    <row r="550" spans="1:7" ht="15">
      <c r="A550" s="84" t="s">
        <v>1037</v>
      </c>
      <c r="B550" s="82">
        <v>2</v>
      </c>
      <c r="C550" s="105">
        <v>0.014337235273519176</v>
      </c>
      <c r="D550" s="82" t="s">
        <v>809</v>
      </c>
      <c r="E550" s="82" t="b">
        <v>0</v>
      </c>
      <c r="F550" s="82" t="b">
        <v>0</v>
      </c>
      <c r="G550" s="82" t="b">
        <v>0</v>
      </c>
    </row>
    <row r="551" spans="1:7" ht="15">
      <c r="A551" s="84" t="s">
        <v>1029</v>
      </c>
      <c r="B551" s="82">
        <v>2</v>
      </c>
      <c r="C551" s="105">
        <v>0.011385960806225243</v>
      </c>
      <c r="D551" s="82" t="s">
        <v>809</v>
      </c>
      <c r="E551" s="82" t="b">
        <v>0</v>
      </c>
      <c r="F551" s="82" t="b">
        <v>0</v>
      </c>
      <c r="G551" s="82" t="b">
        <v>0</v>
      </c>
    </row>
    <row r="552" spans="1:7" ht="15">
      <c r="A552" s="84" t="s">
        <v>1030</v>
      </c>
      <c r="B552" s="82">
        <v>2</v>
      </c>
      <c r="C552" s="105">
        <v>0.011385960806225243</v>
      </c>
      <c r="D552" s="82" t="s">
        <v>809</v>
      </c>
      <c r="E552" s="82" t="b">
        <v>0</v>
      </c>
      <c r="F552" s="82" t="b">
        <v>0</v>
      </c>
      <c r="G552" s="82" t="b">
        <v>0</v>
      </c>
    </row>
    <row r="553" spans="1:7" ht="15">
      <c r="A553" s="84" t="s">
        <v>1031</v>
      </c>
      <c r="B553" s="82">
        <v>2</v>
      </c>
      <c r="C553" s="105">
        <v>0.011385960806225243</v>
      </c>
      <c r="D553" s="82" t="s">
        <v>809</v>
      </c>
      <c r="E553" s="82" t="b">
        <v>0</v>
      </c>
      <c r="F553" s="82" t="b">
        <v>0</v>
      </c>
      <c r="G553" s="82" t="b">
        <v>0</v>
      </c>
    </row>
    <row r="554" spans="1:7" ht="15">
      <c r="A554" s="84" t="s">
        <v>1032</v>
      </c>
      <c r="B554" s="82">
        <v>2</v>
      </c>
      <c r="C554" s="105">
        <v>0.011385960806225243</v>
      </c>
      <c r="D554" s="82" t="s">
        <v>809</v>
      </c>
      <c r="E554" s="82" t="b">
        <v>0</v>
      </c>
      <c r="F554" s="82" t="b">
        <v>0</v>
      </c>
      <c r="G554" s="82" t="b">
        <v>0</v>
      </c>
    </row>
    <row r="555" spans="1:7" ht="15">
      <c r="A555" s="84" t="s">
        <v>1033</v>
      </c>
      <c r="B555" s="82">
        <v>2</v>
      </c>
      <c r="C555" s="105">
        <v>0.011385960806225243</v>
      </c>
      <c r="D555" s="82" t="s">
        <v>809</v>
      </c>
      <c r="E555" s="82" t="b">
        <v>0</v>
      </c>
      <c r="F555" s="82" t="b">
        <v>1</v>
      </c>
      <c r="G555" s="82" t="b">
        <v>0</v>
      </c>
    </row>
    <row r="556" spans="1:7" ht="15">
      <c r="A556" s="84" t="s">
        <v>1034</v>
      </c>
      <c r="B556" s="82">
        <v>2</v>
      </c>
      <c r="C556" s="105">
        <v>0.011385960806225243</v>
      </c>
      <c r="D556" s="82" t="s">
        <v>809</v>
      </c>
      <c r="E556" s="82" t="b">
        <v>0</v>
      </c>
      <c r="F556" s="82" t="b">
        <v>0</v>
      </c>
      <c r="G556" s="82" t="b">
        <v>0</v>
      </c>
    </row>
    <row r="557" spans="1:7" ht="15">
      <c r="A557" s="84" t="s">
        <v>1035</v>
      </c>
      <c r="B557" s="82">
        <v>2</v>
      </c>
      <c r="C557" s="105">
        <v>0.011385960806225243</v>
      </c>
      <c r="D557" s="82" t="s">
        <v>809</v>
      </c>
      <c r="E557" s="82" t="b">
        <v>0</v>
      </c>
      <c r="F557" s="82" t="b">
        <v>0</v>
      </c>
      <c r="G557" s="82" t="b">
        <v>0</v>
      </c>
    </row>
    <row r="558" spans="1:7" ht="15">
      <c r="A558" s="84" t="s">
        <v>1036</v>
      </c>
      <c r="B558" s="82">
        <v>2</v>
      </c>
      <c r="C558" s="105">
        <v>0.011385960806225243</v>
      </c>
      <c r="D558" s="82" t="s">
        <v>809</v>
      </c>
      <c r="E558" s="82" t="b">
        <v>0</v>
      </c>
      <c r="F558" s="82" t="b">
        <v>0</v>
      </c>
      <c r="G558" s="82" t="b">
        <v>0</v>
      </c>
    </row>
    <row r="559" spans="1:7" ht="15">
      <c r="A559" s="84" t="s">
        <v>1040</v>
      </c>
      <c r="B559" s="82">
        <v>2</v>
      </c>
      <c r="C559" s="105">
        <v>0.011385960806225243</v>
      </c>
      <c r="D559" s="82" t="s">
        <v>809</v>
      </c>
      <c r="E559" s="82" t="b">
        <v>0</v>
      </c>
      <c r="F559" s="82" t="b">
        <v>0</v>
      </c>
      <c r="G559" s="82" t="b">
        <v>0</v>
      </c>
    </row>
    <row r="560" spans="1:7" ht="15">
      <c r="A560" s="84" t="s">
        <v>1041</v>
      </c>
      <c r="B560" s="82">
        <v>2</v>
      </c>
      <c r="C560" s="105">
        <v>0.011385960806225243</v>
      </c>
      <c r="D560" s="82" t="s">
        <v>809</v>
      </c>
      <c r="E560" s="82" t="b">
        <v>0</v>
      </c>
      <c r="F560" s="82" t="b">
        <v>0</v>
      </c>
      <c r="G560" s="82" t="b">
        <v>0</v>
      </c>
    </row>
    <row r="561" spans="1:7" ht="15">
      <c r="A561" s="84" t="s">
        <v>857</v>
      </c>
      <c r="B561" s="82">
        <v>2</v>
      </c>
      <c r="C561" s="105">
        <v>0.011385960806225243</v>
      </c>
      <c r="D561" s="82" t="s">
        <v>809</v>
      </c>
      <c r="E561" s="82" t="b">
        <v>0</v>
      </c>
      <c r="F561" s="82" t="b">
        <v>0</v>
      </c>
      <c r="G561" s="82" t="b">
        <v>0</v>
      </c>
    </row>
    <row r="562" spans="1:7" ht="15">
      <c r="A562" s="84" t="s">
        <v>1042</v>
      </c>
      <c r="B562" s="82">
        <v>2</v>
      </c>
      <c r="C562" s="105">
        <v>0.011385960806225243</v>
      </c>
      <c r="D562" s="82" t="s">
        <v>809</v>
      </c>
      <c r="E562" s="82" t="b">
        <v>0</v>
      </c>
      <c r="F562" s="82" t="b">
        <v>0</v>
      </c>
      <c r="G562" s="82" t="b">
        <v>0</v>
      </c>
    </row>
    <row r="563" spans="1:7" ht="15">
      <c r="A563" s="84" t="s">
        <v>866</v>
      </c>
      <c r="B563" s="82">
        <v>2</v>
      </c>
      <c r="C563" s="105">
        <v>0.011385960806225243</v>
      </c>
      <c r="D563" s="82" t="s">
        <v>809</v>
      </c>
      <c r="E563" s="82" t="b">
        <v>0</v>
      </c>
      <c r="F563" s="82" t="b">
        <v>0</v>
      </c>
      <c r="G563" s="82" t="b">
        <v>0</v>
      </c>
    </row>
    <row r="564" spans="1:7" ht="15">
      <c r="A564" s="84" t="s">
        <v>1043</v>
      </c>
      <c r="B564" s="82">
        <v>2</v>
      </c>
      <c r="C564" s="105">
        <v>0.011385960806225243</v>
      </c>
      <c r="D564" s="82" t="s">
        <v>809</v>
      </c>
      <c r="E564" s="82" t="b">
        <v>0</v>
      </c>
      <c r="F564" s="82" t="b">
        <v>0</v>
      </c>
      <c r="G564" s="82" t="b">
        <v>0</v>
      </c>
    </row>
    <row r="565" spans="1:7" ht="15">
      <c r="A565" s="84" t="s">
        <v>1045</v>
      </c>
      <c r="B565" s="82">
        <v>2</v>
      </c>
      <c r="C565" s="105">
        <v>0.014337235273519176</v>
      </c>
      <c r="D565" s="82" t="s">
        <v>809</v>
      </c>
      <c r="E565" s="82" t="b">
        <v>0</v>
      </c>
      <c r="F565" s="82" t="b">
        <v>0</v>
      </c>
      <c r="G565" s="82" t="b">
        <v>0</v>
      </c>
    </row>
    <row r="566" spans="1:7" ht="15">
      <c r="A566" s="84" t="s">
        <v>908</v>
      </c>
      <c r="B566" s="82">
        <v>2</v>
      </c>
      <c r="C566" s="105">
        <v>0.014337235273519176</v>
      </c>
      <c r="D566" s="82" t="s">
        <v>809</v>
      </c>
      <c r="E566" s="82" t="b">
        <v>0</v>
      </c>
      <c r="F566" s="82" t="b">
        <v>0</v>
      </c>
      <c r="G566" s="82" t="b">
        <v>0</v>
      </c>
    </row>
    <row r="567" spans="1:7" ht="15">
      <c r="A567" s="84" t="s">
        <v>878</v>
      </c>
      <c r="B567" s="82">
        <v>2</v>
      </c>
      <c r="C567" s="105">
        <v>0.014337235273519176</v>
      </c>
      <c r="D567" s="82" t="s">
        <v>809</v>
      </c>
      <c r="E567" s="82" t="b">
        <v>0</v>
      </c>
      <c r="F567" s="82" t="b">
        <v>0</v>
      </c>
      <c r="G567" s="82" t="b">
        <v>0</v>
      </c>
    </row>
    <row r="568" spans="1:7" ht="15">
      <c r="A568" s="84" t="s">
        <v>1046</v>
      </c>
      <c r="B568" s="82">
        <v>2</v>
      </c>
      <c r="C568" s="105">
        <v>0.014337235273519176</v>
      </c>
      <c r="D568" s="82" t="s">
        <v>809</v>
      </c>
      <c r="E568" s="82" t="b">
        <v>0</v>
      </c>
      <c r="F568" s="82" t="b">
        <v>0</v>
      </c>
      <c r="G568" s="82" t="b">
        <v>0</v>
      </c>
    </row>
    <row r="569" spans="1:7" ht="15">
      <c r="A569" s="84" t="s">
        <v>1047</v>
      </c>
      <c r="B569" s="82">
        <v>2</v>
      </c>
      <c r="C569" s="105">
        <v>0.014337235273519176</v>
      </c>
      <c r="D569" s="82" t="s">
        <v>809</v>
      </c>
      <c r="E569" s="82" t="b">
        <v>0</v>
      </c>
      <c r="F569" s="82" t="b">
        <v>0</v>
      </c>
      <c r="G569" s="82" t="b">
        <v>0</v>
      </c>
    </row>
    <row r="570" spans="1:7" ht="15">
      <c r="A570" s="84" t="s">
        <v>1048</v>
      </c>
      <c r="B570" s="82">
        <v>2</v>
      </c>
      <c r="C570" s="105">
        <v>0.014337235273519176</v>
      </c>
      <c r="D570" s="82" t="s">
        <v>809</v>
      </c>
      <c r="E570" s="82" t="b">
        <v>0</v>
      </c>
      <c r="F570" s="82" t="b">
        <v>0</v>
      </c>
      <c r="G570" s="82" t="b">
        <v>0</v>
      </c>
    </row>
    <row r="571" spans="1:7" ht="15">
      <c r="A571" s="84" t="s">
        <v>1049</v>
      </c>
      <c r="B571" s="82">
        <v>2</v>
      </c>
      <c r="C571" s="105">
        <v>0.011385960806225243</v>
      </c>
      <c r="D571" s="82" t="s">
        <v>809</v>
      </c>
      <c r="E571" s="82" t="b">
        <v>0</v>
      </c>
      <c r="F571" s="82" t="b">
        <v>0</v>
      </c>
      <c r="G571" s="82" t="b">
        <v>0</v>
      </c>
    </row>
    <row r="572" spans="1:7" ht="15">
      <c r="A572" s="84" t="s">
        <v>1050</v>
      </c>
      <c r="B572" s="82">
        <v>2</v>
      </c>
      <c r="C572" s="105">
        <v>0.011385960806225243</v>
      </c>
      <c r="D572" s="82" t="s">
        <v>809</v>
      </c>
      <c r="E572" s="82" t="b">
        <v>0</v>
      </c>
      <c r="F572" s="82" t="b">
        <v>0</v>
      </c>
      <c r="G572" s="82" t="b">
        <v>0</v>
      </c>
    </row>
    <row r="573" spans="1:7" ht="15">
      <c r="A573" s="84" t="s">
        <v>1051</v>
      </c>
      <c r="B573" s="82">
        <v>2</v>
      </c>
      <c r="C573" s="105">
        <v>0.011385960806225243</v>
      </c>
      <c r="D573" s="82" t="s">
        <v>809</v>
      </c>
      <c r="E573" s="82" t="b">
        <v>0</v>
      </c>
      <c r="F573" s="82" t="b">
        <v>0</v>
      </c>
      <c r="G573" s="82" t="b">
        <v>0</v>
      </c>
    </row>
    <row r="574" spans="1:7" ht="15">
      <c r="A574" s="84" t="s">
        <v>1052</v>
      </c>
      <c r="B574" s="82">
        <v>2</v>
      </c>
      <c r="C574" s="105">
        <v>0.011385960806225243</v>
      </c>
      <c r="D574" s="82" t="s">
        <v>809</v>
      </c>
      <c r="E574" s="82" t="b">
        <v>0</v>
      </c>
      <c r="F574" s="82" t="b">
        <v>0</v>
      </c>
      <c r="G574" s="82" t="b">
        <v>0</v>
      </c>
    </row>
    <row r="575" spans="1:7" ht="15">
      <c r="A575" s="84" t="s">
        <v>1053</v>
      </c>
      <c r="B575" s="82">
        <v>2</v>
      </c>
      <c r="C575" s="105">
        <v>0.011385960806225243</v>
      </c>
      <c r="D575" s="82" t="s">
        <v>809</v>
      </c>
      <c r="E575" s="82" t="b">
        <v>0</v>
      </c>
      <c r="F575" s="82" t="b">
        <v>0</v>
      </c>
      <c r="G575" s="82" t="b">
        <v>0</v>
      </c>
    </row>
    <row r="576" spans="1:7" ht="15">
      <c r="A576" s="84" t="s">
        <v>1054</v>
      </c>
      <c r="B576" s="82">
        <v>2</v>
      </c>
      <c r="C576" s="105">
        <v>0.011385960806225243</v>
      </c>
      <c r="D576" s="82" t="s">
        <v>809</v>
      </c>
      <c r="E576" s="82" t="b">
        <v>0</v>
      </c>
      <c r="F576" s="82" t="b">
        <v>0</v>
      </c>
      <c r="G576" s="82" t="b">
        <v>0</v>
      </c>
    </row>
    <row r="577" spans="1:7" ht="15">
      <c r="A577" s="84" t="s">
        <v>1055</v>
      </c>
      <c r="B577" s="82">
        <v>2</v>
      </c>
      <c r="C577" s="105">
        <v>0.011385960806225243</v>
      </c>
      <c r="D577" s="82" t="s">
        <v>809</v>
      </c>
      <c r="E577" s="82" t="b">
        <v>0</v>
      </c>
      <c r="F577" s="82" t="b">
        <v>0</v>
      </c>
      <c r="G577" s="82" t="b">
        <v>0</v>
      </c>
    </row>
    <row r="578" spans="1:7" ht="15">
      <c r="A578" s="84" t="s">
        <v>1056</v>
      </c>
      <c r="B578" s="82">
        <v>2</v>
      </c>
      <c r="C578" s="105">
        <v>0.011385960806225243</v>
      </c>
      <c r="D578" s="82" t="s">
        <v>809</v>
      </c>
      <c r="E578" s="82" t="b">
        <v>0</v>
      </c>
      <c r="F578" s="82" t="b">
        <v>0</v>
      </c>
      <c r="G578" s="82" t="b">
        <v>0</v>
      </c>
    </row>
    <row r="579" spans="1:7" ht="15">
      <c r="A579" s="84" t="s">
        <v>844</v>
      </c>
      <c r="B579" s="82">
        <v>2</v>
      </c>
      <c r="C579" s="105">
        <v>0.011385960806225243</v>
      </c>
      <c r="D579" s="82" t="s">
        <v>809</v>
      </c>
      <c r="E579" s="82" t="b">
        <v>0</v>
      </c>
      <c r="F579" s="82" t="b">
        <v>0</v>
      </c>
      <c r="G579" s="82" t="b">
        <v>0</v>
      </c>
    </row>
    <row r="580" spans="1:7" ht="15">
      <c r="A580" s="84" t="s">
        <v>843</v>
      </c>
      <c r="B580" s="82">
        <v>2</v>
      </c>
      <c r="C580" s="105">
        <v>0.011385960806225243</v>
      </c>
      <c r="D580" s="82" t="s">
        <v>809</v>
      </c>
      <c r="E580" s="82" t="b">
        <v>0</v>
      </c>
      <c r="F580" s="82" t="b">
        <v>0</v>
      </c>
      <c r="G580" s="82" t="b">
        <v>0</v>
      </c>
    </row>
    <row r="581" spans="1:7" ht="15">
      <c r="A581" s="84" t="s">
        <v>1057</v>
      </c>
      <c r="B581" s="82">
        <v>2</v>
      </c>
      <c r="C581" s="105">
        <v>0.011385960806225243</v>
      </c>
      <c r="D581" s="82" t="s">
        <v>809</v>
      </c>
      <c r="E581" s="82" t="b">
        <v>0</v>
      </c>
      <c r="F581" s="82" t="b">
        <v>0</v>
      </c>
      <c r="G581" s="82" t="b">
        <v>0</v>
      </c>
    </row>
    <row r="582" spans="1:7" ht="15">
      <c r="A582" s="84" t="s">
        <v>883</v>
      </c>
      <c r="B582" s="82">
        <v>6</v>
      </c>
      <c r="C582" s="105">
        <v>0.04417087300703583</v>
      </c>
      <c r="D582" s="82" t="s">
        <v>810</v>
      </c>
      <c r="E582" s="82" t="b">
        <v>0</v>
      </c>
      <c r="F582" s="82" t="b">
        <v>0</v>
      </c>
      <c r="G582" s="82" t="b">
        <v>0</v>
      </c>
    </row>
    <row r="583" spans="1:7" ht="15">
      <c r="A583" s="84" t="s">
        <v>850</v>
      </c>
      <c r="B583" s="82">
        <v>5</v>
      </c>
      <c r="C583" s="105">
        <v>0.023455369273020766</v>
      </c>
      <c r="D583" s="82" t="s">
        <v>810</v>
      </c>
      <c r="E583" s="82" t="b">
        <v>0</v>
      </c>
      <c r="F583" s="82" t="b">
        <v>0</v>
      </c>
      <c r="G583" s="82" t="b">
        <v>0</v>
      </c>
    </row>
    <row r="584" spans="1:7" ht="15">
      <c r="A584" s="84" t="s">
        <v>845</v>
      </c>
      <c r="B584" s="82">
        <v>5</v>
      </c>
      <c r="C584" s="105">
        <v>0.023455369273020766</v>
      </c>
      <c r="D584" s="82" t="s">
        <v>810</v>
      </c>
      <c r="E584" s="82" t="b">
        <v>0</v>
      </c>
      <c r="F584" s="82" t="b">
        <v>0</v>
      </c>
      <c r="G584" s="82" t="b">
        <v>0</v>
      </c>
    </row>
    <row r="585" spans="1:7" ht="15">
      <c r="A585" s="84" t="s">
        <v>896</v>
      </c>
      <c r="B585" s="82">
        <v>3</v>
      </c>
      <c r="C585" s="105">
        <v>0.018539974911792788</v>
      </c>
      <c r="D585" s="82" t="s">
        <v>810</v>
      </c>
      <c r="E585" s="82" t="b">
        <v>0</v>
      </c>
      <c r="F585" s="82" t="b">
        <v>0</v>
      </c>
      <c r="G585" s="82" t="b">
        <v>0</v>
      </c>
    </row>
    <row r="586" spans="1:7" ht="15">
      <c r="A586" s="84" t="s">
        <v>992</v>
      </c>
      <c r="B586" s="82">
        <v>3</v>
      </c>
      <c r="C586" s="105">
        <v>0.028146443127624918</v>
      </c>
      <c r="D586" s="82" t="s">
        <v>810</v>
      </c>
      <c r="E586" s="82" t="b">
        <v>0</v>
      </c>
      <c r="F586" s="82" t="b">
        <v>0</v>
      </c>
      <c r="G586" s="82" t="b">
        <v>0</v>
      </c>
    </row>
    <row r="587" spans="1:7" ht="15">
      <c r="A587" s="84" t="s">
        <v>993</v>
      </c>
      <c r="B587" s="82">
        <v>3</v>
      </c>
      <c r="C587" s="105">
        <v>0.028146443127624918</v>
      </c>
      <c r="D587" s="82" t="s">
        <v>810</v>
      </c>
      <c r="E587" s="82" t="b">
        <v>0</v>
      </c>
      <c r="F587" s="82" t="b">
        <v>0</v>
      </c>
      <c r="G587" s="82" t="b">
        <v>0</v>
      </c>
    </row>
    <row r="588" spans="1:7" ht="15">
      <c r="A588" s="84" t="s">
        <v>994</v>
      </c>
      <c r="B588" s="82">
        <v>3</v>
      </c>
      <c r="C588" s="105">
        <v>0.028146443127624918</v>
      </c>
      <c r="D588" s="82" t="s">
        <v>810</v>
      </c>
      <c r="E588" s="82" t="b">
        <v>0</v>
      </c>
      <c r="F588" s="82" t="b">
        <v>0</v>
      </c>
      <c r="G588" s="82" t="b">
        <v>0</v>
      </c>
    </row>
    <row r="589" spans="1:7" ht="15">
      <c r="A589" s="84" t="s">
        <v>1004</v>
      </c>
      <c r="B589" s="82">
        <v>3</v>
      </c>
      <c r="C589" s="105">
        <v>0.028146443127624918</v>
      </c>
      <c r="D589" s="82" t="s">
        <v>810</v>
      </c>
      <c r="E589" s="82" t="b">
        <v>0</v>
      </c>
      <c r="F589" s="82" t="b">
        <v>0</v>
      </c>
      <c r="G589" s="82" t="b">
        <v>0</v>
      </c>
    </row>
    <row r="590" spans="1:7" ht="15">
      <c r="A590" s="84" t="s">
        <v>899</v>
      </c>
      <c r="B590" s="82">
        <v>3</v>
      </c>
      <c r="C590" s="105">
        <v>0.028146443127624918</v>
      </c>
      <c r="D590" s="82" t="s">
        <v>810</v>
      </c>
      <c r="E590" s="82" t="b">
        <v>0</v>
      </c>
      <c r="F590" s="82" t="b">
        <v>0</v>
      </c>
      <c r="G590" s="82" t="b">
        <v>0</v>
      </c>
    </row>
    <row r="591" spans="1:7" ht="15">
      <c r="A591" s="84" t="s">
        <v>1001</v>
      </c>
      <c r="B591" s="82">
        <v>3</v>
      </c>
      <c r="C591" s="105">
        <v>0.028146443127624918</v>
      </c>
      <c r="D591" s="82" t="s">
        <v>810</v>
      </c>
      <c r="E591" s="82" t="b">
        <v>0</v>
      </c>
      <c r="F591" s="82" t="b">
        <v>0</v>
      </c>
      <c r="G591" s="82" t="b">
        <v>0</v>
      </c>
    </row>
    <row r="592" spans="1:7" ht="15">
      <c r="A592" s="84" t="s">
        <v>1002</v>
      </c>
      <c r="B592" s="82">
        <v>3</v>
      </c>
      <c r="C592" s="105">
        <v>0.028146443127624918</v>
      </c>
      <c r="D592" s="82" t="s">
        <v>810</v>
      </c>
      <c r="E592" s="82" t="b">
        <v>0</v>
      </c>
      <c r="F592" s="82" t="b">
        <v>0</v>
      </c>
      <c r="G592" s="82" t="b">
        <v>0</v>
      </c>
    </row>
    <row r="593" spans="1:7" ht="15">
      <c r="A593" s="84" t="s">
        <v>1003</v>
      </c>
      <c r="B593" s="82">
        <v>3</v>
      </c>
      <c r="C593" s="105">
        <v>0.028146443127624918</v>
      </c>
      <c r="D593" s="82" t="s">
        <v>810</v>
      </c>
      <c r="E593" s="82" t="b">
        <v>0</v>
      </c>
      <c r="F593" s="82" t="b">
        <v>0</v>
      </c>
      <c r="G593" s="82" t="b">
        <v>0</v>
      </c>
    </row>
    <row r="594" spans="1:7" ht="15">
      <c r="A594" s="84" t="s">
        <v>999</v>
      </c>
      <c r="B594" s="82">
        <v>3</v>
      </c>
      <c r="C594" s="105">
        <v>0.028146443127624918</v>
      </c>
      <c r="D594" s="82" t="s">
        <v>810</v>
      </c>
      <c r="E594" s="82" t="b">
        <v>0</v>
      </c>
      <c r="F594" s="82" t="b">
        <v>0</v>
      </c>
      <c r="G594" s="82" t="b">
        <v>0</v>
      </c>
    </row>
    <row r="595" spans="1:7" ht="15">
      <c r="A595" s="84" t="s">
        <v>1000</v>
      </c>
      <c r="B595" s="82">
        <v>3</v>
      </c>
      <c r="C595" s="105">
        <v>0.028146443127624918</v>
      </c>
      <c r="D595" s="82" t="s">
        <v>810</v>
      </c>
      <c r="E595" s="82" t="b">
        <v>0</v>
      </c>
      <c r="F595" s="82" t="b">
        <v>0</v>
      </c>
      <c r="G595" s="82" t="b">
        <v>0</v>
      </c>
    </row>
    <row r="596" spans="1:7" ht="15">
      <c r="A596" s="84" t="s">
        <v>996</v>
      </c>
      <c r="B596" s="82">
        <v>3</v>
      </c>
      <c r="C596" s="105">
        <v>0.028146443127624918</v>
      </c>
      <c r="D596" s="82" t="s">
        <v>810</v>
      </c>
      <c r="E596" s="82" t="b">
        <v>0</v>
      </c>
      <c r="F596" s="82" t="b">
        <v>0</v>
      </c>
      <c r="G596" s="82" t="b">
        <v>0</v>
      </c>
    </row>
    <row r="597" spans="1:7" ht="15">
      <c r="A597" s="84" t="s">
        <v>997</v>
      </c>
      <c r="B597" s="82">
        <v>3</v>
      </c>
      <c r="C597" s="105">
        <v>0.028146443127624918</v>
      </c>
      <c r="D597" s="82" t="s">
        <v>810</v>
      </c>
      <c r="E597" s="82" t="b">
        <v>0</v>
      </c>
      <c r="F597" s="82" t="b">
        <v>0</v>
      </c>
      <c r="G597" s="82" t="b">
        <v>0</v>
      </c>
    </row>
    <row r="598" spans="1:7" ht="15">
      <c r="A598" s="84" t="s">
        <v>998</v>
      </c>
      <c r="B598" s="82">
        <v>3</v>
      </c>
      <c r="C598" s="105">
        <v>0.028146443127624918</v>
      </c>
      <c r="D598" s="82" t="s">
        <v>810</v>
      </c>
      <c r="E598" s="82" t="b">
        <v>0</v>
      </c>
      <c r="F598" s="82" t="b">
        <v>0</v>
      </c>
      <c r="G598" s="82" t="b">
        <v>0</v>
      </c>
    </row>
    <row r="599" spans="1:7" ht="15">
      <c r="A599" s="84" t="s">
        <v>892</v>
      </c>
      <c r="B599" s="82">
        <v>3</v>
      </c>
      <c r="C599" s="105">
        <v>0.028146443127624918</v>
      </c>
      <c r="D599" s="82" t="s">
        <v>810</v>
      </c>
      <c r="E599" s="82" t="b">
        <v>0</v>
      </c>
      <c r="F599" s="82" t="b">
        <v>0</v>
      </c>
      <c r="G599" s="82" t="b">
        <v>0</v>
      </c>
    </row>
    <row r="600" spans="1:7" ht="15">
      <c r="A600" s="84" t="s">
        <v>854</v>
      </c>
      <c r="B600" s="82">
        <v>3</v>
      </c>
      <c r="C600" s="105">
        <v>0.018539974911792788</v>
      </c>
      <c r="D600" s="82" t="s">
        <v>810</v>
      </c>
      <c r="E600" s="82" t="b">
        <v>0</v>
      </c>
      <c r="F600" s="82" t="b">
        <v>0</v>
      </c>
      <c r="G600" s="82" t="b">
        <v>0</v>
      </c>
    </row>
    <row r="601" spans="1:7" ht="15">
      <c r="A601" s="84" t="s">
        <v>937</v>
      </c>
      <c r="B601" s="82">
        <v>2</v>
      </c>
      <c r="C601" s="105">
        <v>0.01472362433567861</v>
      </c>
      <c r="D601" s="82" t="s">
        <v>810</v>
      </c>
      <c r="E601" s="82" t="b">
        <v>0</v>
      </c>
      <c r="F601" s="82" t="b">
        <v>0</v>
      </c>
      <c r="G601" s="82" t="b">
        <v>0</v>
      </c>
    </row>
    <row r="602" spans="1:7" ht="15">
      <c r="A602" s="84" t="s">
        <v>938</v>
      </c>
      <c r="B602" s="82">
        <v>2</v>
      </c>
      <c r="C602" s="105">
        <v>0.01472362433567861</v>
      </c>
      <c r="D602" s="82" t="s">
        <v>810</v>
      </c>
      <c r="E602" s="82" t="b">
        <v>0</v>
      </c>
      <c r="F602" s="82" t="b">
        <v>0</v>
      </c>
      <c r="G602" s="82" t="b">
        <v>0</v>
      </c>
    </row>
    <row r="603" spans="1:7" ht="15">
      <c r="A603" s="84" t="s">
        <v>939</v>
      </c>
      <c r="B603" s="82">
        <v>2</v>
      </c>
      <c r="C603" s="105">
        <v>0.01472362433567861</v>
      </c>
      <c r="D603" s="82" t="s">
        <v>810</v>
      </c>
      <c r="E603" s="82" t="b">
        <v>0</v>
      </c>
      <c r="F603" s="82" t="b">
        <v>1</v>
      </c>
      <c r="G603" s="82" t="b">
        <v>0</v>
      </c>
    </row>
    <row r="604" spans="1:7" ht="15">
      <c r="A604" s="84" t="s">
        <v>893</v>
      </c>
      <c r="B604" s="82">
        <v>2</v>
      </c>
      <c r="C604" s="105">
        <v>0.01472362433567861</v>
      </c>
      <c r="D604" s="82" t="s">
        <v>810</v>
      </c>
      <c r="E604" s="82" t="b">
        <v>0</v>
      </c>
      <c r="F604" s="82" t="b">
        <v>0</v>
      </c>
      <c r="G604" s="82" t="b">
        <v>0</v>
      </c>
    </row>
    <row r="605" spans="1:7" ht="15">
      <c r="A605" s="84" t="s">
        <v>865</v>
      </c>
      <c r="B605" s="82">
        <v>2</v>
      </c>
      <c r="C605" s="105">
        <v>0.01472362433567861</v>
      </c>
      <c r="D605" s="82" t="s">
        <v>810</v>
      </c>
      <c r="E605" s="82" t="b">
        <v>0</v>
      </c>
      <c r="F605" s="82" t="b">
        <v>0</v>
      </c>
      <c r="G605" s="82" t="b">
        <v>0</v>
      </c>
    </row>
    <row r="606" spans="1:7" ht="15">
      <c r="A606" s="84" t="s">
        <v>894</v>
      </c>
      <c r="B606" s="82">
        <v>2</v>
      </c>
      <c r="C606" s="105">
        <v>0.01472362433567861</v>
      </c>
      <c r="D606" s="82" t="s">
        <v>810</v>
      </c>
      <c r="E606" s="82" t="b">
        <v>0</v>
      </c>
      <c r="F606" s="82" t="b">
        <v>0</v>
      </c>
      <c r="G606" s="82" t="b">
        <v>0</v>
      </c>
    </row>
    <row r="607" spans="1:7" ht="15">
      <c r="A607" s="84" t="s">
        <v>1162</v>
      </c>
      <c r="B607" s="82">
        <v>2</v>
      </c>
      <c r="C607" s="105">
        <v>0.01472362433567861</v>
      </c>
      <c r="D607" s="82" t="s">
        <v>810</v>
      </c>
      <c r="E607" s="82" t="b">
        <v>0</v>
      </c>
      <c r="F607" s="82" t="b">
        <v>0</v>
      </c>
      <c r="G607" s="82" t="b">
        <v>0</v>
      </c>
    </row>
    <row r="608" spans="1:7" ht="15">
      <c r="A608" s="84" t="s">
        <v>844</v>
      </c>
      <c r="B608" s="82">
        <v>2</v>
      </c>
      <c r="C608" s="105">
        <v>0.01472362433567861</v>
      </c>
      <c r="D608" s="82" t="s">
        <v>810</v>
      </c>
      <c r="E608" s="82" t="b">
        <v>0</v>
      </c>
      <c r="F608" s="82" t="b">
        <v>0</v>
      </c>
      <c r="G608" s="82" t="b">
        <v>0</v>
      </c>
    </row>
    <row r="609" spans="1:7" ht="15">
      <c r="A609" s="84" t="s">
        <v>843</v>
      </c>
      <c r="B609" s="82">
        <v>2</v>
      </c>
      <c r="C609" s="105">
        <v>0.01472362433567861</v>
      </c>
      <c r="D609" s="82" t="s">
        <v>810</v>
      </c>
      <c r="E609" s="82" t="b">
        <v>0</v>
      </c>
      <c r="F609" s="82" t="b">
        <v>0</v>
      </c>
      <c r="G609" s="82" t="b">
        <v>0</v>
      </c>
    </row>
    <row r="610" spans="1:7" ht="15">
      <c r="A610" s="84" t="s">
        <v>1164</v>
      </c>
      <c r="B610" s="82">
        <v>2</v>
      </c>
      <c r="C610" s="105">
        <v>0.018764295418416614</v>
      </c>
      <c r="D610" s="82" t="s">
        <v>810</v>
      </c>
      <c r="E610" s="82" t="b">
        <v>0</v>
      </c>
      <c r="F610" s="82" t="b">
        <v>0</v>
      </c>
      <c r="G610" s="82" t="b">
        <v>0</v>
      </c>
    </row>
    <row r="611" spans="1:7" ht="15">
      <c r="A611" s="84" t="s">
        <v>846</v>
      </c>
      <c r="B611" s="82">
        <v>24</v>
      </c>
      <c r="C611" s="105">
        <v>0.14301748641639736</v>
      </c>
      <c r="D611" s="82" t="s">
        <v>811</v>
      </c>
      <c r="E611" s="82" t="b">
        <v>0</v>
      </c>
      <c r="F611" s="82" t="b">
        <v>0</v>
      </c>
      <c r="G611" s="82" t="b">
        <v>0</v>
      </c>
    </row>
    <row r="612" spans="1:7" ht="15">
      <c r="A612" s="84" t="s">
        <v>843</v>
      </c>
      <c r="B612" s="82">
        <v>16</v>
      </c>
      <c r="C612" s="105">
        <v>0.022125301664533782</v>
      </c>
      <c r="D612" s="82" t="s">
        <v>811</v>
      </c>
      <c r="E612" s="82" t="b">
        <v>0</v>
      </c>
      <c r="F612" s="82" t="b">
        <v>0</v>
      </c>
      <c r="G612" s="82" t="b">
        <v>0</v>
      </c>
    </row>
    <row r="613" spans="1:7" ht="15">
      <c r="A613" s="84" t="s">
        <v>844</v>
      </c>
      <c r="B613" s="82">
        <v>13</v>
      </c>
      <c r="C613" s="105">
        <v>0.02479035414199374</v>
      </c>
      <c r="D613" s="82" t="s">
        <v>811</v>
      </c>
      <c r="E613" s="82" t="b">
        <v>0</v>
      </c>
      <c r="F613" s="82" t="b">
        <v>0</v>
      </c>
      <c r="G613" s="82" t="b">
        <v>0</v>
      </c>
    </row>
    <row r="614" spans="1:7" ht="15">
      <c r="A614" s="84" t="s">
        <v>869</v>
      </c>
      <c r="B614" s="82">
        <v>6</v>
      </c>
      <c r="C614" s="105">
        <v>0.02169849632017804</v>
      </c>
      <c r="D614" s="82" t="s">
        <v>811</v>
      </c>
      <c r="E614" s="82" t="b">
        <v>0</v>
      </c>
      <c r="F614" s="82" t="b">
        <v>0</v>
      </c>
      <c r="G614" s="82" t="b">
        <v>0</v>
      </c>
    </row>
    <row r="615" spans="1:7" ht="15">
      <c r="A615" s="84" t="s">
        <v>871</v>
      </c>
      <c r="B615" s="82">
        <v>6</v>
      </c>
      <c r="C615" s="105">
        <v>0.017587416342224393</v>
      </c>
      <c r="D615" s="82" t="s">
        <v>811</v>
      </c>
      <c r="E615" s="82" t="b">
        <v>0</v>
      </c>
      <c r="F615" s="82" t="b">
        <v>0</v>
      </c>
      <c r="G615" s="82" t="b">
        <v>0</v>
      </c>
    </row>
    <row r="616" spans="1:7" ht="15">
      <c r="A616" s="84" t="s">
        <v>872</v>
      </c>
      <c r="B616" s="82">
        <v>6</v>
      </c>
      <c r="C616" s="105">
        <v>0.017587416342224393</v>
      </c>
      <c r="D616" s="82" t="s">
        <v>811</v>
      </c>
      <c r="E616" s="82" t="b">
        <v>0</v>
      </c>
      <c r="F616" s="82" t="b">
        <v>0</v>
      </c>
      <c r="G616" s="82" t="b">
        <v>0</v>
      </c>
    </row>
    <row r="617" spans="1:7" ht="15">
      <c r="A617" s="84" t="s">
        <v>873</v>
      </c>
      <c r="B617" s="82">
        <v>6</v>
      </c>
      <c r="C617" s="105">
        <v>0.017587416342224393</v>
      </c>
      <c r="D617" s="82" t="s">
        <v>811</v>
      </c>
      <c r="E617" s="82" t="b">
        <v>0</v>
      </c>
      <c r="F617" s="82" t="b">
        <v>0</v>
      </c>
      <c r="G617" s="82" t="b">
        <v>0</v>
      </c>
    </row>
    <row r="618" spans="1:7" ht="15">
      <c r="A618" s="84" t="s">
        <v>874</v>
      </c>
      <c r="B618" s="82">
        <v>6</v>
      </c>
      <c r="C618" s="105">
        <v>0.017587416342224393</v>
      </c>
      <c r="D618" s="82" t="s">
        <v>811</v>
      </c>
      <c r="E618" s="82" t="b">
        <v>0</v>
      </c>
      <c r="F618" s="82" t="b">
        <v>0</v>
      </c>
      <c r="G618" s="82" t="b">
        <v>0</v>
      </c>
    </row>
    <row r="619" spans="1:7" ht="15">
      <c r="A619" s="84" t="s">
        <v>848</v>
      </c>
      <c r="B619" s="82">
        <v>6</v>
      </c>
      <c r="C619" s="105">
        <v>0.017587416342224393</v>
      </c>
      <c r="D619" s="82" t="s">
        <v>811</v>
      </c>
      <c r="E619" s="82" t="b">
        <v>0</v>
      </c>
      <c r="F619" s="82" t="b">
        <v>0</v>
      </c>
      <c r="G619" s="82" t="b">
        <v>0</v>
      </c>
    </row>
    <row r="620" spans="1:7" ht="15">
      <c r="A620" s="84" t="s">
        <v>875</v>
      </c>
      <c r="B620" s="82">
        <v>6</v>
      </c>
      <c r="C620" s="105">
        <v>0.017587416342224393</v>
      </c>
      <c r="D620" s="82" t="s">
        <v>811</v>
      </c>
      <c r="E620" s="82" t="b">
        <v>1</v>
      </c>
      <c r="F620" s="82" t="b">
        <v>0</v>
      </c>
      <c r="G620" s="82" t="b">
        <v>0</v>
      </c>
    </row>
    <row r="621" spans="1:7" ht="15">
      <c r="A621" s="84" t="s">
        <v>857</v>
      </c>
      <c r="B621" s="82">
        <v>6</v>
      </c>
      <c r="C621" s="105">
        <v>0.017587416342224393</v>
      </c>
      <c r="D621" s="82" t="s">
        <v>811</v>
      </c>
      <c r="E621" s="82" t="b">
        <v>0</v>
      </c>
      <c r="F621" s="82" t="b">
        <v>0</v>
      </c>
      <c r="G621" s="82" t="b">
        <v>0</v>
      </c>
    </row>
    <row r="622" spans="1:7" ht="15">
      <c r="A622" s="84" t="s">
        <v>886</v>
      </c>
      <c r="B622" s="82">
        <v>5</v>
      </c>
      <c r="C622" s="105">
        <v>0.01619667145342872</v>
      </c>
      <c r="D622" s="82" t="s">
        <v>811</v>
      </c>
      <c r="E622" s="82" t="b">
        <v>0</v>
      </c>
      <c r="F622" s="82" t="b">
        <v>0</v>
      </c>
      <c r="G622" s="82" t="b">
        <v>0</v>
      </c>
    </row>
    <row r="623" spans="1:7" ht="15">
      <c r="A623" s="84" t="s">
        <v>887</v>
      </c>
      <c r="B623" s="82">
        <v>5</v>
      </c>
      <c r="C623" s="105">
        <v>0.01619667145342872</v>
      </c>
      <c r="D623" s="82" t="s">
        <v>811</v>
      </c>
      <c r="E623" s="82" t="b">
        <v>0</v>
      </c>
      <c r="F623" s="82" t="b">
        <v>0</v>
      </c>
      <c r="G623" s="82" t="b">
        <v>0</v>
      </c>
    </row>
    <row r="624" spans="1:7" ht="15">
      <c r="A624" s="84" t="s">
        <v>888</v>
      </c>
      <c r="B624" s="82">
        <v>5</v>
      </c>
      <c r="C624" s="105">
        <v>0.01619667145342872</v>
      </c>
      <c r="D624" s="82" t="s">
        <v>811</v>
      </c>
      <c r="E624" s="82" t="b">
        <v>0</v>
      </c>
      <c r="F624" s="82" t="b">
        <v>0</v>
      </c>
      <c r="G624" s="82" t="b">
        <v>0</v>
      </c>
    </row>
    <row r="625" spans="1:7" ht="15">
      <c r="A625" s="84" t="s">
        <v>870</v>
      </c>
      <c r="B625" s="82">
        <v>5</v>
      </c>
      <c r="C625" s="105">
        <v>0.01619667145342872</v>
      </c>
      <c r="D625" s="82" t="s">
        <v>811</v>
      </c>
      <c r="E625" s="82" t="b">
        <v>0</v>
      </c>
      <c r="F625" s="82" t="b">
        <v>0</v>
      </c>
      <c r="G625" s="82" t="b">
        <v>0</v>
      </c>
    </row>
    <row r="626" spans="1:7" ht="15">
      <c r="A626" s="84" t="s">
        <v>889</v>
      </c>
      <c r="B626" s="82">
        <v>5</v>
      </c>
      <c r="C626" s="105">
        <v>0.01619667145342872</v>
      </c>
      <c r="D626" s="82" t="s">
        <v>811</v>
      </c>
      <c r="E626" s="82" t="b">
        <v>0</v>
      </c>
      <c r="F626" s="82" t="b">
        <v>0</v>
      </c>
      <c r="G626" s="82" t="b">
        <v>0</v>
      </c>
    </row>
    <row r="627" spans="1:7" ht="15">
      <c r="A627" s="84" t="s">
        <v>864</v>
      </c>
      <c r="B627" s="82">
        <v>5</v>
      </c>
      <c r="C627" s="105">
        <v>0.01619667145342872</v>
      </c>
      <c r="D627" s="82" t="s">
        <v>811</v>
      </c>
      <c r="E627" s="82" t="b">
        <v>0</v>
      </c>
      <c r="F627" s="82" t="b">
        <v>0</v>
      </c>
      <c r="G627" s="82" t="b">
        <v>0</v>
      </c>
    </row>
    <row r="628" spans="1:7" ht="15">
      <c r="A628" s="84" t="s">
        <v>890</v>
      </c>
      <c r="B628" s="82">
        <v>5</v>
      </c>
      <c r="C628" s="105">
        <v>0.01619667145342872</v>
      </c>
      <c r="D628" s="82" t="s">
        <v>811</v>
      </c>
      <c r="E628" s="82" t="b">
        <v>0</v>
      </c>
      <c r="F628" s="82" t="b">
        <v>0</v>
      </c>
      <c r="G628" s="82" t="b">
        <v>0</v>
      </c>
    </row>
    <row r="629" spans="1:7" ht="15">
      <c r="A629" s="84" t="s">
        <v>906</v>
      </c>
      <c r="B629" s="82">
        <v>4</v>
      </c>
      <c r="C629" s="105">
        <v>0.014465664213452026</v>
      </c>
      <c r="D629" s="82" t="s">
        <v>811</v>
      </c>
      <c r="E629" s="82" t="b">
        <v>0</v>
      </c>
      <c r="F629" s="82" t="b">
        <v>0</v>
      </c>
      <c r="G629" s="82" t="b">
        <v>0</v>
      </c>
    </row>
    <row r="630" spans="1:7" ht="15">
      <c r="A630" s="84" t="s">
        <v>948</v>
      </c>
      <c r="B630" s="82">
        <v>3</v>
      </c>
      <c r="C630" s="105">
        <v>0.01787718580204967</v>
      </c>
      <c r="D630" s="82" t="s">
        <v>811</v>
      </c>
      <c r="E630" s="82" t="b">
        <v>0</v>
      </c>
      <c r="F630" s="82" t="b">
        <v>0</v>
      </c>
      <c r="G630" s="82" t="b">
        <v>0</v>
      </c>
    </row>
    <row r="631" spans="1:7" ht="15">
      <c r="A631" s="84" t="s">
        <v>949</v>
      </c>
      <c r="B631" s="82">
        <v>3</v>
      </c>
      <c r="C631" s="105">
        <v>0.01787718580204967</v>
      </c>
      <c r="D631" s="82" t="s">
        <v>811</v>
      </c>
      <c r="E631" s="82" t="b">
        <v>0</v>
      </c>
      <c r="F631" s="82" t="b">
        <v>0</v>
      </c>
      <c r="G631" s="82" t="b">
        <v>0</v>
      </c>
    </row>
    <row r="632" spans="1:7" ht="15">
      <c r="A632" s="84" t="s">
        <v>950</v>
      </c>
      <c r="B632" s="82">
        <v>3</v>
      </c>
      <c r="C632" s="105">
        <v>0.01787718580204967</v>
      </c>
      <c r="D632" s="82" t="s">
        <v>811</v>
      </c>
      <c r="E632" s="82" t="b">
        <v>0</v>
      </c>
      <c r="F632" s="82" t="b">
        <v>0</v>
      </c>
      <c r="G632" s="82" t="b">
        <v>0</v>
      </c>
    </row>
    <row r="633" spans="1:7" ht="15">
      <c r="A633" s="84" t="s">
        <v>951</v>
      </c>
      <c r="B633" s="82">
        <v>3</v>
      </c>
      <c r="C633" s="105">
        <v>0.01787718580204967</v>
      </c>
      <c r="D633" s="82" t="s">
        <v>811</v>
      </c>
      <c r="E633" s="82" t="b">
        <v>0</v>
      </c>
      <c r="F633" s="82" t="b">
        <v>0</v>
      </c>
      <c r="G633" s="82" t="b">
        <v>0</v>
      </c>
    </row>
    <row r="634" spans="1:7" ht="15">
      <c r="A634" s="84" t="s">
        <v>952</v>
      </c>
      <c r="B634" s="82">
        <v>3</v>
      </c>
      <c r="C634" s="105">
        <v>0.01787718580204967</v>
      </c>
      <c r="D634" s="82" t="s">
        <v>811</v>
      </c>
      <c r="E634" s="82" t="b">
        <v>0</v>
      </c>
      <c r="F634" s="82" t="b">
        <v>0</v>
      </c>
      <c r="G634" s="82" t="b">
        <v>0</v>
      </c>
    </row>
    <row r="635" spans="1:7" ht="15">
      <c r="A635" s="84" t="s">
        <v>953</v>
      </c>
      <c r="B635" s="82">
        <v>3</v>
      </c>
      <c r="C635" s="105">
        <v>0.01787718580204967</v>
      </c>
      <c r="D635" s="82" t="s">
        <v>811</v>
      </c>
      <c r="E635" s="82" t="b">
        <v>0</v>
      </c>
      <c r="F635" s="82" t="b">
        <v>0</v>
      </c>
      <c r="G635" s="82" t="b">
        <v>0</v>
      </c>
    </row>
    <row r="636" spans="1:7" ht="15">
      <c r="A636" s="84" t="s">
        <v>954</v>
      </c>
      <c r="B636" s="82">
        <v>3</v>
      </c>
      <c r="C636" s="105">
        <v>0.01787718580204967</v>
      </c>
      <c r="D636" s="82" t="s">
        <v>811</v>
      </c>
      <c r="E636" s="82" t="b">
        <v>0</v>
      </c>
      <c r="F636" s="82" t="b">
        <v>0</v>
      </c>
      <c r="G636" s="82" t="b">
        <v>0</v>
      </c>
    </row>
    <row r="637" spans="1:7" ht="15">
      <c r="A637" s="84" t="s">
        <v>955</v>
      </c>
      <c r="B637" s="82">
        <v>3</v>
      </c>
      <c r="C637" s="105">
        <v>0.01787718580204967</v>
      </c>
      <c r="D637" s="82" t="s">
        <v>811</v>
      </c>
      <c r="E637" s="82" t="b">
        <v>0</v>
      </c>
      <c r="F637" s="82" t="b">
        <v>0</v>
      </c>
      <c r="G637" s="82" t="b">
        <v>0</v>
      </c>
    </row>
    <row r="638" spans="1:7" ht="15">
      <c r="A638" s="84" t="s">
        <v>956</v>
      </c>
      <c r="B638" s="82">
        <v>3</v>
      </c>
      <c r="C638" s="105">
        <v>0.01787718580204967</v>
      </c>
      <c r="D638" s="82" t="s">
        <v>811</v>
      </c>
      <c r="E638" s="82" t="b">
        <v>0</v>
      </c>
      <c r="F638" s="82" t="b">
        <v>0</v>
      </c>
      <c r="G638" s="82" t="b">
        <v>0</v>
      </c>
    </row>
    <row r="639" spans="1:7" ht="15">
      <c r="A639" s="84" t="s">
        <v>957</v>
      </c>
      <c r="B639" s="82">
        <v>3</v>
      </c>
      <c r="C639" s="105">
        <v>0.01787718580204967</v>
      </c>
      <c r="D639" s="82" t="s">
        <v>811</v>
      </c>
      <c r="E639" s="82" t="b">
        <v>0</v>
      </c>
      <c r="F639" s="82" t="b">
        <v>0</v>
      </c>
      <c r="G639" s="82" t="b">
        <v>0</v>
      </c>
    </row>
    <row r="640" spans="1:7" ht="15">
      <c r="A640" s="84" t="s">
        <v>958</v>
      </c>
      <c r="B640" s="82">
        <v>3</v>
      </c>
      <c r="C640" s="105">
        <v>0.01787718580204967</v>
      </c>
      <c r="D640" s="82" t="s">
        <v>811</v>
      </c>
      <c r="E640" s="82" t="b">
        <v>0</v>
      </c>
      <c r="F640" s="82" t="b">
        <v>0</v>
      </c>
      <c r="G640" s="82" t="b">
        <v>0</v>
      </c>
    </row>
    <row r="641" spans="1:7" ht="15">
      <c r="A641" s="84" t="s">
        <v>893</v>
      </c>
      <c r="B641" s="82">
        <v>3</v>
      </c>
      <c r="C641" s="105">
        <v>0.014363216981069345</v>
      </c>
      <c r="D641" s="82" t="s">
        <v>811</v>
      </c>
      <c r="E641" s="82" t="b">
        <v>0</v>
      </c>
      <c r="F641" s="82" t="b">
        <v>0</v>
      </c>
      <c r="G641" s="82" t="b">
        <v>0</v>
      </c>
    </row>
    <row r="642" spans="1:7" ht="15">
      <c r="A642" s="84" t="s">
        <v>865</v>
      </c>
      <c r="B642" s="82">
        <v>3</v>
      </c>
      <c r="C642" s="105">
        <v>0.014363216981069345</v>
      </c>
      <c r="D642" s="82" t="s">
        <v>811</v>
      </c>
      <c r="E642" s="82" t="b">
        <v>0</v>
      </c>
      <c r="F642" s="82" t="b">
        <v>0</v>
      </c>
      <c r="G642" s="82" t="b">
        <v>0</v>
      </c>
    </row>
    <row r="643" spans="1:7" ht="15">
      <c r="A643" s="84" t="s">
        <v>894</v>
      </c>
      <c r="B643" s="82">
        <v>3</v>
      </c>
      <c r="C643" s="105">
        <v>0.014363216981069345</v>
      </c>
      <c r="D643" s="82" t="s">
        <v>811</v>
      </c>
      <c r="E643" s="82" t="b">
        <v>0</v>
      </c>
      <c r="F643" s="82" t="b">
        <v>0</v>
      </c>
      <c r="G643" s="82" t="b">
        <v>0</v>
      </c>
    </row>
    <row r="644" spans="1:7" ht="15">
      <c r="A644" s="84" t="s">
        <v>1020</v>
      </c>
      <c r="B644" s="82">
        <v>2</v>
      </c>
      <c r="C644" s="105">
        <v>0.009575477987379564</v>
      </c>
      <c r="D644" s="82" t="s">
        <v>811</v>
      </c>
      <c r="E644" s="82" t="b">
        <v>0</v>
      </c>
      <c r="F644" s="82" t="b">
        <v>0</v>
      </c>
      <c r="G644" s="82" t="b">
        <v>0</v>
      </c>
    </row>
    <row r="645" spans="1:7" ht="15">
      <c r="A645" s="84" t="s">
        <v>946</v>
      </c>
      <c r="B645" s="82">
        <v>2</v>
      </c>
      <c r="C645" s="105">
        <v>0.009575477987379564</v>
      </c>
      <c r="D645" s="82" t="s">
        <v>811</v>
      </c>
      <c r="E645" s="82" t="b">
        <v>0</v>
      </c>
      <c r="F645" s="82" t="b">
        <v>0</v>
      </c>
      <c r="G645" s="82" t="b">
        <v>0</v>
      </c>
    </row>
    <row r="646" spans="1:7" ht="15">
      <c r="A646" s="84" t="s">
        <v>947</v>
      </c>
      <c r="B646" s="82">
        <v>2</v>
      </c>
      <c r="C646" s="105">
        <v>0.009575477987379564</v>
      </c>
      <c r="D646" s="82" t="s">
        <v>811</v>
      </c>
      <c r="E646" s="82" t="b">
        <v>0</v>
      </c>
      <c r="F646" s="82" t="b">
        <v>0</v>
      </c>
      <c r="G646" s="82" t="b">
        <v>0</v>
      </c>
    </row>
    <row r="647" spans="1:7" ht="15">
      <c r="A647" s="84" t="s">
        <v>1027</v>
      </c>
      <c r="B647" s="82">
        <v>2</v>
      </c>
      <c r="C647" s="105">
        <v>0.011918123868033113</v>
      </c>
      <c r="D647" s="82" t="s">
        <v>811</v>
      </c>
      <c r="E647" s="82" t="b">
        <v>0</v>
      </c>
      <c r="F647" s="82" t="b">
        <v>0</v>
      </c>
      <c r="G647" s="82" t="b">
        <v>0</v>
      </c>
    </row>
    <row r="648" spans="1:7" ht="15">
      <c r="A648" s="84" t="s">
        <v>1028</v>
      </c>
      <c r="B648" s="82">
        <v>2</v>
      </c>
      <c r="C648" s="105">
        <v>0.011918123868033113</v>
      </c>
      <c r="D648" s="82" t="s">
        <v>811</v>
      </c>
      <c r="E648" s="82" t="b">
        <v>0</v>
      </c>
      <c r="F648" s="82" t="b">
        <v>0</v>
      </c>
      <c r="G648" s="82" t="b">
        <v>0</v>
      </c>
    </row>
    <row r="649" spans="1:7" ht="15">
      <c r="A649" s="84" t="s">
        <v>892</v>
      </c>
      <c r="B649" s="82">
        <v>2</v>
      </c>
      <c r="C649" s="105">
        <v>0.009575477987379564</v>
      </c>
      <c r="D649" s="82" t="s">
        <v>811</v>
      </c>
      <c r="E649" s="82" t="b">
        <v>0</v>
      </c>
      <c r="F649" s="82" t="b">
        <v>0</v>
      </c>
      <c r="G649" s="82" t="b">
        <v>0</v>
      </c>
    </row>
    <row r="650" spans="1:7" ht="15">
      <c r="A650" s="84" t="s">
        <v>885</v>
      </c>
      <c r="B650" s="82">
        <v>2</v>
      </c>
      <c r="C650" s="105">
        <v>0.009575477987379564</v>
      </c>
      <c r="D650" s="82" t="s">
        <v>811</v>
      </c>
      <c r="E650" s="82" t="b">
        <v>0</v>
      </c>
      <c r="F650" s="82" t="b">
        <v>0</v>
      </c>
      <c r="G650" s="82" t="b">
        <v>0</v>
      </c>
    </row>
    <row r="651" spans="1:7" ht="15">
      <c r="A651" s="84" t="s">
        <v>845</v>
      </c>
      <c r="B651" s="82">
        <v>2</v>
      </c>
      <c r="C651" s="105">
        <v>0.009575477987379564</v>
      </c>
      <c r="D651" s="82" t="s">
        <v>811</v>
      </c>
      <c r="E651" s="82" t="b">
        <v>0</v>
      </c>
      <c r="F651" s="82" t="b">
        <v>0</v>
      </c>
      <c r="G651" s="82" t="b">
        <v>0</v>
      </c>
    </row>
    <row r="652" spans="1:7" ht="15">
      <c r="A652" s="84" t="s">
        <v>1023</v>
      </c>
      <c r="B652" s="82">
        <v>2</v>
      </c>
      <c r="C652" s="105">
        <v>0.011918123868033113</v>
      </c>
      <c r="D652" s="82" t="s">
        <v>811</v>
      </c>
      <c r="E652" s="82" t="b">
        <v>0</v>
      </c>
      <c r="F652" s="82" t="b">
        <v>0</v>
      </c>
      <c r="G652" s="82" t="b">
        <v>0</v>
      </c>
    </row>
    <row r="653" spans="1:7" ht="15">
      <c r="A653" s="84" t="s">
        <v>908</v>
      </c>
      <c r="B653" s="82">
        <v>2</v>
      </c>
      <c r="C653" s="105">
        <v>0.011918123868033113</v>
      </c>
      <c r="D653" s="82" t="s">
        <v>811</v>
      </c>
      <c r="E653" s="82" t="b">
        <v>0</v>
      </c>
      <c r="F653" s="82" t="b">
        <v>0</v>
      </c>
      <c r="G653" s="82" t="b">
        <v>0</v>
      </c>
    </row>
    <row r="654" spans="1:7" ht="15">
      <c r="A654" s="84" t="s">
        <v>843</v>
      </c>
      <c r="B654" s="82">
        <v>6</v>
      </c>
      <c r="C654" s="105">
        <v>0.03111659446318956</v>
      </c>
      <c r="D654" s="82" t="s">
        <v>812</v>
      </c>
      <c r="E654" s="82" t="b">
        <v>0</v>
      </c>
      <c r="F654" s="82" t="b">
        <v>0</v>
      </c>
      <c r="G654" s="82" t="b">
        <v>0</v>
      </c>
    </row>
    <row r="655" spans="1:7" ht="15">
      <c r="A655" s="84" t="s">
        <v>897</v>
      </c>
      <c r="B655" s="82">
        <v>5</v>
      </c>
      <c r="C655" s="105">
        <v>0.028999535930472883</v>
      </c>
      <c r="D655" s="82" t="s">
        <v>812</v>
      </c>
      <c r="E655" s="82" t="b">
        <v>0</v>
      </c>
      <c r="F655" s="82" t="b">
        <v>0</v>
      </c>
      <c r="G655" s="82" t="b">
        <v>0</v>
      </c>
    </row>
    <row r="656" spans="1:7" ht="15">
      <c r="A656" s="84" t="s">
        <v>898</v>
      </c>
      <c r="B656" s="82">
        <v>5</v>
      </c>
      <c r="C656" s="105">
        <v>0.028999535930472883</v>
      </c>
      <c r="D656" s="82" t="s">
        <v>812</v>
      </c>
      <c r="E656" s="82" t="b">
        <v>0</v>
      </c>
      <c r="F656" s="82" t="b">
        <v>0</v>
      </c>
      <c r="G656" s="82" t="b">
        <v>0</v>
      </c>
    </row>
    <row r="657" spans="1:7" ht="15">
      <c r="A657" s="84" t="s">
        <v>928</v>
      </c>
      <c r="B657" s="82">
        <v>4</v>
      </c>
      <c r="C657" s="105">
        <v>0.02620459038803897</v>
      </c>
      <c r="D657" s="82" t="s">
        <v>812</v>
      </c>
      <c r="E657" s="82" t="b">
        <v>0</v>
      </c>
      <c r="F657" s="82" t="b">
        <v>0</v>
      </c>
      <c r="G657" s="82" t="b">
        <v>0</v>
      </c>
    </row>
    <row r="658" spans="1:7" ht="15">
      <c r="A658" s="84" t="s">
        <v>929</v>
      </c>
      <c r="B658" s="82">
        <v>4</v>
      </c>
      <c r="C658" s="105">
        <v>0.02620459038803897</v>
      </c>
      <c r="D658" s="82" t="s">
        <v>812</v>
      </c>
      <c r="E658" s="82" t="b">
        <v>0</v>
      </c>
      <c r="F658" s="82" t="b">
        <v>0</v>
      </c>
      <c r="G658" s="82" t="b">
        <v>0</v>
      </c>
    </row>
    <row r="659" spans="1:7" ht="15">
      <c r="A659" s="84" t="s">
        <v>976</v>
      </c>
      <c r="B659" s="82">
        <v>3</v>
      </c>
      <c r="C659" s="105">
        <v>0.02255899480517574</v>
      </c>
      <c r="D659" s="82" t="s">
        <v>812</v>
      </c>
      <c r="E659" s="82" t="b">
        <v>0</v>
      </c>
      <c r="F659" s="82" t="b">
        <v>0</v>
      </c>
      <c r="G659" s="82" t="b">
        <v>0</v>
      </c>
    </row>
    <row r="660" spans="1:7" ht="15">
      <c r="A660" s="84" t="s">
        <v>977</v>
      </c>
      <c r="B660" s="82">
        <v>3</v>
      </c>
      <c r="C660" s="105">
        <v>0.02255899480517574</v>
      </c>
      <c r="D660" s="82" t="s">
        <v>812</v>
      </c>
      <c r="E660" s="82" t="b">
        <v>0</v>
      </c>
      <c r="F660" s="82" t="b">
        <v>0</v>
      </c>
      <c r="G660" s="82" t="b">
        <v>0</v>
      </c>
    </row>
    <row r="661" spans="1:7" ht="15">
      <c r="A661" s="84" t="s">
        <v>918</v>
      </c>
      <c r="B661" s="82">
        <v>3</v>
      </c>
      <c r="C661" s="105">
        <v>0.02255899480517574</v>
      </c>
      <c r="D661" s="82" t="s">
        <v>812</v>
      </c>
      <c r="E661" s="82" t="b">
        <v>0</v>
      </c>
      <c r="F661" s="82" t="b">
        <v>0</v>
      </c>
      <c r="G661" s="82" t="b">
        <v>0</v>
      </c>
    </row>
    <row r="662" spans="1:7" ht="15">
      <c r="A662" s="84" t="s">
        <v>978</v>
      </c>
      <c r="B662" s="82">
        <v>3</v>
      </c>
      <c r="C662" s="105">
        <v>0.02255899480517574</v>
      </c>
      <c r="D662" s="82" t="s">
        <v>812</v>
      </c>
      <c r="E662" s="82" t="b">
        <v>0</v>
      </c>
      <c r="F662" s="82" t="b">
        <v>0</v>
      </c>
      <c r="G662" s="82" t="b">
        <v>0</v>
      </c>
    </row>
    <row r="663" spans="1:7" ht="15">
      <c r="A663" s="84" t="s">
        <v>979</v>
      </c>
      <c r="B663" s="82">
        <v>3</v>
      </c>
      <c r="C663" s="105">
        <v>0.02255899480517574</v>
      </c>
      <c r="D663" s="82" t="s">
        <v>812</v>
      </c>
      <c r="E663" s="82" t="b">
        <v>0</v>
      </c>
      <c r="F663" s="82" t="b">
        <v>0</v>
      </c>
      <c r="G663" s="82" t="b">
        <v>0</v>
      </c>
    </row>
    <row r="664" spans="1:7" ht="15">
      <c r="A664" s="84" t="s">
        <v>856</v>
      </c>
      <c r="B664" s="82">
        <v>3</v>
      </c>
      <c r="C664" s="105">
        <v>0.02255899480517574</v>
      </c>
      <c r="D664" s="82" t="s">
        <v>812</v>
      </c>
      <c r="E664" s="82" t="b">
        <v>0</v>
      </c>
      <c r="F664" s="82" t="b">
        <v>0</v>
      </c>
      <c r="G664" s="82" t="b">
        <v>0</v>
      </c>
    </row>
    <row r="665" spans="1:7" ht="15">
      <c r="A665" s="84" t="s">
        <v>980</v>
      </c>
      <c r="B665" s="82">
        <v>3</v>
      </c>
      <c r="C665" s="105">
        <v>0.03365483793819114</v>
      </c>
      <c r="D665" s="82" t="s">
        <v>812</v>
      </c>
      <c r="E665" s="82" t="b">
        <v>0</v>
      </c>
      <c r="F665" s="82" t="b">
        <v>0</v>
      </c>
      <c r="G665" s="82" t="b">
        <v>0</v>
      </c>
    </row>
    <row r="666" spans="1:7" ht="15">
      <c r="A666" s="84" t="s">
        <v>891</v>
      </c>
      <c r="B666" s="82">
        <v>3</v>
      </c>
      <c r="C666" s="105">
        <v>0.03365483793819114</v>
      </c>
      <c r="D666" s="82" t="s">
        <v>812</v>
      </c>
      <c r="E666" s="82" t="b">
        <v>0</v>
      </c>
      <c r="F666" s="82" t="b">
        <v>0</v>
      </c>
      <c r="G666" s="82" t="b">
        <v>0</v>
      </c>
    </row>
    <row r="667" spans="1:7" ht="15">
      <c r="A667" s="84" t="s">
        <v>981</v>
      </c>
      <c r="B667" s="82">
        <v>3</v>
      </c>
      <c r="C667" s="105">
        <v>0.03365483793819114</v>
      </c>
      <c r="D667" s="82" t="s">
        <v>812</v>
      </c>
      <c r="E667" s="82" t="b">
        <v>0</v>
      </c>
      <c r="F667" s="82" t="b">
        <v>0</v>
      </c>
      <c r="G667" s="82" t="b">
        <v>0</v>
      </c>
    </row>
    <row r="668" spans="1:7" ht="15">
      <c r="A668" s="84" t="s">
        <v>1084</v>
      </c>
      <c r="B668" s="82">
        <v>2</v>
      </c>
      <c r="C668" s="105">
        <v>0.01776942690974012</v>
      </c>
      <c r="D668" s="82" t="s">
        <v>812</v>
      </c>
      <c r="E668" s="82" t="b">
        <v>0</v>
      </c>
      <c r="F668" s="82" t="b">
        <v>0</v>
      </c>
      <c r="G668" s="82" t="b">
        <v>0</v>
      </c>
    </row>
    <row r="669" spans="1:7" ht="15">
      <c r="A669" s="84" t="s">
        <v>1085</v>
      </c>
      <c r="B669" s="82">
        <v>2</v>
      </c>
      <c r="C669" s="105">
        <v>0.01776942690974012</v>
      </c>
      <c r="D669" s="82" t="s">
        <v>812</v>
      </c>
      <c r="E669" s="82" t="b">
        <v>0</v>
      </c>
      <c r="F669" s="82" t="b">
        <v>0</v>
      </c>
      <c r="G669" s="82" t="b">
        <v>0</v>
      </c>
    </row>
    <row r="670" spans="1:7" ht="15">
      <c r="A670" s="84" t="s">
        <v>1086</v>
      </c>
      <c r="B670" s="82">
        <v>2</v>
      </c>
      <c r="C670" s="105">
        <v>0.01776942690974012</v>
      </c>
      <c r="D670" s="82" t="s">
        <v>812</v>
      </c>
      <c r="E670" s="82" t="b">
        <v>0</v>
      </c>
      <c r="F670" s="82" t="b">
        <v>0</v>
      </c>
      <c r="G670" s="82" t="b">
        <v>0</v>
      </c>
    </row>
    <row r="671" spans="1:7" ht="15">
      <c r="A671" s="84" t="s">
        <v>1087</v>
      </c>
      <c r="B671" s="82">
        <v>2</v>
      </c>
      <c r="C671" s="105">
        <v>0.01776942690974012</v>
      </c>
      <c r="D671" s="82" t="s">
        <v>812</v>
      </c>
      <c r="E671" s="82" t="b">
        <v>0</v>
      </c>
      <c r="F671" s="82" t="b">
        <v>0</v>
      </c>
      <c r="G671" s="82" t="b">
        <v>0</v>
      </c>
    </row>
    <row r="672" spans="1:7" ht="15">
      <c r="A672" s="84" t="s">
        <v>975</v>
      </c>
      <c r="B672" s="82">
        <v>2</v>
      </c>
      <c r="C672" s="105">
        <v>0.01776942690974012</v>
      </c>
      <c r="D672" s="82" t="s">
        <v>812</v>
      </c>
      <c r="E672" s="82" t="b">
        <v>0</v>
      </c>
      <c r="F672" s="82" t="b">
        <v>0</v>
      </c>
      <c r="G672" s="82" t="b">
        <v>0</v>
      </c>
    </row>
    <row r="673" spans="1:7" ht="15">
      <c r="A673" s="84" t="s">
        <v>1088</v>
      </c>
      <c r="B673" s="82">
        <v>2</v>
      </c>
      <c r="C673" s="105">
        <v>0.01776942690974012</v>
      </c>
      <c r="D673" s="82" t="s">
        <v>812</v>
      </c>
      <c r="E673" s="82" t="b">
        <v>0</v>
      </c>
      <c r="F673" s="82" t="b">
        <v>0</v>
      </c>
      <c r="G673" s="82" t="b">
        <v>0</v>
      </c>
    </row>
    <row r="674" spans="1:7" ht="15">
      <c r="A674" s="84" t="s">
        <v>1089</v>
      </c>
      <c r="B674" s="82">
        <v>2</v>
      </c>
      <c r="C674" s="105">
        <v>0.01776942690974012</v>
      </c>
      <c r="D674" s="82" t="s">
        <v>812</v>
      </c>
      <c r="E674" s="82" t="b">
        <v>0</v>
      </c>
      <c r="F674" s="82" t="b">
        <v>0</v>
      </c>
      <c r="G674" s="82" t="b">
        <v>0</v>
      </c>
    </row>
    <row r="675" spans="1:7" ht="15">
      <c r="A675" s="84" t="s">
        <v>844</v>
      </c>
      <c r="B675" s="82">
        <v>2</v>
      </c>
      <c r="C675" s="105">
        <v>0.01776942690974012</v>
      </c>
      <c r="D675" s="82" t="s">
        <v>812</v>
      </c>
      <c r="E675" s="82" t="b">
        <v>0</v>
      </c>
      <c r="F675" s="82" t="b">
        <v>0</v>
      </c>
      <c r="G675" s="82" t="b">
        <v>0</v>
      </c>
    </row>
    <row r="676" spans="1:7" ht="15">
      <c r="A676" s="84" t="s">
        <v>930</v>
      </c>
      <c r="B676" s="82">
        <v>2</v>
      </c>
      <c r="C676" s="105">
        <v>0.01776942690974012</v>
      </c>
      <c r="D676" s="82" t="s">
        <v>812</v>
      </c>
      <c r="E676" s="82" t="b">
        <v>0</v>
      </c>
      <c r="F676" s="82" t="b">
        <v>0</v>
      </c>
      <c r="G676" s="82" t="b">
        <v>0</v>
      </c>
    </row>
    <row r="677" spans="1:7" ht="15">
      <c r="A677" s="84" t="s">
        <v>1093</v>
      </c>
      <c r="B677" s="82">
        <v>2</v>
      </c>
      <c r="C677" s="105">
        <v>0.01776942690974012</v>
      </c>
      <c r="D677" s="82" t="s">
        <v>812</v>
      </c>
      <c r="E677" s="82" t="b">
        <v>0</v>
      </c>
      <c r="F677" s="82" t="b">
        <v>0</v>
      </c>
      <c r="G677" s="82" t="b">
        <v>0</v>
      </c>
    </row>
    <row r="678" spans="1:7" ht="15">
      <c r="A678" s="84" t="s">
        <v>1094</v>
      </c>
      <c r="B678" s="82">
        <v>2</v>
      </c>
      <c r="C678" s="105">
        <v>0.01776942690974012</v>
      </c>
      <c r="D678" s="82" t="s">
        <v>812</v>
      </c>
      <c r="E678" s="82" t="b">
        <v>0</v>
      </c>
      <c r="F678" s="82" t="b">
        <v>0</v>
      </c>
      <c r="G678" s="82" t="b">
        <v>0</v>
      </c>
    </row>
    <row r="679" spans="1:7" ht="15">
      <c r="A679" s="84" t="s">
        <v>1095</v>
      </c>
      <c r="B679" s="82">
        <v>2</v>
      </c>
      <c r="C679" s="105">
        <v>0.01776942690974012</v>
      </c>
      <c r="D679" s="82" t="s">
        <v>812</v>
      </c>
      <c r="E679" s="82" t="b">
        <v>0</v>
      </c>
      <c r="F679" s="82" t="b">
        <v>0</v>
      </c>
      <c r="G679" s="82" t="b">
        <v>0</v>
      </c>
    </row>
    <row r="680" spans="1:7" ht="15">
      <c r="A680" s="84" t="s">
        <v>1096</v>
      </c>
      <c r="B680" s="82">
        <v>2</v>
      </c>
      <c r="C680" s="105">
        <v>0.01776942690974012</v>
      </c>
      <c r="D680" s="82" t="s">
        <v>812</v>
      </c>
      <c r="E680" s="82" t="b">
        <v>0</v>
      </c>
      <c r="F680" s="82" t="b">
        <v>0</v>
      </c>
      <c r="G680" s="82" t="b">
        <v>0</v>
      </c>
    </row>
    <row r="681" spans="1:7" ht="15">
      <c r="A681" s="84" t="s">
        <v>1097</v>
      </c>
      <c r="B681" s="82">
        <v>2</v>
      </c>
      <c r="C681" s="105">
        <v>0.022436558625460762</v>
      </c>
      <c r="D681" s="82" t="s">
        <v>812</v>
      </c>
      <c r="E681" s="82" t="b">
        <v>0</v>
      </c>
      <c r="F681" s="82" t="b">
        <v>0</v>
      </c>
      <c r="G681" s="82" t="b">
        <v>0</v>
      </c>
    </row>
    <row r="682" spans="1:7" ht="15">
      <c r="A682" s="84" t="s">
        <v>1098</v>
      </c>
      <c r="B682" s="82">
        <v>2</v>
      </c>
      <c r="C682" s="105">
        <v>0.022436558625460762</v>
      </c>
      <c r="D682" s="82" t="s">
        <v>812</v>
      </c>
      <c r="E682" s="82" t="b">
        <v>0</v>
      </c>
      <c r="F682" s="82" t="b">
        <v>0</v>
      </c>
      <c r="G682" s="82" t="b">
        <v>0</v>
      </c>
    </row>
    <row r="683" spans="1:7" ht="15">
      <c r="A683" s="84" t="s">
        <v>1099</v>
      </c>
      <c r="B683" s="82">
        <v>2</v>
      </c>
      <c r="C683" s="105">
        <v>0.022436558625460762</v>
      </c>
      <c r="D683" s="82" t="s">
        <v>812</v>
      </c>
      <c r="E683" s="82" t="b">
        <v>0</v>
      </c>
      <c r="F683" s="82" t="b">
        <v>0</v>
      </c>
      <c r="G683" s="82" t="b">
        <v>0</v>
      </c>
    </row>
    <row r="684" spans="1:7" ht="15">
      <c r="A684" s="84" t="s">
        <v>1100</v>
      </c>
      <c r="B684" s="82">
        <v>2</v>
      </c>
      <c r="C684" s="105">
        <v>0.01776942690974012</v>
      </c>
      <c r="D684" s="82" t="s">
        <v>812</v>
      </c>
      <c r="E684" s="82" t="b">
        <v>0</v>
      </c>
      <c r="F684" s="82" t="b">
        <v>0</v>
      </c>
      <c r="G684" s="82" t="b">
        <v>0</v>
      </c>
    </row>
    <row r="685" spans="1:7" ht="15">
      <c r="A685" s="84" t="s">
        <v>982</v>
      </c>
      <c r="B685" s="82">
        <v>2</v>
      </c>
      <c r="C685" s="105">
        <v>0.022436558625460762</v>
      </c>
      <c r="D685" s="82" t="s">
        <v>812</v>
      </c>
      <c r="E685" s="82" t="b">
        <v>0</v>
      </c>
      <c r="F685" s="82" t="b">
        <v>0</v>
      </c>
      <c r="G685" s="82" t="b">
        <v>0</v>
      </c>
    </row>
    <row r="686" spans="1:7" ht="15">
      <c r="A686" s="84" t="s">
        <v>851</v>
      </c>
      <c r="B686" s="82">
        <v>9</v>
      </c>
      <c r="C686" s="105">
        <v>0.034389455016480996</v>
      </c>
      <c r="D686" s="82" t="s">
        <v>813</v>
      </c>
      <c r="E686" s="82" t="b">
        <v>0</v>
      </c>
      <c r="F686" s="82" t="b">
        <v>0</v>
      </c>
      <c r="G686" s="82" t="b">
        <v>0</v>
      </c>
    </row>
    <row r="687" spans="1:7" ht="15">
      <c r="A687" s="84" t="s">
        <v>852</v>
      </c>
      <c r="B687" s="82">
        <v>8</v>
      </c>
      <c r="C687" s="105">
        <v>0.05240918077607794</v>
      </c>
      <c r="D687" s="82" t="s">
        <v>813</v>
      </c>
      <c r="E687" s="82" t="b">
        <v>0</v>
      </c>
      <c r="F687" s="82" t="b">
        <v>0</v>
      </c>
      <c r="G687" s="82" t="b">
        <v>0</v>
      </c>
    </row>
    <row r="688" spans="1:7" ht="15">
      <c r="A688" s="84" t="s">
        <v>920</v>
      </c>
      <c r="B688" s="82">
        <v>4</v>
      </c>
      <c r="C688" s="105">
        <v>0.02620459038803897</v>
      </c>
      <c r="D688" s="82" t="s">
        <v>813</v>
      </c>
      <c r="E688" s="82" t="b">
        <v>0</v>
      </c>
      <c r="F688" s="82" t="b">
        <v>0</v>
      </c>
      <c r="G688" s="82" t="b">
        <v>0</v>
      </c>
    </row>
    <row r="689" spans="1:7" ht="15">
      <c r="A689" s="84" t="s">
        <v>921</v>
      </c>
      <c r="B689" s="82">
        <v>4</v>
      </c>
      <c r="C689" s="105">
        <v>0.02620459038803897</v>
      </c>
      <c r="D689" s="82" t="s">
        <v>813</v>
      </c>
      <c r="E689" s="82" t="b">
        <v>0</v>
      </c>
      <c r="F689" s="82" t="b">
        <v>0</v>
      </c>
      <c r="G689" s="82" t="b">
        <v>0</v>
      </c>
    </row>
    <row r="690" spans="1:7" ht="15">
      <c r="A690" s="84" t="s">
        <v>922</v>
      </c>
      <c r="B690" s="82">
        <v>4</v>
      </c>
      <c r="C690" s="105">
        <v>0.02620459038803897</v>
      </c>
      <c r="D690" s="82" t="s">
        <v>813</v>
      </c>
      <c r="E690" s="82" t="b">
        <v>0</v>
      </c>
      <c r="F690" s="82" t="b">
        <v>0</v>
      </c>
      <c r="G690" s="82" t="b">
        <v>0</v>
      </c>
    </row>
    <row r="691" spans="1:7" ht="15">
      <c r="A691" s="84" t="s">
        <v>867</v>
      </c>
      <c r="B691" s="82">
        <v>4</v>
      </c>
      <c r="C691" s="105">
        <v>0.02620459038803897</v>
      </c>
      <c r="D691" s="82" t="s">
        <v>813</v>
      </c>
      <c r="E691" s="82" t="b">
        <v>0</v>
      </c>
      <c r="F691" s="82" t="b">
        <v>0</v>
      </c>
      <c r="G691" s="82" t="b">
        <v>0</v>
      </c>
    </row>
    <row r="692" spans="1:7" ht="15">
      <c r="A692" s="84" t="s">
        <v>924</v>
      </c>
      <c r="B692" s="82">
        <v>4</v>
      </c>
      <c r="C692" s="105">
        <v>0.02620459038803897</v>
      </c>
      <c r="D692" s="82" t="s">
        <v>813</v>
      </c>
      <c r="E692" s="82" t="b">
        <v>0</v>
      </c>
      <c r="F692" s="82" t="b">
        <v>0</v>
      </c>
      <c r="G692" s="82" t="b">
        <v>0</v>
      </c>
    </row>
    <row r="693" spans="1:7" ht="15">
      <c r="A693" s="84" t="s">
        <v>925</v>
      </c>
      <c r="B693" s="82">
        <v>4</v>
      </c>
      <c r="C693" s="105">
        <v>0.02620459038803897</v>
      </c>
      <c r="D693" s="82" t="s">
        <v>813</v>
      </c>
      <c r="E693" s="82" t="b">
        <v>0</v>
      </c>
      <c r="F693" s="82" t="b">
        <v>0</v>
      </c>
      <c r="G693" s="82" t="b">
        <v>0</v>
      </c>
    </row>
    <row r="694" spans="1:7" ht="15">
      <c r="A694" s="84" t="s">
        <v>926</v>
      </c>
      <c r="B694" s="82">
        <v>4</v>
      </c>
      <c r="C694" s="105">
        <v>0.02620459038803897</v>
      </c>
      <c r="D694" s="82" t="s">
        <v>813</v>
      </c>
      <c r="E694" s="82" t="b">
        <v>0</v>
      </c>
      <c r="F694" s="82" t="b">
        <v>0</v>
      </c>
      <c r="G694" s="82" t="b">
        <v>0</v>
      </c>
    </row>
    <row r="695" spans="1:7" ht="15">
      <c r="A695" s="84" t="s">
        <v>927</v>
      </c>
      <c r="B695" s="82">
        <v>4</v>
      </c>
      <c r="C695" s="105">
        <v>0.02620459038803897</v>
      </c>
      <c r="D695" s="82" t="s">
        <v>813</v>
      </c>
      <c r="E695" s="82" t="b">
        <v>0</v>
      </c>
      <c r="F695" s="82" t="b">
        <v>0</v>
      </c>
      <c r="G695" s="82" t="b">
        <v>0</v>
      </c>
    </row>
    <row r="696" spans="1:7" ht="15">
      <c r="A696" s="84" t="s">
        <v>861</v>
      </c>
      <c r="B696" s="82">
        <v>4</v>
      </c>
      <c r="C696" s="105">
        <v>0.02620459038803897</v>
      </c>
      <c r="D696" s="82" t="s">
        <v>813</v>
      </c>
      <c r="E696" s="82" t="b">
        <v>0</v>
      </c>
      <c r="F696" s="82" t="b">
        <v>0</v>
      </c>
      <c r="G696" s="82" t="b">
        <v>0</v>
      </c>
    </row>
    <row r="697" spans="1:7" ht="15">
      <c r="A697" s="84" t="s">
        <v>879</v>
      </c>
      <c r="B697" s="82">
        <v>3</v>
      </c>
      <c r="C697" s="105">
        <v>0.02255899480517574</v>
      </c>
      <c r="D697" s="82" t="s">
        <v>813</v>
      </c>
      <c r="E697" s="82" t="b">
        <v>0</v>
      </c>
      <c r="F697" s="82" t="b">
        <v>0</v>
      </c>
      <c r="G697" s="82" t="b">
        <v>0</v>
      </c>
    </row>
    <row r="698" spans="1:7" ht="15">
      <c r="A698" s="84" t="s">
        <v>854</v>
      </c>
      <c r="B698" s="82">
        <v>3</v>
      </c>
      <c r="C698" s="105">
        <v>0.02255899480517574</v>
      </c>
      <c r="D698" s="82" t="s">
        <v>813</v>
      </c>
      <c r="E698" s="82" t="b">
        <v>0</v>
      </c>
      <c r="F698" s="82" t="b">
        <v>0</v>
      </c>
      <c r="G698" s="82" t="b">
        <v>0</v>
      </c>
    </row>
    <row r="699" spans="1:7" ht="15">
      <c r="A699" s="84" t="s">
        <v>970</v>
      </c>
      <c r="B699" s="82">
        <v>3</v>
      </c>
      <c r="C699" s="105">
        <v>0.03365483793819114</v>
      </c>
      <c r="D699" s="82" t="s">
        <v>813</v>
      </c>
      <c r="E699" s="82" t="b">
        <v>0</v>
      </c>
      <c r="F699" s="82" t="b">
        <v>0</v>
      </c>
      <c r="G699" s="82" t="b">
        <v>0</v>
      </c>
    </row>
    <row r="700" spans="1:7" ht="15">
      <c r="A700" s="84" t="s">
        <v>971</v>
      </c>
      <c r="B700" s="82">
        <v>3</v>
      </c>
      <c r="C700" s="105">
        <v>0.03365483793819114</v>
      </c>
      <c r="D700" s="82" t="s">
        <v>813</v>
      </c>
      <c r="E700" s="82" t="b">
        <v>0</v>
      </c>
      <c r="F700" s="82" t="b">
        <v>0</v>
      </c>
      <c r="G700" s="82" t="b">
        <v>0</v>
      </c>
    </row>
    <row r="701" spans="1:7" ht="15">
      <c r="A701" s="84" t="s">
        <v>972</v>
      </c>
      <c r="B701" s="82">
        <v>3</v>
      </c>
      <c r="C701" s="105">
        <v>0.03365483793819114</v>
      </c>
      <c r="D701" s="82" t="s">
        <v>813</v>
      </c>
      <c r="E701" s="82" t="b">
        <v>0</v>
      </c>
      <c r="F701" s="82" t="b">
        <v>0</v>
      </c>
      <c r="G701" s="82" t="b">
        <v>0</v>
      </c>
    </row>
    <row r="702" spans="1:7" ht="15">
      <c r="A702" s="84" t="s">
        <v>973</v>
      </c>
      <c r="B702" s="82">
        <v>3</v>
      </c>
      <c r="C702" s="105">
        <v>0.03365483793819114</v>
      </c>
      <c r="D702" s="82" t="s">
        <v>813</v>
      </c>
      <c r="E702" s="82" t="b">
        <v>0</v>
      </c>
      <c r="F702" s="82" t="b">
        <v>0</v>
      </c>
      <c r="G702" s="82" t="b">
        <v>0</v>
      </c>
    </row>
    <row r="703" spans="1:7" ht="15">
      <c r="A703" s="84" t="s">
        <v>1068</v>
      </c>
      <c r="B703" s="82">
        <v>2</v>
      </c>
      <c r="C703" s="105">
        <v>0.01776942690974012</v>
      </c>
      <c r="D703" s="82" t="s">
        <v>813</v>
      </c>
      <c r="E703" s="82" t="b">
        <v>0</v>
      </c>
      <c r="F703" s="82" t="b">
        <v>0</v>
      </c>
      <c r="G703" s="82" t="b">
        <v>0</v>
      </c>
    </row>
    <row r="704" spans="1:7" ht="15">
      <c r="A704" s="84" t="s">
        <v>1069</v>
      </c>
      <c r="B704" s="82">
        <v>2</v>
      </c>
      <c r="C704" s="105">
        <v>0.01776942690974012</v>
      </c>
      <c r="D704" s="82" t="s">
        <v>813</v>
      </c>
      <c r="E704" s="82" t="b">
        <v>0</v>
      </c>
      <c r="F704" s="82" t="b">
        <v>0</v>
      </c>
      <c r="G704" s="82" t="b">
        <v>0</v>
      </c>
    </row>
    <row r="705" spans="1:7" ht="15">
      <c r="A705" s="84" t="s">
        <v>1063</v>
      </c>
      <c r="B705" s="82">
        <v>2</v>
      </c>
      <c r="C705" s="105">
        <v>0.01776942690974012</v>
      </c>
      <c r="D705" s="82" t="s">
        <v>813</v>
      </c>
      <c r="E705" s="82" t="b">
        <v>0</v>
      </c>
      <c r="F705" s="82" t="b">
        <v>0</v>
      </c>
      <c r="G705" s="82" t="b">
        <v>0</v>
      </c>
    </row>
    <row r="706" spans="1:7" ht="15">
      <c r="A706" s="84" t="s">
        <v>1064</v>
      </c>
      <c r="B706" s="82">
        <v>2</v>
      </c>
      <c r="C706" s="105">
        <v>0.01776942690974012</v>
      </c>
      <c r="D706" s="82" t="s">
        <v>813</v>
      </c>
      <c r="E706" s="82" t="b">
        <v>0</v>
      </c>
      <c r="F706" s="82" t="b">
        <v>0</v>
      </c>
      <c r="G706" s="82" t="b">
        <v>0</v>
      </c>
    </row>
    <row r="707" spans="1:7" ht="15">
      <c r="A707" s="84" t="s">
        <v>1065</v>
      </c>
      <c r="B707" s="82">
        <v>2</v>
      </c>
      <c r="C707" s="105">
        <v>0.01776942690974012</v>
      </c>
      <c r="D707" s="82" t="s">
        <v>813</v>
      </c>
      <c r="E707" s="82" t="b">
        <v>0</v>
      </c>
      <c r="F707" s="82" t="b">
        <v>0</v>
      </c>
      <c r="G707" s="82" t="b">
        <v>0</v>
      </c>
    </row>
    <row r="708" spans="1:7" ht="15">
      <c r="A708" s="84" t="s">
        <v>1066</v>
      </c>
      <c r="B708" s="82">
        <v>2</v>
      </c>
      <c r="C708" s="105">
        <v>0.01776942690974012</v>
      </c>
      <c r="D708" s="82" t="s">
        <v>813</v>
      </c>
      <c r="E708" s="82" t="b">
        <v>0</v>
      </c>
      <c r="F708" s="82" t="b">
        <v>1</v>
      </c>
      <c r="G708" s="82" t="b">
        <v>0</v>
      </c>
    </row>
    <row r="709" spans="1:7" ht="15">
      <c r="A709" s="84" t="s">
        <v>1067</v>
      </c>
      <c r="B709" s="82">
        <v>2</v>
      </c>
      <c r="C709" s="105">
        <v>0.01776942690974012</v>
      </c>
      <c r="D709" s="82" t="s">
        <v>813</v>
      </c>
      <c r="E709" s="82" t="b">
        <v>0</v>
      </c>
      <c r="F709" s="82" t="b">
        <v>0</v>
      </c>
      <c r="G709" s="82" t="b">
        <v>0</v>
      </c>
    </row>
    <row r="710" spans="1:7" ht="15">
      <c r="A710" s="84" t="s">
        <v>1070</v>
      </c>
      <c r="B710" s="82">
        <v>2</v>
      </c>
      <c r="C710" s="105">
        <v>0.01776942690974012</v>
      </c>
      <c r="D710" s="82" t="s">
        <v>813</v>
      </c>
      <c r="E710" s="82" t="b">
        <v>0</v>
      </c>
      <c r="F710" s="82" t="b">
        <v>0</v>
      </c>
      <c r="G710" s="82" t="b">
        <v>0</v>
      </c>
    </row>
    <row r="711" spans="1:7" ht="15">
      <c r="A711" s="84" t="s">
        <v>1071</v>
      </c>
      <c r="B711" s="82">
        <v>2</v>
      </c>
      <c r="C711" s="105">
        <v>0.01776942690974012</v>
      </c>
      <c r="D711" s="82" t="s">
        <v>813</v>
      </c>
      <c r="E711" s="82" t="b">
        <v>0</v>
      </c>
      <c r="F711" s="82" t="b">
        <v>0</v>
      </c>
      <c r="G711" s="82" t="b">
        <v>0</v>
      </c>
    </row>
    <row r="712" spans="1:7" ht="15">
      <c r="A712" s="84" t="s">
        <v>864</v>
      </c>
      <c r="B712" s="82">
        <v>2</v>
      </c>
      <c r="C712" s="105">
        <v>0.01776942690974012</v>
      </c>
      <c r="D712" s="82" t="s">
        <v>813</v>
      </c>
      <c r="E712" s="82" t="b">
        <v>0</v>
      </c>
      <c r="F712" s="82" t="b">
        <v>0</v>
      </c>
      <c r="G712" s="82" t="b">
        <v>0</v>
      </c>
    </row>
    <row r="713" spans="1:7" ht="15">
      <c r="A713" s="84" t="s">
        <v>923</v>
      </c>
      <c r="B713" s="82">
        <v>2</v>
      </c>
      <c r="C713" s="105">
        <v>0.01776942690974012</v>
      </c>
      <c r="D713" s="82" t="s">
        <v>813</v>
      </c>
      <c r="E713" s="82" t="b">
        <v>0</v>
      </c>
      <c r="F713" s="82" t="b">
        <v>0</v>
      </c>
      <c r="G713" s="82" t="b">
        <v>0</v>
      </c>
    </row>
    <row r="714" spans="1:7" ht="15">
      <c r="A714" s="84" t="s">
        <v>1072</v>
      </c>
      <c r="B714" s="82">
        <v>2</v>
      </c>
      <c r="C714" s="105">
        <v>0.01776942690974012</v>
      </c>
      <c r="D714" s="82" t="s">
        <v>813</v>
      </c>
      <c r="E714" s="82" t="b">
        <v>0</v>
      </c>
      <c r="F714" s="82" t="b">
        <v>0</v>
      </c>
      <c r="G714" s="82" t="b">
        <v>0</v>
      </c>
    </row>
    <row r="715" spans="1:7" ht="15">
      <c r="A715" s="84" t="s">
        <v>1073</v>
      </c>
      <c r="B715" s="82">
        <v>2</v>
      </c>
      <c r="C715" s="105">
        <v>0.01776942690974012</v>
      </c>
      <c r="D715" s="82" t="s">
        <v>813</v>
      </c>
      <c r="E715" s="82" t="b">
        <v>0</v>
      </c>
      <c r="F715" s="82" t="b">
        <v>0</v>
      </c>
      <c r="G715" s="82" t="b">
        <v>0</v>
      </c>
    </row>
    <row r="716" spans="1:7" ht="15">
      <c r="A716" s="84" t="s">
        <v>843</v>
      </c>
      <c r="B716" s="82">
        <v>13</v>
      </c>
      <c r="C716" s="105">
        <v>0.056167569798305436</v>
      </c>
      <c r="D716" s="82" t="s">
        <v>814</v>
      </c>
      <c r="E716" s="82" t="b">
        <v>0</v>
      </c>
      <c r="F716" s="82" t="b">
        <v>0</v>
      </c>
      <c r="G716" s="82" t="b">
        <v>0</v>
      </c>
    </row>
    <row r="717" spans="1:7" ht="15">
      <c r="A717" s="84" t="s">
        <v>844</v>
      </c>
      <c r="B717" s="82">
        <v>12</v>
      </c>
      <c r="C717" s="105">
        <v>0.04104954486327016</v>
      </c>
      <c r="D717" s="82" t="s">
        <v>814</v>
      </c>
      <c r="E717" s="82" t="b">
        <v>0</v>
      </c>
      <c r="F717" s="82" t="b">
        <v>0</v>
      </c>
      <c r="G717" s="82" t="b">
        <v>0</v>
      </c>
    </row>
    <row r="718" spans="1:7" ht="15">
      <c r="A718" s="84" t="s">
        <v>904</v>
      </c>
      <c r="B718" s="82">
        <v>5</v>
      </c>
      <c r="C718" s="105">
        <v>0.03870688848724927</v>
      </c>
      <c r="D718" s="82" t="s">
        <v>814</v>
      </c>
      <c r="E718" s="82" t="b">
        <v>0</v>
      </c>
      <c r="F718" s="82" t="b">
        <v>0</v>
      </c>
      <c r="G718" s="82" t="b">
        <v>0</v>
      </c>
    </row>
    <row r="719" spans="1:7" ht="15">
      <c r="A719" s="84" t="s">
        <v>919</v>
      </c>
      <c r="B719" s="82">
        <v>3</v>
      </c>
      <c r="C719" s="105">
        <v>0.036790269751623576</v>
      </c>
      <c r="D719" s="82" t="s">
        <v>814</v>
      </c>
      <c r="E719" s="82" t="b">
        <v>0</v>
      </c>
      <c r="F719" s="82" t="b">
        <v>0</v>
      </c>
      <c r="G719" s="82" t="b">
        <v>0</v>
      </c>
    </row>
    <row r="720" spans="1:7" ht="15">
      <c r="A720" s="84" t="s">
        <v>855</v>
      </c>
      <c r="B720" s="82">
        <v>3</v>
      </c>
      <c r="C720" s="105">
        <v>0.030787158647452618</v>
      </c>
      <c r="D720" s="82" t="s">
        <v>814</v>
      </c>
      <c r="E720" s="82" t="b">
        <v>0</v>
      </c>
      <c r="F720" s="82" t="b">
        <v>0</v>
      </c>
      <c r="G720" s="82" t="b">
        <v>0</v>
      </c>
    </row>
    <row r="721" spans="1:7" ht="15">
      <c r="A721" s="84" t="s">
        <v>907</v>
      </c>
      <c r="B721" s="82">
        <v>3</v>
      </c>
      <c r="C721" s="105">
        <v>0.030787158647452618</v>
      </c>
      <c r="D721" s="82" t="s">
        <v>814</v>
      </c>
      <c r="E721" s="82" t="b">
        <v>0</v>
      </c>
      <c r="F721" s="82" t="b">
        <v>0</v>
      </c>
      <c r="G721" s="82" t="b">
        <v>0</v>
      </c>
    </row>
    <row r="722" spans="1:7" ht="15">
      <c r="A722" s="84" t="s">
        <v>944</v>
      </c>
      <c r="B722" s="82">
        <v>3</v>
      </c>
      <c r="C722" s="105">
        <v>0.030787158647452618</v>
      </c>
      <c r="D722" s="82" t="s">
        <v>814</v>
      </c>
      <c r="E722" s="82" t="b">
        <v>0</v>
      </c>
      <c r="F722" s="82" t="b">
        <v>0</v>
      </c>
      <c r="G722" s="82" t="b">
        <v>0</v>
      </c>
    </row>
    <row r="723" spans="1:7" ht="15">
      <c r="A723" s="84" t="s">
        <v>1017</v>
      </c>
      <c r="B723" s="82">
        <v>3</v>
      </c>
      <c r="C723" s="105">
        <v>0.030787158647452618</v>
      </c>
      <c r="D723" s="82" t="s">
        <v>814</v>
      </c>
      <c r="E723" s="82" t="b">
        <v>0</v>
      </c>
      <c r="F723" s="82" t="b">
        <v>0</v>
      </c>
      <c r="G723" s="82" t="b">
        <v>0</v>
      </c>
    </row>
    <row r="724" spans="1:7" ht="15">
      <c r="A724" s="84" t="s">
        <v>1186</v>
      </c>
      <c r="B724" s="82">
        <v>2</v>
      </c>
      <c r="C724" s="105">
        <v>0.024526846501082385</v>
      </c>
      <c r="D724" s="82" t="s">
        <v>814</v>
      </c>
      <c r="E724" s="82" t="b">
        <v>0</v>
      </c>
      <c r="F724" s="82" t="b">
        <v>0</v>
      </c>
      <c r="G724" s="82" t="b">
        <v>0</v>
      </c>
    </row>
    <row r="725" spans="1:7" ht="15">
      <c r="A725" s="84" t="s">
        <v>884</v>
      </c>
      <c r="B725" s="82">
        <v>2</v>
      </c>
      <c r="C725" s="105">
        <v>0.024526846501082385</v>
      </c>
      <c r="D725" s="82" t="s">
        <v>814</v>
      </c>
      <c r="E725" s="82" t="b">
        <v>0</v>
      </c>
      <c r="F725" s="82" t="b">
        <v>1</v>
      </c>
      <c r="G725" s="82" t="b">
        <v>0</v>
      </c>
    </row>
    <row r="726" spans="1:7" ht="15">
      <c r="A726" s="84" t="s">
        <v>1014</v>
      </c>
      <c r="B726" s="82">
        <v>2</v>
      </c>
      <c r="C726" s="105">
        <v>0.024526846501082385</v>
      </c>
      <c r="D726" s="82" t="s">
        <v>814</v>
      </c>
      <c r="E726" s="82" t="b">
        <v>0</v>
      </c>
      <c r="F726" s="82" t="b">
        <v>0</v>
      </c>
      <c r="G726" s="82" t="b">
        <v>0</v>
      </c>
    </row>
    <row r="727" spans="1:7" ht="15">
      <c r="A727" s="84" t="s">
        <v>856</v>
      </c>
      <c r="B727" s="82">
        <v>2</v>
      </c>
      <c r="C727" s="105">
        <v>0.024526846501082385</v>
      </c>
      <c r="D727" s="82" t="s">
        <v>814</v>
      </c>
      <c r="E727" s="82" t="b">
        <v>0</v>
      </c>
      <c r="F727" s="82" t="b">
        <v>0</v>
      </c>
      <c r="G727" s="82" t="b">
        <v>0</v>
      </c>
    </row>
    <row r="728" spans="1:7" ht="15">
      <c r="A728" s="84" t="s">
        <v>1196</v>
      </c>
      <c r="B728" s="82">
        <v>2</v>
      </c>
      <c r="C728" s="105">
        <v>0.024526846501082385</v>
      </c>
      <c r="D728" s="82" t="s">
        <v>814</v>
      </c>
      <c r="E728" s="82" t="b">
        <v>0</v>
      </c>
      <c r="F728" s="82" t="b">
        <v>0</v>
      </c>
      <c r="G728" s="82" t="b">
        <v>0</v>
      </c>
    </row>
    <row r="729" spans="1:7" ht="15">
      <c r="A729" s="84" t="s">
        <v>1197</v>
      </c>
      <c r="B729" s="82">
        <v>2</v>
      </c>
      <c r="C729" s="105">
        <v>0.024526846501082385</v>
      </c>
      <c r="D729" s="82" t="s">
        <v>814</v>
      </c>
      <c r="E729" s="82" t="b">
        <v>0</v>
      </c>
      <c r="F729" s="82" t="b">
        <v>0</v>
      </c>
      <c r="G729" s="82" t="b">
        <v>0</v>
      </c>
    </row>
    <row r="730" spans="1:7" ht="15">
      <c r="A730" s="84" t="s">
        <v>847</v>
      </c>
      <c r="B730" s="82">
        <v>2</v>
      </c>
      <c r="C730" s="105">
        <v>0.024526846501082385</v>
      </c>
      <c r="D730" s="82" t="s">
        <v>814</v>
      </c>
      <c r="E730" s="82" t="b">
        <v>0</v>
      </c>
      <c r="F730" s="82" t="b">
        <v>0</v>
      </c>
      <c r="G730" s="82" t="b">
        <v>0</v>
      </c>
    </row>
    <row r="731" spans="1:7" ht="15">
      <c r="A731" s="84" t="s">
        <v>1195</v>
      </c>
      <c r="B731" s="82">
        <v>2</v>
      </c>
      <c r="C731" s="105">
        <v>0.024526846501082385</v>
      </c>
      <c r="D731" s="82" t="s">
        <v>814</v>
      </c>
      <c r="E731" s="82" t="b">
        <v>0</v>
      </c>
      <c r="F731" s="82" t="b">
        <v>0</v>
      </c>
      <c r="G731" s="82" t="b">
        <v>0</v>
      </c>
    </row>
    <row r="732" spans="1:7" ht="15">
      <c r="A732" s="84" t="s">
        <v>1202</v>
      </c>
      <c r="B732" s="82">
        <v>2</v>
      </c>
      <c r="C732" s="105">
        <v>0.024526846501082385</v>
      </c>
      <c r="D732" s="82" t="s">
        <v>814</v>
      </c>
      <c r="E732" s="82" t="b">
        <v>0</v>
      </c>
      <c r="F732" s="82" t="b">
        <v>0</v>
      </c>
      <c r="G732" s="82" t="b">
        <v>0</v>
      </c>
    </row>
    <row r="733" spans="1:7" ht="15">
      <c r="A733" s="84" t="s">
        <v>849</v>
      </c>
      <c r="B733" s="82">
        <v>5</v>
      </c>
      <c r="C733" s="105">
        <v>0.02880388194784894</v>
      </c>
      <c r="D733" s="82" t="s">
        <v>815</v>
      </c>
      <c r="E733" s="82" t="b">
        <v>0</v>
      </c>
      <c r="F733" s="82" t="b">
        <v>0</v>
      </c>
      <c r="G733" s="82" t="b">
        <v>0</v>
      </c>
    </row>
    <row r="734" spans="1:7" ht="15">
      <c r="A734" s="84" t="s">
        <v>853</v>
      </c>
      <c r="B734" s="82">
        <v>4</v>
      </c>
      <c r="C734" s="105">
        <v>0.028916439679979544</v>
      </c>
      <c r="D734" s="82" t="s">
        <v>815</v>
      </c>
      <c r="E734" s="82" t="b">
        <v>0</v>
      </c>
      <c r="F734" s="82" t="b">
        <v>0</v>
      </c>
      <c r="G734" s="82" t="b">
        <v>0</v>
      </c>
    </row>
    <row r="735" spans="1:7" ht="15">
      <c r="A735" s="84" t="s">
        <v>862</v>
      </c>
      <c r="B735" s="82">
        <v>4</v>
      </c>
      <c r="C735" s="105">
        <v>0.028916439679979544</v>
      </c>
      <c r="D735" s="82" t="s">
        <v>815</v>
      </c>
      <c r="E735" s="82" t="b">
        <v>0</v>
      </c>
      <c r="F735" s="82" t="b">
        <v>0</v>
      </c>
      <c r="G735" s="82" t="b">
        <v>0</v>
      </c>
    </row>
    <row r="736" spans="1:7" ht="15">
      <c r="A736" s="84" t="s">
        <v>863</v>
      </c>
      <c r="B736" s="82">
        <v>4</v>
      </c>
      <c r="C736" s="105">
        <v>0.028916439679979544</v>
      </c>
      <c r="D736" s="82" t="s">
        <v>815</v>
      </c>
      <c r="E736" s="82" t="b">
        <v>0</v>
      </c>
      <c r="F736" s="82" t="b">
        <v>0</v>
      </c>
      <c r="G736" s="82" t="b">
        <v>0</v>
      </c>
    </row>
    <row r="737" spans="1:7" ht="15">
      <c r="A737" s="84" t="s">
        <v>844</v>
      </c>
      <c r="B737" s="82">
        <v>3</v>
      </c>
      <c r="C737" s="105">
        <v>0.02736636324218011</v>
      </c>
      <c r="D737" s="82" t="s">
        <v>815</v>
      </c>
      <c r="E737" s="82" t="b">
        <v>0</v>
      </c>
      <c r="F737" s="82" t="b">
        <v>0</v>
      </c>
      <c r="G737" s="82" t="b">
        <v>0</v>
      </c>
    </row>
    <row r="738" spans="1:7" ht="15">
      <c r="A738" s="84" t="s">
        <v>843</v>
      </c>
      <c r="B738" s="82">
        <v>2</v>
      </c>
      <c r="C738" s="105">
        <v>0.023580340920716474</v>
      </c>
      <c r="D738" s="82" t="s">
        <v>815</v>
      </c>
      <c r="E738" s="82" t="b">
        <v>0</v>
      </c>
      <c r="F738" s="82" t="b">
        <v>0</v>
      </c>
      <c r="G738" s="82" t="b">
        <v>0</v>
      </c>
    </row>
    <row r="739" spans="1:7" ht="15">
      <c r="A739" s="84" t="s">
        <v>930</v>
      </c>
      <c r="B739" s="82">
        <v>2</v>
      </c>
      <c r="C739" s="105">
        <v>0.023580340920716474</v>
      </c>
      <c r="D739" s="82" t="s">
        <v>815</v>
      </c>
      <c r="E739" s="82" t="b">
        <v>0</v>
      </c>
      <c r="F739" s="82" t="b">
        <v>0</v>
      </c>
      <c r="G739" s="82" t="b">
        <v>0</v>
      </c>
    </row>
    <row r="740" spans="1:7" ht="15">
      <c r="A740" s="84" t="s">
        <v>1169</v>
      </c>
      <c r="B740" s="82">
        <v>2</v>
      </c>
      <c r="C740" s="105">
        <v>0.023580340920716474</v>
      </c>
      <c r="D740" s="82" t="s">
        <v>815</v>
      </c>
      <c r="E740" s="82" t="b">
        <v>0</v>
      </c>
      <c r="F740" s="82" t="b">
        <v>0</v>
      </c>
      <c r="G740" s="82" t="b">
        <v>0</v>
      </c>
    </row>
    <row r="741" spans="1:7" ht="15">
      <c r="A741" s="84" t="s">
        <v>1170</v>
      </c>
      <c r="B741" s="82">
        <v>2</v>
      </c>
      <c r="C741" s="105">
        <v>0.023580340920716474</v>
      </c>
      <c r="D741" s="82" t="s">
        <v>815</v>
      </c>
      <c r="E741" s="82" t="b">
        <v>0</v>
      </c>
      <c r="F741" s="82" t="b">
        <v>0</v>
      </c>
      <c r="G741" s="82" t="b">
        <v>0</v>
      </c>
    </row>
    <row r="742" spans="1:7" ht="15">
      <c r="A742" s="84" t="s">
        <v>1171</v>
      </c>
      <c r="B742" s="82">
        <v>2</v>
      </c>
      <c r="C742" s="105">
        <v>0.023580340920716474</v>
      </c>
      <c r="D742" s="82" t="s">
        <v>815</v>
      </c>
      <c r="E742" s="82" t="b">
        <v>0</v>
      </c>
      <c r="F742" s="82" t="b">
        <v>0</v>
      </c>
      <c r="G742" s="82" t="b">
        <v>0</v>
      </c>
    </row>
    <row r="743" spans="1:7" ht="15">
      <c r="A743" s="84" t="s">
        <v>1172</v>
      </c>
      <c r="B743" s="82">
        <v>2</v>
      </c>
      <c r="C743" s="105">
        <v>0.023580340920716474</v>
      </c>
      <c r="D743" s="82" t="s">
        <v>815</v>
      </c>
      <c r="E743" s="82" t="b">
        <v>0</v>
      </c>
      <c r="F743" s="82" t="b">
        <v>0</v>
      </c>
      <c r="G743" s="82" t="b">
        <v>0</v>
      </c>
    </row>
    <row r="744" spans="1:7" ht="15">
      <c r="A744" s="84" t="s">
        <v>1005</v>
      </c>
      <c r="B744" s="82">
        <v>2</v>
      </c>
      <c r="C744" s="105">
        <v>0.023580340920716474</v>
      </c>
      <c r="D744" s="82" t="s">
        <v>815</v>
      </c>
      <c r="E744" s="82" t="b">
        <v>0</v>
      </c>
      <c r="F744" s="82" t="b">
        <v>0</v>
      </c>
      <c r="G744" s="82" t="b">
        <v>0</v>
      </c>
    </row>
    <row r="745" spans="1:7" ht="15">
      <c r="A745" s="84" t="s">
        <v>1006</v>
      </c>
      <c r="B745" s="82">
        <v>2</v>
      </c>
      <c r="C745" s="105">
        <v>0.023580340920716474</v>
      </c>
      <c r="D745" s="82" t="s">
        <v>815</v>
      </c>
      <c r="E745" s="82" t="b">
        <v>0</v>
      </c>
      <c r="F745" s="82" t="b">
        <v>0</v>
      </c>
      <c r="G745" s="82" t="b">
        <v>0</v>
      </c>
    </row>
    <row r="746" spans="1:7" ht="15">
      <c r="A746" s="84" t="s">
        <v>1007</v>
      </c>
      <c r="B746" s="82">
        <v>2</v>
      </c>
      <c r="C746" s="105">
        <v>0.023580340920716474</v>
      </c>
      <c r="D746" s="82" t="s">
        <v>815</v>
      </c>
      <c r="E746" s="82" t="b">
        <v>0</v>
      </c>
      <c r="F746" s="82" t="b">
        <v>0</v>
      </c>
      <c r="G746" s="82" t="b">
        <v>0</v>
      </c>
    </row>
    <row r="747" spans="1:7" ht="15">
      <c r="A747" s="84" t="s">
        <v>1008</v>
      </c>
      <c r="B747" s="82">
        <v>2</v>
      </c>
      <c r="C747" s="105">
        <v>0.023580340920716474</v>
      </c>
      <c r="D747" s="82" t="s">
        <v>815</v>
      </c>
      <c r="E747" s="82" t="b">
        <v>0</v>
      </c>
      <c r="F747" s="82" t="b">
        <v>0</v>
      </c>
      <c r="G747" s="82" t="b">
        <v>0</v>
      </c>
    </row>
    <row r="748" spans="1:7" ht="15">
      <c r="A748" s="84" t="s">
        <v>1009</v>
      </c>
      <c r="B748" s="82">
        <v>2</v>
      </c>
      <c r="C748" s="105">
        <v>0.023580340920716474</v>
      </c>
      <c r="D748" s="82" t="s">
        <v>815</v>
      </c>
      <c r="E748" s="82" t="b">
        <v>0</v>
      </c>
      <c r="F748" s="82" t="b">
        <v>0</v>
      </c>
      <c r="G748" s="82" t="b">
        <v>0</v>
      </c>
    </row>
    <row r="749" spans="1:7" ht="15">
      <c r="A749" s="84" t="s">
        <v>1175</v>
      </c>
      <c r="B749" s="82">
        <v>2</v>
      </c>
      <c r="C749" s="105">
        <v>0.023580340920716474</v>
      </c>
      <c r="D749" s="82" t="s">
        <v>815</v>
      </c>
      <c r="E749" s="82" t="b">
        <v>0</v>
      </c>
      <c r="F749" s="82" t="b">
        <v>1</v>
      </c>
      <c r="G749" s="82" t="b">
        <v>0</v>
      </c>
    </row>
    <row r="750" spans="1:7" ht="15">
      <c r="A750" s="84" t="s">
        <v>843</v>
      </c>
      <c r="B750" s="82">
        <v>5</v>
      </c>
      <c r="C750" s="105">
        <v>0.03971120524772672</v>
      </c>
      <c r="D750" s="82" t="s">
        <v>816</v>
      </c>
      <c r="E750" s="82" t="b">
        <v>0</v>
      </c>
      <c r="F750" s="82" t="b">
        <v>0</v>
      </c>
      <c r="G750" s="82" t="b">
        <v>0</v>
      </c>
    </row>
    <row r="751" spans="1:7" ht="15">
      <c r="A751" s="84" t="s">
        <v>844</v>
      </c>
      <c r="B751" s="82">
        <v>4</v>
      </c>
      <c r="C751" s="105">
        <v>0.03707910189725296</v>
      </c>
      <c r="D751" s="82" t="s">
        <v>816</v>
      </c>
      <c r="E751" s="82" t="b">
        <v>0</v>
      </c>
      <c r="F751" s="82" t="b">
        <v>0</v>
      </c>
      <c r="G751" s="82" t="b">
        <v>0</v>
      </c>
    </row>
    <row r="752" spans="1:7" ht="15">
      <c r="A752" s="84" t="s">
        <v>983</v>
      </c>
      <c r="B752" s="82">
        <v>3</v>
      </c>
      <c r="C752" s="105">
        <v>0.03294379505067807</v>
      </c>
      <c r="D752" s="82" t="s">
        <v>816</v>
      </c>
      <c r="E752" s="82" t="b">
        <v>0</v>
      </c>
      <c r="F752" s="82" t="b">
        <v>0</v>
      </c>
      <c r="G752" s="82" t="b">
        <v>0</v>
      </c>
    </row>
    <row r="753" spans="1:7" ht="15">
      <c r="A753" s="84" t="s">
        <v>984</v>
      </c>
      <c r="B753" s="82">
        <v>3</v>
      </c>
      <c r="C753" s="105">
        <v>0.03294379505067807</v>
      </c>
      <c r="D753" s="82" t="s">
        <v>816</v>
      </c>
      <c r="E753" s="82" t="b">
        <v>0</v>
      </c>
      <c r="F753" s="82" t="b">
        <v>0</v>
      </c>
      <c r="G753" s="82" t="b">
        <v>0</v>
      </c>
    </row>
    <row r="754" spans="1:7" ht="15">
      <c r="A754" s="84" t="s">
        <v>985</v>
      </c>
      <c r="B754" s="82">
        <v>3</v>
      </c>
      <c r="C754" s="105">
        <v>0.03294379505067807</v>
      </c>
      <c r="D754" s="82" t="s">
        <v>816</v>
      </c>
      <c r="E754" s="82" t="b">
        <v>0</v>
      </c>
      <c r="F754" s="82" t="b">
        <v>1</v>
      </c>
      <c r="G754" s="82" t="b">
        <v>0</v>
      </c>
    </row>
    <row r="755" spans="1:7" ht="15">
      <c r="A755" s="84" t="s">
        <v>986</v>
      </c>
      <c r="B755" s="82">
        <v>3</v>
      </c>
      <c r="C755" s="105">
        <v>0.03294379505067807</v>
      </c>
      <c r="D755" s="82" t="s">
        <v>816</v>
      </c>
      <c r="E755" s="82" t="b">
        <v>0</v>
      </c>
      <c r="F755" s="82" t="b">
        <v>0</v>
      </c>
      <c r="G755" s="82" t="b">
        <v>0</v>
      </c>
    </row>
    <row r="756" spans="1:7" ht="15">
      <c r="A756" s="84" t="s">
        <v>858</v>
      </c>
      <c r="B756" s="82">
        <v>2</v>
      </c>
      <c r="C756" s="105">
        <v>0.026786948090105414</v>
      </c>
      <c r="D756" s="82" t="s">
        <v>816</v>
      </c>
      <c r="E756" s="82" t="b">
        <v>0</v>
      </c>
      <c r="F756" s="82" t="b">
        <v>0</v>
      </c>
      <c r="G756" s="82" t="b">
        <v>0</v>
      </c>
    </row>
    <row r="757" spans="1:7" ht="15">
      <c r="A757" s="84" t="s">
        <v>854</v>
      </c>
      <c r="B757" s="82">
        <v>2</v>
      </c>
      <c r="C757" s="105">
        <v>0.026786948090105414</v>
      </c>
      <c r="D757" s="82" t="s">
        <v>816</v>
      </c>
      <c r="E757" s="82" t="b">
        <v>0</v>
      </c>
      <c r="F757" s="82" t="b">
        <v>0</v>
      </c>
      <c r="G757" s="82" t="b">
        <v>0</v>
      </c>
    </row>
    <row r="758" spans="1:7" ht="15">
      <c r="A758" s="84" t="s">
        <v>865</v>
      </c>
      <c r="B758" s="82">
        <v>2</v>
      </c>
      <c r="C758" s="105">
        <v>0.04781843274369739</v>
      </c>
      <c r="D758" s="82" t="s">
        <v>817</v>
      </c>
      <c r="E758" s="82" t="b">
        <v>0</v>
      </c>
      <c r="F758" s="82" t="b">
        <v>0</v>
      </c>
      <c r="G758" s="82" t="b">
        <v>0</v>
      </c>
    </row>
    <row r="759" spans="1:7" ht="15">
      <c r="A759" s="84" t="s">
        <v>1113</v>
      </c>
      <c r="B759" s="82">
        <v>2</v>
      </c>
      <c r="C759" s="105">
        <v>0.04781843274369739</v>
      </c>
      <c r="D759" s="82" t="s">
        <v>817</v>
      </c>
      <c r="E759" s="82" t="b">
        <v>1</v>
      </c>
      <c r="F759" s="82" t="b">
        <v>0</v>
      </c>
      <c r="G759" s="82" t="b">
        <v>0</v>
      </c>
    </row>
    <row r="760" spans="1:7" ht="15">
      <c r="A760" s="84" t="s">
        <v>1114</v>
      </c>
      <c r="B760" s="82">
        <v>2</v>
      </c>
      <c r="C760" s="105">
        <v>0.04781843274369739</v>
      </c>
      <c r="D760" s="82" t="s">
        <v>817</v>
      </c>
      <c r="E760" s="82" t="b">
        <v>0</v>
      </c>
      <c r="F760" s="82" t="b">
        <v>0</v>
      </c>
      <c r="G760" s="82" t="b">
        <v>0</v>
      </c>
    </row>
    <row r="761" spans="1:7" ht="15">
      <c r="A761" s="84" t="s">
        <v>844</v>
      </c>
      <c r="B761" s="82">
        <v>2</v>
      </c>
      <c r="C761" s="105">
        <v>0.057339046793139274</v>
      </c>
      <c r="D761" s="82" t="s">
        <v>818</v>
      </c>
      <c r="E761" s="82" t="b">
        <v>0</v>
      </c>
      <c r="F761" s="82" t="b">
        <v>0</v>
      </c>
      <c r="G761" s="82" t="b">
        <v>0</v>
      </c>
    </row>
    <row r="762" spans="1:7" ht="15">
      <c r="A762" s="84" t="s">
        <v>843</v>
      </c>
      <c r="B762" s="82">
        <v>2</v>
      </c>
      <c r="C762" s="105">
        <v>0.057339046793139274</v>
      </c>
      <c r="D762" s="82" t="s">
        <v>818</v>
      </c>
      <c r="E762" s="82" t="b">
        <v>0</v>
      </c>
      <c r="F762" s="82" t="b">
        <v>0</v>
      </c>
      <c r="G762" s="82" t="b">
        <v>0</v>
      </c>
    </row>
    <row r="763" spans="1:7" ht="15">
      <c r="A763" s="84" t="s">
        <v>847</v>
      </c>
      <c r="B763" s="82">
        <v>2</v>
      </c>
      <c r="C763" s="105">
        <v>0.057339046793139274</v>
      </c>
      <c r="D763" s="82" t="s">
        <v>818</v>
      </c>
      <c r="E763" s="82" t="b">
        <v>0</v>
      </c>
      <c r="F763" s="82" t="b">
        <v>0</v>
      </c>
      <c r="G763" s="8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DB411-6A65-41F0-BBA2-22EA682B0743}">
  <dimension ref="A1:L58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1228</v>
      </c>
      <c r="B1" s="13" t="s">
        <v>1229</v>
      </c>
      <c r="C1" s="13" t="s">
        <v>1219</v>
      </c>
      <c r="D1" s="13" t="s">
        <v>1223</v>
      </c>
      <c r="E1" s="13" t="s">
        <v>1230</v>
      </c>
      <c r="F1" s="13" t="s">
        <v>144</v>
      </c>
      <c r="G1" s="13" t="s">
        <v>1231</v>
      </c>
      <c r="H1" s="13" t="s">
        <v>1232</v>
      </c>
      <c r="I1" s="13" t="s">
        <v>1233</v>
      </c>
      <c r="J1" s="13" t="s">
        <v>1234</v>
      </c>
      <c r="K1" s="13" t="s">
        <v>1235</v>
      </c>
      <c r="L1" s="13" t="s">
        <v>1236</v>
      </c>
    </row>
    <row r="2" spans="1:12" ht="15">
      <c r="A2" s="103" t="s">
        <v>844</v>
      </c>
      <c r="B2" s="103" t="s">
        <v>843</v>
      </c>
      <c r="C2" s="103">
        <v>60</v>
      </c>
      <c r="D2" s="106">
        <v>0.026816027488313285</v>
      </c>
      <c r="E2" s="106">
        <v>1.212605228529447</v>
      </c>
      <c r="F2" s="103" t="s">
        <v>1224</v>
      </c>
      <c r="G2" s="103" t="b">
        <v>0</v>
      </c>
      <c r="H2" s="103" t="b">
        <v>0</v>
      </c>
      <c r="I2" s="103" t="b">
        <v>0</v>
      </c>
      <c r="J2" s="103" t="b">
        <v>0</v>
      </c>
      <c r="K2" s="103" t="b">
        <v>0</v>
      </c>
      <c r="L2" s="103" t="b">
        <v>0</v>
      </c>
    </row>
    <row r="3" spans="1:12" ht="15">
      <c r="A3" s="84" t="s">
        <v>846</v>
      </c>
      <c r="B3" s="103" t="s">
        <v>846</v>
      </c>
      <c r="C3" s="82">
        <v>17</v>
      </c>
      <c r="D3" s="105">
        <v>0.025887354526660283</v>
      </c>
      <c r="E3" s="105">
        <v>1.612361484616161</v>
      </c>
      <c r="F3" s="82" t="s">
        <v>1224</v>
      </c>
      <c r="G3" s="82" t="b">
        <v>0</v>
      </c>
      <c r="H3" s="82" t="b">
        <v>0</v>
      </c>
      <c r="I3" s="82" t="b">
        <v>0</v>
      </c>
      <c r="J3" s="82" t="b">
        <v>0</v>
      </c>
      <c r="K3" s="82" t="b">
        <v>0</v>
      </c>
      <c r="L3" s="82" t="b">
        <v>0</v>
      </c>
    </row>
    <row r="4" spans="1:12" ht="15">
      <c r="A4" s="84" t="s">
        <v>853</v>
      </c>
      <c r="B4" s="103" t="s">
        <v>849</v>
      </c>
      <c r="C4" s="82">
        <v>8</v>
      </c>
      <c r="D4" s="105">
        <v>0.007793025737122374</v>
      </c>
      <c r="E4" s="105">
        <v>2.0313064333614794</v>
      </c>
      <c r="F4" s="82" t="s">
        <v>1224</v>
      </c>
      <c r="G4" s="82" t="b">
        <v>0</v>
      </c>
      <c r="H4" s="82" t="b">
        <v>0</v>
      </c>
      <c r="I4" s="82" t="b">
        <v>0</v>
      </c>
      <c r="J4" s="82" t="b">
        <v>0</v>
      </c>
      <c r="K4" s="82" t="b">
        <v>0</v>
      </c>
      <c r="L4" s="82" t="b">
        <v>0</v>
      </c>
    </row>
    <row r="5" spans="1:12" ht="15">
      <c r="A5" s="84" t="s">
        <v>849</v>
      </c>
      <c r="B5" s="103" t="s">
        <v>862</v>
      </c>
      <c r="C5" s="82">
        <v>8</v>
      </c>
      <c r="D5" s="105">
        <v>0.007793025737122374</v>
      </c>
      <c r="E5" s="105">
        <v>2.082458955808861</v>
      </c>
      <c r="F5" s="82" t="s">
        <v>1224</v>
      </c>
      <c r="G5" s="82" t="b">
        <v>0</v>
      </c>
      <c r="H5" s="82" t="b">
        <v>0</v>
      </c>
      <c r="I5" s="82" t="b">
        <v>0</v>
      </c>
      <c r="J5" s="82" t="b">
        <v>0</v>
      </c>
      <c r="K5" s="82" t="b">
        <v>0</v>
      </c>
      <c r="L5" s="82" t="b">
        <v>0</v>
      </c>
    </row>
    <row r="6" spans="1:12" ht="15">
      <c r="A6" s="84" t="s">
        <v>862</v>
      </c>
      <c r="B6" s="103" t="s">
        <v>863</v>
      </c>
      <c r="C6" s="82">
        <v>8</v>
      </c>
      <c r="D6" s="105">
        <v>0.007793025737122374</v>
      </c>
      <c r="E6" s="105">
        <v>2.220761653975142</v>
      </c>
      <c r="F6" s="82" t="s">
        <v>1224</v>
      </c>
      <c r="G6" s="82" t="b">
        <v>0</v>
      </c>
      <c r="H6" s="82" t="b">
        <v>0</v>
      </c>
      <c r="I6" s="82" t="b">
        <v>0</v>
      </c>
      <c r="J6" s="82" t="b">
        <v>0</v>
      </c>
      <c r="K6" s="82" t="b">
        <v>0</v>
      </c>
      <c r="L6" s="82" t="b">
        <v>0</v>
      </c>
    </row>
    <row r="7" spans="1:12" ht="15">
      <c r="A7" s="84" t="s">
        <v>843</v>
      </c>
      <c r="B7" s="103" t="s">
        <v>847</v>
      </c>
      <c r="C7" s="82">
        <v>7</v>
      </c>
      <c r="D7" s="105">
        <v>0.0070655218388422265</v>
      </c>
      <c r="E7" s="105">
        <v>1.1213770218392305</v>
      </c>
      <c r="F7" s="82" t="s">
        <v>1224</v>
      </c>
      <c r="G7" s="82" t="b">
        <v>0</v>
      </c>
      <c r="H7" s="82" t="b">
        <v>0</v>
      </c>
      <c r="I7" s="82" t="b">
        <v>0</v>
      </c>
      <c r="J7" s="82" t="b">
        <v>0</v>
      </c>
      <c r="K7" s="82" t="b">
        <v>0</v>
      </c>
      <c r="L7" s="82" t="b">
        <v>0</v>
      </c>
    </row>
    <row r="8" spans="1:12" ht="15">
      <c r="A8" s="84" t="s">
        <v>871</v>
      </c>
      <c r="B8" s="103" t="s">
        <v>872</v>
      </c>
      <c r="C8" s="82">
        <v>6</v>
      </c>
      <c r="D8" s="105">
        <v>0.0063001960462499215</v>
      </c>
      <c r="E8" s="105">
        <v>2.345700390583442</v>
      </c>
      <c r="F8" s="82" t="s">
        <v>1224</v>
      </c>
      <c r="G8" s="82" t="b">
        <v>0</v>
      </c>
      <c r="H8" s="82" t="b">
        <v>0</v>
      </c>
      <c r="I8" s="82" t="b">
        <v>0</v>
      </c>
      <c r="J8" s="82" t="b">
        <v>0</v>
      </c>
      <c r="K8" s="82" t="b">
        <v>0</v>
      </c>
      <c r="L8" s="82" t="b">
        <v>0</v>
      </c>
    </row>
    <row r="9" spans="1:12" ht="15">
      <c r="A9" s="84" t="s">
        <v>872</v>
      </c>
      <c r="B9" s="103" t="s">
        <v>873</v>
      </c>
      <c r="C9" s="82">
        <v>6</v>
      </c>
      <c r="D9" s="105">
        <v>0.0063001960462499215</v>
      </c>
      <c r="E9" s="105">
        <v>2.345700390583442</v>
      </c>
      <c r="F9" s="82" t="s">
        <v>1224</v>
      </c>
      <c r="G9" s="82" t="b">
        <v>0</v>
      </c>
      <c r="H9" s="82" t="b">
        <v>0</v>
      </c>
      <c r="I9" s="82" t="b">
        <v>0</v>
      </c>
      <c r="J9" s="82" t="b">
        <v>0</v>
      </c>
      <c r="K9" s="82" t="b">
        <v>0</v>
      </c>
      <c r="L9" s="82" t="b">
        <v>0</v>
      </c>
    </row>
    <row r="10" spans="1:12" ht="15">
      <c r="A10" s="84" t="s">
        <v>873</v>
      </c>
      <c r="B10" s="103" t="s">
        <v>874</v>
      </c>
      <c r="C10" s="82">
        <v>6</v>
      </c>
      <c r="D10" s="105">
        <v>0.0063001960462499215</v>
      </c>
      <c r="E10" s="105">
        <v>2.345700390583442</v>
      </c>
      <c r="F10" s="82" t="s">
        <v>1224</v>
      </c>
      <c r="G10" s="82" t="b">
        <v>0</v>
      </c>
      <c r="H10" s="82" t="b">
        <v>0</v>
      </c>
      <c r="I10" s="82" t="b">
        <v>0</v>
      </c>
      <c r="J10" s="82" t="b">
        <v>0</v>
      </c>
      <c r="K10" s="82" t="b">
        <v>0</v>
      </c>
      <c r="L10" s="82" t="b">
        <v>0</v>
      </c>
    </row>
    <row r="11" spans="1:12" ht="15">
      <c r="A11" s="84" t="s">
        <v>874</v>
      </c>
      <c r="B11" s="103" t="s">
        <v>848</v>
      </c>
      <c r="C11" s="82">
        <v>6</v>
      </c>
      <c r="D11" s="105">
        <v>0.0063001960462499215</v>
      </c>
      <c r="E11" s="105">
        <v>2.009908288660249</v>
      </c>
      <c r="F11" s="82" t="s">
        <v>1224</v>
      </c>
      <c r="G11" s="82" t="b">
        <v>0</v>
      </c>
      <c r="H11" s="82" t="b">
        <v>0</v>
      </c>
      <c r="I11" s="82" t="b">
        <v>0</v>
      </c>
      <c r="J11" s="82" t="b">
        <v>0</v>
      </c>
      <c r="K11" s="82" t="b">
        <v>0</v>
      </c>
      <c r="L11" s="82" t="b">
        <v>0</v>
      </c>
    </row>
    <row r="12" spans="1:12" ht="15">
      <c r="A12" s="84" t="s">
        <v>848</v>
      </c>
      <c r="B12" s="103" t="s">
        <v>875</v>
      </c>
      <c r="C12" s="82">
        <v>6</v>
      </c>
      <c r="D12" s="105">
        <v>0.0063001960462499215</v>
      </c>
      <c r="E12" s="105">
        <v>2.009908288660249</v>
      </c>
      <c r="F12" s="82" t="s">
        <v>1224</v>
      </c>
      <c r="G12" s="82" t="b">
        <v>0</v>
      </c>
      <c r="H12" s="82" t="b">
        <v>0</v>
      </c>
      <c r="I12" s="82" t="b">
        <v>0</v>
      </c>
      <c r="J12" s="82" t="b">
        <v>1</v>
      </c>
      <c r="K12" s="82" t="b">
        <v>0</v>
      </c>
      <c r="L12" s="82" t="b">
        <v>0</v>
      </c>
    </row>
    <row r="13" spans="1:12" ht="15">
      <c r="A13" s="84" t="s">
        <v>875</v>
      </c>
      <c r="B13" s="103" t="s">
        <v>857</v>
      </c>
      <c r="C13" s="82">
        <v>6</v>
      </c>
      <c r="D13" s="105">
        <v>0.0063001960462499215</v>
      </c>
      <c r="E13" s="105">
        <v>2.220761653975142</v>
      </c>
      <c r="F13" s="82" t="s">
        <v>1224</v>
      </c>
      <c r="G13" s="82" t="b">
        <v>1</v>
      </c>
      <c r="H13" s="82" t="b">
        <v>0</v>
      </c>
      <c r="I13" s="82" t="b">
        <v>0</v>
      </c>
      <c r="J13" s="82" t="b">
        <v>0</v>
      </c>
      <c r="K13" s="82" t="b">
        <v>0</v>
      </c>
      <c r="L13" s="82" t="b">
        <v>0</v>
      </c>
    </row>
    <row r="14" spans="1:12" ht="15">
      <c r="A14" s="84" t="s">
        <v>850</v>
      </c>
      <c r="B14" s="103" t="s">
        <v>845</v>
      </c>
      <c r="C14" s="82">
        <v>6</v>
      </c>
      <c r="D14" s="105">
        <v>0.0063001960462499215</v>
      </c>
      <c r="E14" s="105">
        <v>1.8228216453031045</v>
      </c>
      <c r="F14" s="82" t="s">
        <v>1224</v>
      </c>
      <c r="G14" s="82" t="b">
        <v>0</v>
      </c>
      <c r="H14" s="82" t="b">
        <v>0</v>
      </c>
      <c r="I14" s="82" t="b">
        <v>0</v>
      </c>
      <c r="J14" s="82" t="b">
        <v>0</v>
      </c>
      <c r="K14" s="82" t="b">
        <v>0</v>
      </c>
      <c r="L14" s="82" t="b">
        <v>0</v>
      </c>
    </row>
    <row r="15" spans="1:12" ht="15">
      <c r="A15" s="84" t="s">
        <v>852</v>
      </c>
      <c r="B15" s="103" t="s">
        <v>867</v>
      </c>
      <c r="C15" s="82">
        <v>6</v>
      </c>
      <c r="D15" s="105">
        <v>0.0063001960462499215</v>
      </c>
      <c r="E15" s="105">
        <v>2.0569048513364727</v>
      </c>
      <c r="F15" s="82" t="s">
        <v>1224</v>
      </c>
      <c r="G15" s="82" t="b">
        <v>0</v>
      </c>
      <c r="H15" s="82" t="b">
        <v>0</v>
      </c>
      <c r="I15" s="82" t="b">
        <v>0</v>
      </c>
      <c r="J15" s="82" t="b">
        <v>0</v>
      </c>
      <c r="K15" s="82" t="b">
        <v>0</v>
      </c>
      <c r="L15" s="82" t="b">
        <v>0</v>
      </c>
    </row>
    <row r="16" spans="1:12" ht="15">
      <c r="A16" s="84" t="s">
        <v>843</v>
      </c>
      <c r="B16" s="103" t="s">
        <v>882</v>
      </c>
      <c r="C16" s="82">
        <v>6</v>
      </c>
      <c r="D16" s="105">
        <v>0.0063001960462499215</v>
      </c>
      <c r="E16" s="105">
        <v>1.4803989644808984</v>
      </c>
      <c r="F16" s="82" t="s">
        <v>1224</v>
      </c>
      <c r="G16" s="82" t="b">
        <v>0</v>
      </c>
      <c r="H16" s="82" t="b">
        <v>0</v>
      </c>
      <c r="I16" s="82" t="b">
        <v>0</v>
      </c>
      <c r="J16" s="82" t="b">
        <v>0</v>
      </c>
      <c r="K16" s="82" t="b">
        <v>1</v>
      </c>
      <c r="L16" s="82" t="b">
        <v>0</v>
      </c>
    </row>
    <row r="17" spans="1:12" ht="15">
      <c r="A17" s="84" t="s">
        <v>886</v>
      </c>
      <c r="B17" s="103" t="s">
        <v>887</v>
      </c>
      <c r="C17" s="82">
        <v>5</v>
      </c>
      <c r="D17" s="105">
        <v>0.005490689635689105</v>
      </c>
      <c r="E17" s="105">
        <v>2.424881636631067</v>
      </c>
      <c r="F17" s="82" t="s">
        <v>1224</v>
      </c>
      <c r="G17" s="82" t="b">
        <v>0</v>
      </c>
      <c r="H17" s="82" t="b">
        <v>0</v>
      </c>
      <c r="I17" s="82" t="b">
        <v>0</v>
      </c>
      <c r="J17" s="82" t="b">
        <v>0</v>
      </c>
      <c r="K17" s="82" t="b">
        <v>0</v>
      </c>
      <c r="L17" s="82" t="b">
        <v>0</v>
      </c>
    </row>
    <row r="18" spans="1:12" ht="15">
      <c r="A18" s="84" t="s">
        <v>887</v>
      </c>
      <c r="B18" s="103" t="s">
        <v>888</v>
      </c>
      <c r="C18" s="82">
        <v>5</v>
      </c>
      <c r="D18" s="105">
        <v>0.005490689635689105</v>
      </c>
      <c r="E18" s="105">
        <v>2.424881636631067</v>
      </c>
      <c r="F18" s="82" t="s">
        <v>1224</v>
      </c>
      <c r="G18" s="82" t="b">
        <v>0</v>
      </c>
      <c r="H18" s="82" t="b">
        <v>0</v>
      </c>
      <c r="I18" s="82" t="b">
        <v>0</v>
      </c>
      <c r="J18" s="82" t="b">
        <v>0</v>
      </c>
      <c r="K18" s="82" t="b">
        <v>0</v>
      </c>
      <c r="L18" s="82" t="b">
        <v>0</v>
      </c>
    </row>
    <row r="19" spans="1:12" ht="15">
      <c r="A19" s="84" t="s">
        <v>888</v>
      </c>
      <c r="B19" s="103" t="s">
        <v>870</v>
      </c>
      <c r="C19" s="82">
        <v>5</v>
      </c>
      <c r="D19" s="105">
        <v>0.005490689635689105</v>
      </c>
      <c r="E19" s="105">
        <v>2.345700390583442</v>
      </c>
      <c r="F19" s="82" t="s">
        <v>1224</v>
      </c>
      <c r="G19" s="82" t="b">
        <v>0</v>
      </c>
      <c r="H19" s="82" t="b">
        <v>0</v>
      </c>
      <c r="I19" s="82" t="b">
        <v>0</v>
      </c>
      <c r="J19" s="82" t="b">
        <v>0</v>
      </c>
      <c r="K19" s="82" t="b">
        <v>0</v>
      </c>
      <c r="L19" s="82" t="b">
        <v>0</v>
      </c>
    </row>
    <row r="20" spans="1:12" ht="15">
      <c r="A20" s="84" t="s">
        <v>870</v>
      </c>
      <c r="B20" s="103" t="s">
        <v>889</v>
      </c>
      <c r="C20" s="82">
        <v>5</v>
      </c>
      <c r="D20" s="105">
        <v>0.005490689635689105</v>
      </c>
      <c r="E20" s="105">
        <v>2.345700390583442</v>
      </c>
      <c r="F20" s="82" t="s">
        <v>1224</v>
      </c>
      <c r="G20" s="82" t="b">
        <v>0</v>
      </c>
      <c r="H20" s="82" t="b">
        <v>0</v>
      </c>
      <c r="I20" s="82" t="b">
        <v>0</v>
      </c>
      <c r="J20" s="82" t="b">
        <v>0</v>
      </c>
      <c r="K20" s="82" t="b">
        <v>0</v>
      </c>
      <c r="L20" s="82" t="b">
        <v>0</v>
      </c>
    </row>
    <row r="21" spans="1:12" ht="15">
      <c r="A21" s="84" t="s">
        <v>889</v>
      </c>
      <c r="B21" s="103" t="s">
        <v>843</v>
      </c>
      <c r="C21" s="82">
        <v>5</v>
      </c>
      <c r="D21" s="105">
        <v>0.005490689635689105</v>
      </c>
      <c r="E21" s="105">
        <v>1.26052878084663</v>
      </c>
      <c r="F21" s="82" t="s">
        <v>1224</v>
      </c>
      <c r="G21" s="82" t="b">
        <v>0</v>
      </c>
      <c r="H21" s="82" t="b">
        <v>0</v>
      </c>
      <c r="I21" s="82" t="b">
        <v>0</v>
      </c>
      <c r="J21" s="82" t="b">
        <v>0</v>
      </c>
      <c r="K21" s="82" t="b">
        <v>0</v>
      </c>
      <c r="L21" s="82" t="b">
        <v>0</v>
      </c>
    </row>
    <row r="22" spans="1:12" ht="15">
      <c r="A22" s="84" t="s">
        <v>843</v>
      </c>
      <c r="B22" s="103" t="s">
        <v>864</v>
      </c>
      <c r="C22" s="82">
        <v>5</v>
      </c>
      <c r="D22" s="105">
        <v>0.005490689635689105</v>
      </c>
      <c r="E22" s="105">
        <v>1.3342709288026604</v>
      </c>
      <c r="F22" s="82" t="s">
        <v>1224</v>
      </c>
      <c r="G22" s="82" t="b">
        <v>0</v>
      </c>
      <c r="H22" s="82" t="b">
        <v>0</v>
      </c>
      <c r="I22" s="82" t="b">
        <v>0</v>
      </c>
      <c r="J22" s="82" t="b">
        <v>0</v>
      </c>
      <c r="K22" s="82" t="b">
        <v>0</v>
      </c>
      <c r="L22" s="82" t="b">
        <v>0</v>
      </c>
    </row>
    <row r="23" spans="1:12" ht="15">
      <c r="A23" s="84" t="s">
        <v>864</v>
      </c>
      <c r="B23" s="103" t="s">
        <v>890</v>
      </c>
      <c r="C23" s="82">
        <v>5</v>
      </c>
      <c r="D23" s="105">
        <v>0.005490689635689105</v>
      </c>
      <c r="E23" s="105">
        <v>2.278753600952829</v>
      </c>
      <c r="F23" s="82" t="s">
        <v>1224</v>
      </c>
      <c r="G23" s="82" t="b">
        <v>0</v>
      </c>
      <c r="H23" s="82" t="b">
        <v>0</v>
      </c>
      <c r="I23" s="82" t="b">
        <v>0</v>
      </c>
      <c r="J23" s="82" t="b">
        <v>0</v>
      </c>
      <c r="K23" s="82" t="b">
        <v>0</v>
      </c>
      <c r="L23" s="82" t="b">
        <v>0</v>
      </c>
    </row>
    <row r="24" spans="1:12" ht="15">
      <c r="A24" s="84" t="s">
        <v>893</v>
      </c>
      <c r="B24" s="103" t="s">
        <v>865</v>
      </c>
      <c r="C24" s="82">
        <v>5</v>
      </c>
      <c r="D24" s="105">
        <v>0.005785069991120624</v>
      </c>
      <c r="E24" s="105">
        <v>2.345700390583442</v>
      </c>
      <c r="F24" s="82" t="s">
        <v>1224</v>
      </c>
      <c r="G24" s="82" t="b">
        <v>0</v>
      </c>
      <c r="H24" s="82" t="b">
        <v>0</v>
      </c>
      <c r="I24" s="82" t="b">
        <v>0</v>
      </c>
      <c r="J24" s="82" t="b">
        <v>0</v>
      </c>
      <c r="K24" s="82" t="b">
        <v>0</v>
      </c>
      <c r="L24" s="82" t="b">
        <v>0</v>
      </c>
    </row>
    <row r="25" spans="1:12" ht="15">
      <c r="A25" s="84" t="s">
        <v>865</v>
      </c>
      <c r="B25" s="103" t="s">
        <v>894</v>
      </c>
      <c r="C25" s="82">
        <v>5</v>
      </c>
      <c r="D25" s="105">
        <v>0.005785069991120624</v>
      </c>
      <c r="E25" s="105">
        <v>2.345700390583442</v>
      </c>
      <c r="F25" s="82" t="s">
        <v>1224</v>
      </c>
      <c r="G25" s="82" t="b">
        <v>0</v>
      </c>
      <c r="H25" s="82" t="b">
        <v>0</v>
      </c>
      <c r="I25" s="82" t="b">
        <v>0</v>
      </c>
      <c r="J25" s="82" t="b">
        <v>0</v>
      </c>
      <c r="K25" s="82" t="b">
        <v>0</v>
      </c>
      <c r="L25" s="82" t="b">
        <v>0</v>
      </c>
    </row>
    <row r="26" spans="1:12" ht="15">
      <c r="A26" s="84" t="s">
        <v>859</v>
      </c>
      <c r="B26" s="103" t="s">
        <v>895</v>
      </c>
      <c r="C26" s="82">
        <v>5</v>
      </c>
      <c r="D26" s="105">
        <v>0.005490689635689105</v>
      </c>
      <c r="E26" s="105">
        <v>2.345700390583442</v>
      </c>
      <c r="F26" s="82" t="s">
        <v>1224</v>
      </c>
      <c r="G26" s="82" t="b">
        <v>0</v>
      </c>
      <c r="H26" s="82" t="b">
        <v>0</v>
      </c>
      <c r="I26" s="82" t="b">
        <v>0</v>
      </c>
      <c r="J26" s="82" t="b">
        <v>0</v>
      </c>
      <c r="K26" s="82" t="b">
        <v>0</v>
      </c>
      <c r="L26" s="82" t="b">
        <v>0</v>
      </c>
    </row>
    <row r="27" spans="1:12" ht="15">
      <c r="A27" s="84" t="s">
        <v>900</v>
      </c>
      <c r="B27" s="103" t="s">
        <v>901</v>
      </c>
      <c r="C27" s="82">
        <v>5</v>
      </c>
      <c r="D27" s="105">
        <v>0.005490689635689105</v>
      </c>
      <c r="E27" s="105">
        <v>2.424881636631067</v>
      </c>
      <c r="F27" s="82" t="s">
        <v>1224</v>
      </c>
      <c r="G27" s="82" t="b">
        <v>1</v>
      </c>
      <c r="H27" s="82" t="b">
        <v>0</v>
      </c>
      <c r="I27" s="82" t="b">
        <v>0</v>
      </c>
      <c r="J27" s="82" t="b">
        <v>0</v>
      </c>
      <c r="K27" s="82" t="b">
        <v>0</v>
      </c>
      <c r="L27" s="82" t="b">
        <v>0</v>
      </c>
    </row>
    <row r="28" spans="1:12" ht="15">
      <c r="A28" s="84" t="s">
        <v>901</v>
      </c>
      <c r="B28" s="103" t="s">
        <v>902</v>
      </c>
      <c r="C28" s="82">
        <v>5</v>
      </c>
      <c r="D28" s="105">
        <v>0.005490689635689105</v>
      </c>
      <c r="E28" s="105">
        <v>2.424881636631067</v>
      </c>
      <c r="F28" s="82" t="s">
        <v>1224</v>
      </c>
      <c r="G28" s="82" t="b">
        <v>0</v>
      </c>
      <c r="H28" s="82" t="b">
        <v>0</v>
      </c>
      <c r="I28" s="82" t="b">
        <v>0</v>
      </c>
      <c r="J28" s="82" t="b">
        <v>0</v>
      </c>
      <c r="K28" s="82" t="b">
        <v>0</v>
      </c>
      <c r="L28" s="82" t="b">
        <v>0</v>
      </c>
    </row>
    <row r="29" spans="1:12" ht="15">
      <c r="A29" s="84" t="s">
        <v>902</v>
      </c>
      <c r="B29" s="103" t="s">
        <v>903</v>
      </c>
      <c r="C29" s="82">
        <v>5</v>
      </c>
      <c r="D29" s="105">
        <v>0.005490689635689105</v>
      </c>
      <c r="E29" s="105">
        <v>2.424881636631067</v>
      </c>
      <c r="F29" s="82" t="s">
        <v>1224</v>
      </c>
      <c r="G29" s="82" t="b">
        <v>0</v>
      </c>
      <c r="H29" s="82" t="b">
        <v>0</v>
      </c>
      <c r="I29" s="82" t="b">
        <v>0</v>
      </c>
      <c r="J29" s="82" t="b">
        <v>0</v>
      </c>
      <c r="K29" s="82" t="b">
        <v>0</v>
      </c>
      <c r="L29" s="82" t="b">
        <v>0</v>
      </c>
    </row>
    <row r="30" spans="1:12" ht="15">
      <c r="A30" s="84" t="s">
        <v>907</v>
      </c>
      <c r="B30" s="103" t="s">
        <v>844</v>
      </c>
      <c r="C30" s="82">
        <v>4</v>
      </c>
      <c r="D30" s="105">
        <v>0.004628055992896499</v>
      </c>
      <c r="E30" s="105">
        <v>1.4903831853874991</v>
      </c>
      <c r="F30" s="82" t="s">
        <v>1224</v>
      </c>
      <c r="G30" s="82" t="b">
        <v>0</v>
      </c>
      <c r="H30" s="82" t="b">
        <v>0</v>
      </c>
      <c r="I30" s="82" t="b">
        <v>0</v>
      </c>
      <c r="J30" s="82" t="b">
        <v>0</v>
      </c>
      <c r="K30" s="82" t="b">
        <v>0</v>
      </c>
      <c r="L30" s="82" t="b">
        <v>0</v>
      </c>
    </row>
    <row r="31" spans="1:12" ht="15">
      <c r="A31" s="84" t="s">
        <v>855</v>
      </c>
      <c r="B31" s="103" t="s">
        <v>858</v>
      </c>
      <c r="C31" s="82">
        <v>4</v>
      </c>
      <c r="D31" s="105">
        <v>0.004628055992896499</v>
      </c>
      <c r="E31" s="105">
        <v>1.9777236052888478</v>
      </c>
      <c r="F31" s="82" t="s">
        <v>1224</v>
      </c>
      <c r="G31" s="82" t="b">
        <v>0</v>
      </c>
      <c r="H31" s="82" t="b">
        <v>0</v>
      </c>
      <c r="I31" s="82" t="b">
        <v>0</v>
      </c>
      <c r="J31" s="82" t="b">
        <v>0</v>
      </c>
      <c r="K31" s="82" t="b">
        <v>0</v>
      </c>
      <c r="L31" s="82" t="b">
        <v>0</v>
      </c>
    </row>
    <row r="32" spans="1:12" ht="15">
      <c r="A32" s="84" t="s">
        <v>858</v>
      </c>
      <c r="B32" s="103" t="s">
        <v>910</v>
      </c>
      <c r="C32" s="82">
        <v>4</v>
      </c>
      <c r="D32" s="105">
        <v>0.004628055992896499</v>
      </c>
      <c r="E32" s="105">
        <v>2.278753600952829</v>
      </c>
      <c r="F32" s="82" t="s">
        <v>1224</v>
      </c>
      <c r="G32" s="82" t="b">
        <v>0</v>
      </c>
      <c r="H32" s="82" t="b">
        <v>0</v>
      </c>
      <c r="I32" s="82" t="b">
        <v>0</v>
      </c>
      <c r="J32" s="82" t="b">
        <v>0</v>
      </c>
      <c r="K32" s="82" t="b">
        <v>0</v>
      </c>
      <c r="L32" s="82" t="b">
        <v>0</v>
      </c>
    </row>
    <row r="33" spans="1:12" ht="15">
      <c r="A33" s="84" t="s">
        <v>910</v>
      </c>
      <c r="B33" s="103" t="s">
        <v>911</v>
      </c>
      <c r="C33" s="82">
        <v>4</v>
      </c>
      <c r="D33" s="105">
        <v>0.004628055992896499</v>
      </c>
      <c r="E33" s="105">
        <v>2.5217916496391233</v>
      </c>
      <c r="F33" s="82" t="s">
        <v>1224</v>
      </c>
      <c r="G33" s="82" t="b">
        <v>0</v>
      </c>
      <c r="H33" s="82" t="b">
        <v>0</v>
      </c>
      <c r="I33" s="82" t="b">
        <v>0</v>
      </c>
      <c r="J33" s="82" t="b">
        <v>0</v>
      </c>
      <c r="K33" s="82" t="b">
        <v>0</v>
      </c>
      <c r="L33" s="82" t="b">
        <v>0</v>
      </c>
    </row>
    <row r="34" spans="1:12" ht="15">
      <c r="A34" s="84" t="s">
        <v>911</v>
      </c>
      <c r="B34" s="103" t="s">
        <v>880</v>
      </c>
      <c r="C34" s="82">
        <v>4</v>
      </c>
      <c r="D34" s="105">
        <v>0.004628055992896499</v>
      </c>
      <c r="E34" s="105">
        <v>2.345700390583442</v>
      </c>
      <c r="F34" s="82" t="s">
        <v>1224</v>
      </c>
      <c r="G34" s="82" t="b">
        <v>0</v>
      </c>
      <c r="H34" s="82" t="b">
        <v>0</v>
      </c>
      <c r="I34" s="82" t="b">
        <v>0</v>
      </c>
      <c r="J34" s="82" t="b">
        <v>0</v>
      </c>
      <c r="K34" s="82" t="b">
        <v>0</v>
      </c>
      <c r="L34" s="82" t="b">
        <v>0</v>
      </c>
    </row>
    <row r="35" spans="1:12" ht="15">
      <c r="A35" s="84" t="s">
        <v>912</v>
      </c>
      <c r="B35" s="103" t="s">
        <v>913</v>
      </c>
      <c r="C35" s="82">
        <v>4</v>
      </c>
      <c r="D35" s="105">
        <v>0.004628055992896499</v>
      </c>
      <c r="E35" s="105">
        <v>2.5217916496391233</v>
      </c>
      <c r="F35" s="82" t="s">
        <v>1224</v>
      </c>
      <c r="G35" s="82" t="b">
        <v>0</v>
      </c>
      <c r="H35" s="82" t="b">
        <v>0</v>
      </c>
      <c r="I35" s="82" t="b">
        <v>0</v>
      </c>
      <c r="J35" s="82" t="b">
        <v>0</v>
      </c>
      <c r="K35" s="82" t="b">
        <v>0</v>
      </c>
      <c r="L35" s="82" t="b">
        <v>0</v>
      </c>
    </row>
    <row r="36" spans="1:12" ht="15">
      <c r="A36" s="84" t="s">
        <v>913</v>
      </c>
      <c r="B36" s="103" t="s">
        <v>914</v>
      </c>
      <c r="C36" s="82">
        <v>4</v>
      </c>
      <c r="D36" s="105">
        <v>0.004628055992896499</v>
      </c>
      <c r="E36" s="105">
        <v>2.5217916496391233</v>
      </c>
      <c r="F36" s="82" t="s">
        <v>1224</v>
      </c>
      <c r="G36" s="82" t="b">
        <v>0</v>
      </c>
      <c r="H36" s="82" t="b">
        <v>0</v>
      </c>
      <c r="I36" s="82" t="b">
        <v>0</v>
      </c>
      <c r="J36" s="82" t="b">
        <v>0</v>
      </c>
      <c r="K36" s="82" t="b">
        <v>0</v>
      </c>
      <c r="L36" s="82" t="b">
        <v>0</v>
      </c>
    </row>
    <row r="37" spans="1:12" ht="15">
      <c r="A37" s="84" t="s">
        <v>914</v>
      </c>
      <c r="B37" s="103" t="s">
        <v>915</v>
      </c>
      <c r="C37" s="82">
        <v>4</v>
      </c>
      <c r="D37" s="105">
        <v>0.004628055992896499</v>
      </c>
      <c r="E37" s="105">
        <v>2.5217916496391233</v>
      </c>
      <c r="F37" s="82" t="s">
        <v>1224</v>
      </c>
      <c r="G37" s="82" t="b">
        <v>0</v>
      </c>
      <c r="H37" s="82" t="b">
        <v>0</v>
      </c>
      <c r="I37" s="82" t="b">
        <v>0</v>
      </c>
      <c r="J37" s="82" t="b">
        <v>0</v>
      </c>
      <c r="K37" s="82" t="b">
        <v>0</v>
      </c>
      <c r="L37" s="82" t="b">
        <v>0</v>
      </c>
    </row>
    <row r="38" spans="1:12" ht="15">
      <c r="A38" s="84" t="s">
        <v>915</v>
      </c>
      <c r="B38" s="103" t="s">
        <v>860</v>
      </c>
      <c r="C38" s="82">
        <v>4</v>
      </c>
      <c r="D38" s="105">
        <v>0.004628055992896499</v>
      </c>
      <c r="E38" s="105">
        <v>2.220761653975142</v>
      </c>
      <c r="F38" s="82" t="s">
        <v>1224</v>
      </c>
      <c r="G38" s="82" t="b">
        <v>0</v>
      </c>
      <c r="H38" s="82" t="b">
        <v>0</v>
      </c>
      <c r="I38" s="82" t="b">
        <v>0</v>
      </c>
      <c r="J38" s="82" t="b">
        <v>0</v>
      </c>
      <c r="K38" s="82" t="b">
        <v>0</v>
      </c>
      <c r="L38" s="82" t="b">
        <v>0</v>
      </c>
    </row>
    <row r="39" spans="1:12" ht="15">
      <c r="A39" s="84" t="s">
        <v>860</v>
      </c>
      <c r="B39" s="103" t="s">
        <v>916</v>
      </c>
      <c r="C39" s="82">
        <v>4</v>
      </c>
      <c r="D39" s="105">
        <v>0.004628055992896499</v>
      </c>
      <c r="E39" s="105">
        <v>2.220761653975142</v>
      </c>
      <c r="F39" s="82" t="s">
        <v>1224</v>
      </c>
      <c r="G39" s="82" t="b">
        <v>0</v>
      </c>
      <c r="H39" s="82" t="b">
        <v>0</v>
      </c>
      <c r="I39" s="82" t="b">
        <v>0</v>
      </c>
      <c r="J39" s="82" t="b">
        <v>0</v>
      </c>
      <c r="K39" s="82" t="b">
        <v>0</v>
      </c>
      <c r="L39" s="82" t="b">
        <v>0</v>
      </c>
    </row>
    <row r="40" spans="1:12" ht="15">
      <c r="A40" s="84" t="s">
        <v>916</v>
      </c>
      <c r="B40" s="103" t="s">
        <v>917</v>
      </c>
      <c r="C40" s="82">
        <v>4</v>
      </c>
      <c r="D40" s="105">
        <v>0.004628055992896499</v>
      </c>
      <c r="E40" s="105">
        <v>2.5217916496391233</v>
      </c>
      <c r="F40" s="82" t="s">
        <v>1224</v>
      </c>
      <c r="G40" s="82" t="b">
        <v>0</v>
      </c>
      <c r="H40" s="82" t="b">
        <v>0</v>
      </c>
      <c r="I40" s="82" t="b">
        <v>0</v>
      </c>
      <c r="J40" s="82" t="b">
        <v>0</v>
      </c>
      <c r="K40" s="82" t="b">
        <v>0</v>
      </c>
      <c r="L40" s="82" t="b">
        <v>0</v>
      </c>
    </row>
    <row r="41" spans="1:12" ht="15">
      <c r="A41" s="84" t="s">
        <v>917</v>
      </c>
      <c r="B41" s="103" t="s">
        <v>848</v>
      </c>
      <c r="C41" s="82">
        <v>4</v>
      </c>
      <c r="D41" s="105">
        <v>0.004628055992896499</v>
      </c>
      <c r="E41" s="105">
        <v>2.009908288660249</v>
      </c>
      <c r="F41" s="82" t="s">
        <v>1224</v>
      </c>
      <c r="G41" s="82" t="b">
        <v>0</v>
      </c>
      <c r="H41" s="82" t="b">
        <v>0</v>
      </c>
      <c r="I41" s="82" t="b">
        <v>0</v>
      </c>
      <c r="J41" s="82" t="b">
        <v>0</v>
      </c>
      <c r="K41" s="82" t="b">
        <v>0</v>
      </c>
      <c r="L41" s="82" t="b">
        <v>0</v>
      </c>
    </row>
    <row r="42" spans="1:12" ht="15">
      <c r="A42" s="84" t="s">
        <v>848</v>
      </c>
      <c r="B42" s="103" t="s">
        <v>881</v>
      </c>
      <c r="C42" s="82">
        <v>4</v>
      </c>
      <c r="D42" s="105">
        <v>0.004628055992896499</v>
      </c>
      <c r="E42" s="105">
        <v>1.8338170296045677</v>
      </c>
      <c r="F42" s="82" t="s">
        <v>1224</v>
      </c>
      <c r="G42" s="82" t="b">
        <v>0</v>
      </c>
      <c r="H42" s="82" t="b">
        <v>0</v>
      </c>
      <c r="I42" s="82" t="b">
        <v>0</v>
      </c>
      <c r="J42" s="82" t="b">
        <v>0</v>
      </c>
      <c r="K42" s="82" t="b">
        <v>0</v>
      </c>
      <c r="L42" s="82" t="b">
        <v>0</v>
      </c>
    </row>
    <row r="43" spans="1:12" ht="15">
      <c r="A43" s="84" t="s">
        <v>920</v>
      </c>
      <c r="B43" s="103" t="s">
        <v>852</v>
      </c>
      <c r="C43" s="82">
        <v>4</v>
      </c>
      <c r="D43" s="105">
        <v>0.004628055992896499</v>
      </c>
      <c r="E43" s="105">
        <v>2.220761653975142</v>
      </c>
      <c r="F43" s="82" t="s">
        <v>1224</v>
      </c>
      <c r="G43" s="82" t="b">
        <v>0</v>
      </c>
      <c r="H43" s="82" t="b">
        <v>0</v>
      </c>
      <c r="I43" s="82" t="b">
        <v>0</v>
      </c>
      <c r="J43" s="82" t="b">
        <v>0</v>
      </c>
      <c r="K43" s="82" t="b">
        <v>0</v>
      </c>
      <c r="L43" s="82" t="b">
        <v>0</v>
      </c>
    </row>
    <row r="44" spans="1:12" ht="15">
      <c r="A44" s="84" t="s">
        <v>852</v>
      </c>
      <c r="B44" s="103" t="s">
        <v>921</v>
      </c>
      <c r="C44" s="82">
        <v>4</v>
      </c>
      <c r="D44" s="105">
        <v>0.004628055992896499</v>
      </c>
      <c r="E44" s="105">
        <v>2.123851640967086</v>
      </c>
      <c r="F44" s="82" t="s">
        <v>1224</v>
      </c>
      <c r="G44" s="82" t="b">
        <v>0</v>
      </c>
      <c r="H44" s="82" t="b">
        <v>0</v>
      </c>
      <c r="I44" s="82" t="b">
        <v>0</v>
      </c>
      <c r="J44" s="82" t="b">
        <v>0</v>
      </c>
      <c r="K44" s="82" t="b">
        <v>0</v>
      </c>
      <c r="L44" s="82" t="b">
        <v>0</v>
      </c>
    </row>
    <row r="45" spans="1:12" ht="15">
      <c r="A45" s="84" t="s">
        <v>921</v>
      </c>
      <c r="B45" s="103" t="s">
        <v>922</v>
      </c>
      <c r="C45" s="82">
        <v>4</v>
      </c>
      <c r="D45" s="105">
        <v>0.004628055992896499</v>
      </c>
      <c r="E45" s="105">
        <v>2.5217916496391233</v>
      </c>
      <c r="F45" s="82" t="s">
        <v>1224</v>
      </c>
      <c r="G45" s="82" t="b">
        <v>0</v>
      </c>
      <c r="H45" s="82" t="b">
        <v>0</v>
      </c>
      <c r="I45" s="82" t="b">
        <v>0</v>
      </c>
      <c r="J45" s="82" t="b">
        <v>0</v>
      </c>
      <c r="K45" s="82" t="b">
        <v>0</v>
      </c>
      <c r="L45" s="82" t="b">
        <v>0</v>
      </c>
    </row>
    <row r="46" spans="1:12" ht="15">
      <c r="A46" s="84" t="s">
        <v>922</v>
      </c>
      <c r="B46" s="103" t="s">
        <v>852</v>
      </c>
      <c r="C46" s="82">
        <v>4</v>
      </c>
      <c r="D46" s="105">
        <v>0.004628055992896499</v>
      </c>
      <c r="E46" s="105">
        <v>2.220761653975142</v>
      </c>
      <c r="F46" s="82" t="s">
        <v>1224</v>
      </c>
      <c r="G46" s="82" t="b">
        <v>0</v>
      </c>
      <c r="H46" s="82" t="b">
        <v>0</v>
      </c>
      <c r="I46" s="82" t="b">
        <v>0</v>
      </c>
      <c r="J46" s="82" t="b">
        <v>0</v>
      </c>
      <c r="K46" s="82" t="b">
        <v>0</v>
      </c>
      <c r="L46" s="82" t="b">
        <v>0</v>
      </c>
    </row>
    <row r="47" spans="1:12" ht="15">
      <c r="A47" s="84" t="s">
        <v>924</v>
      </c>
      <c r="B47" s="103" t="s">
        <v>925</v>
      </c>
      <c r="C47" s="82">
        <v>4</v>
      </c>
      <c r="D47" s="105">
        <v>0.004628055992896499</v>
      </c>
      <c r="E47" s="105">
        <v>2.5217916496391233</v>
      </c>
      <c r="F47" s="82" t="s">
        <v>1224</v>
      </c>
      <c r="G47" s="82" t="b">
        <v>0</v>
      </c>
      <c r="H47" s="82" t="b">
        <v>0</v>
      </c>
      <c r="I47" s="82" t="b">
        <v>0</v>
      </c>
      <c r="J47" s="82" t="b">
        <v>0</v>
      </c>
      <c r="K47" s="82" t="b">
        <v>0</v>
      </c>
      <c r="L47" s="82" t="b">
        <v>0</v>
      </c>
    </row>
    <row r="48" spans="1:12" ht="15">
      <c r="A48" s="84" t="s">
        <v>925</v>
      </c>
      <c r="B48" s="103" t="s">
        <v>851</v>
      </c>
      <c r="C48" s="82">
        <v>4</v>
      </c>
      <c r="D48" s="105">
        <v>0.004628055992896499</v>
      </c>
      <c r="E48" s="105">
        <v>2.123851640967086</v>
      </c>
      <c r="F48" s="82" t="s">
        <v>1224</v>
      </c>
      <c r="G48" s="82" t="b">
        <v>0</v>
      </c>
      <c r="H48" s="82" t="b">
        <v>0</v>
      </c>
      <c r="I48" s="82" t="b">
        <v>0</v>
      </c>
      <c r="J48" s="82" t="b">
        <v>0</v>
      </c>
      <c r="K48" s="82" t="b">
        <v>0</v>
      </c>
      <c r="L48" s="82" t="b">
        <v>0</v>
      </c>
    </row>
    <row r="49" spans="1:12" ht="15">
      <c r="A49" s="84" t="s">
        <v>851</v>
      </c>
      <c r="B49" s="103" t="s">
        <v>926</v>
      </c>
      <c r="C49" s="82">
        <v>4</v>
      </c>
      <c r="D49" s="105">
        <v>0.004628055992896499</v>
      </c>
      <c r="E49" s="105">
        <v>2.123851640967086</v>
      </c>
      <c r="F49" s="82" t="s">
        <v>1224</v>
      </c>
      <c r="G49" s="82" t="b">
        <v>0</v>
      </c>
      <c r="H49" s="82" t="b">
        <v>0</v>
      </c>
      <c r="I49" s="82" t="b">
        <v>0</v>
      </c>
      <c r="J49" s="82" t="b">
        <v>0</v>
      </c>
      <c r="K49" s="82" t="b">
        <v>0</v>
      </c>
      <c r="L49" s="82" t="b">
        <v>0</v>
      </c>
    </row>
    <row r="50" spans="1:12" ht="15">
      <c r="A50" s="84" t="s">
        <v>926</v>
      </c>
      <c r="B50" s="103" t="s">
        <v>927</v>
      </c>
      <c r="C50" s="82">
        <v>4</v>
      </c>
      <c r="D50" s="105">
        <v>0.004628055992896499</v>
      </c>
      <c r="E50" s="105">
        <v>2.5217916496391233</v>
      </c>
      <c r="F50" s="82" t="s">
        <v>1224</v>
      </c>
      <c r="G50" s="82" t="b">
        <v>0</v>
      </c>
      <c r="H50" s="82" t="b">
        <v>0</v>
      </c>
      <c r="I50" s="82" t="b">
        <v>0</v>
      </c>
      <c r="J50" s="82" t="b">
        <v>0</v>
      </c>
      <c r="K50" s="82" t="b">
        <v>0</v>
      </c>
      <c r="L50" s="82" t="b">
        <v>0</v>
      </c>
    </row>
    <row r="51" spans="1:12" ht="15">
      <c r="A51" s="84" t="s">
        <v>927</v>
      </c>
      <c r="B51" s="103" t="s">
        <v>861</v>
      </c>
      <c r="C51" s="82">
        <v>4</v>
      </c>
      <c r="D51" s="105">
        <v>0.004628055992896499</v>
      </c>
      <c r="E51" s="105">
        <v>2.220761653975142</v>
      </c>
      <c r="F51" s="82" t="s">
        <v>1224</v>
      </c>
      <c r="G51" s="82" t="b">
        <v>0</v>
      </c>
      <c r="H51" s="82" t="b">
        <v>0</v>
      </c>
      <c r="I51" s="82" t="b">
        <v>0</v>
      </c>
      <c r="J51" s="82" t="b">
        <v>0</v>
      </c>
      <c r="K51" s="82" t="b">
        <v>0</v>
      </c>
      <c r="L51" s="82" t="b">
        <v>0</v>
      </c>
    </row>
    <row r="52" spans="1:12" ht="15">
      <c r="A52" s="84" t="s">
        <v>928</v>
      </c>
      <c r="B52" s="103" t="s">
        <v>929</v>
      </c>
      <c r="C52" s="82">
        <v>4</v>
      </c>
      <c r="D52" s="105">
        <v>0.004628055992896499</v>
      </c>
      <c r="E52" s="105">
        <v>2.5217916496391233</v>
      </c>
      <c r="F52" s="82" t="s">
        <v>1224</v>
      </c>
      <c r="G52" s="82" t="b">
        <v>0</v>
      </c>
      <c r="H52" s="82" t="b">
        <v>0</v>
      </c>
      <c r="I52" s="82" t="b">
        <v>0</v>
      </c>
      <c r="J52" s="82" t="b">
        <v>0</v>
      </c>
      <c r="K52" s="82" t="b">
        <v>0</v>
      </c>
      <c r="L52" s="82" t="b">
        <v>0</v>
      </c>
    </row>
    <row r="53" spans="1:12" ht="15">
      <c r="A53" s="84" t="s">
        <v>929</v>
      </c>
      <c r="B53" s="103" t="s">
        <v>898</v>
      </c>
      <c r="C53" s="82">
        <v>4</v>
      </c>
      <c r="D53" s="105">
        <v>0.004628055992896499</v>
      </c>
      <c r="E53" s="105">
        <v>2.424881636631067</v>
      </c>
      <c r="F53" s="82" t="s">
        <v>1224</v>
      </c>
      <c r="G53" s="82" t="b">
        <v>0</v>
      </c>
      <c r="H53" s="82" t="b">
        <v>0</v>
      </c>
      <c r="I53" s="82" t="b">
        <v>0</v>
      </c>
      <c r="J53" s="82" t="b">
        <v>0</v>
      </c>
      <c r="K53" s="82" t="b">
        <v>0</v>
      </c>
      <c r="L53" s="82" t="b">
        <v>0</v>
      </c>
    </row>
    <row r="54" spans="1:12" ht="15">
      <c r="A54" s="84" t="s">
        <v>898</v>
      </c>
      <c r="B54" s="103" t="s">
        <v>843</v>
      </c>
      <c r="C54" s="82">
        <v>4</v>
      </c>
      <c r="D54" s="105">
        <v>0.004628055992896499</v>
      </c>
      <c r="E54" s="105">
        <v>1.1636187678385734</v>
      </c>
      <c r="F54" s="82" t="s">
        <v>1224</v>
      </c>
      <c r="G54" s="82" t="b">
        <v>0</v>
      </c>
      <c r="H54" s="82" t="b">
        <v>0</v>
      </c>
      <c r="I54" s="82" t="b">
        <v>0</v>
      </c>
      <c r="J54" s="82" t="b">
        <v>0</v>
      </c>
      <c r="K54" s="82" t="b">
        <v>0</v>
      </c>
      <c r="L54" s="82" t="b">
        <v>0</v>
      </c>
    </row>
    <row r="55" spans="1:12" ht="15">
      <c r="A55" s="84" t="s">
        <v>932</v>
      </c>
      <c r="B55" s="103" t="s">
        <v>933</v>
      </c>
      <c r="C55" s="82">
        <v>4</v>
      </c>
      <c r="D55" s="105">
        <v>0.005359599117231812</v>
      </c>
      <c r="E55" s="105">
        <v>2.5217916496391233</v>
      </c>
      <c r="F55" s="82" t="s">
        <v>1224</v>
      </c>
      <c r="G55" s="82" t="b">
        <v>0</v>
      </c>
      <c r="H55" s="82" t="b">
        <v>0</v>
      </c>
      <c r="I55" s="82" t="b">
        <v>0</v>
      </c>
      <c r="J55" s="82" t="b">
        <v>0</v>
      </c>
      <c r="K55" s="82" t="b">
        <v>0</v>
      </c>
      <c r="L55" s="82" t="b">
        <v>0</v>
      </c>
    </row>
    <row r="56" spans="1:12" ht="15">
      <c r="A56" s="84" t="s">
        <v>937</v>
      </c>
      <c r="B56" s="103" t="s">
        <v>938</v>
      </c>
      <c r="C56" s="82">
        <v>4</v>
      </c>
      <c r="D56" s="105">
        <v>0.004628055992896499</v>
      </c>
      <c r="E56" s="105">
        <v>2.5217916496391233</v>
      </c>
      <c r="F56" s="82" t="s">
        <v>1224</v>
      </c>
      <c r="G56" s="82" t="b">
        <v>0</v>
      </c>
      <c r="H56" s="82" t="b">
        <v>0</v>
      </c>
      <c r="I56" s="82" t="b">
        <v>0</v>
      </c>
      <c r="J56" s="82" t="b">
        <v>0</v>
      </c>
      <c r="K56" s="82" t="b">
        <v>0</v>
      </c>
      <c r="L56" s="82" t="b">
        <v>0</v>
      </c>
    </row>
    <row r="57" spans="1:12" ht="15">
      <c r="A57" s="84" t="s">
        <v>938</v>
      </c>
      <c r="B57" s="103" t="s">
        <v>939</v>
      </c>
      <c r="C57" s="82">
        <v>4</v>
      </c>
      <c r="D57" s="105">
        <v>0.004628055992896499</v>
      </c>
      <c r="E57" s="105">
        <v>2.5217916496391233</v>
      </c>
      <c r="F57" s="82" t="s">
        <v>1224</v>
      </c>
      <c r="G57" s="82" t="b">
        <v>0</v>
      </c>
      <c r="H57" s="82" t="b">
        <v>0</v>
      </c>
      <c r="I57" s="82" t="b">
        <v>0</v>
      </c>
      <c r="J57" s="82" t="b">
        <v>0</v>
      </c>
      <c r="K57" s="82" t="b">
        <v>1</v>
      </c>
      <c r="L57" s="82" t="b">
        <v>0</v>
      </c>
    </row>
    <row r="58" spans="1:12" ht="15">
      <c r="A58" s="84" t="s">
        <v>940</v>
      </c>
      <c r="B58" s="103" t="s">
        <v>884</v>
      </c>
      <c r="C58" s="82">
        <v>4</v>
      </c>
      <c r="D58" s="105">
        <v>0.004628055992896499</v>
      </c>
      <c r="E58" s="105">
        <v>2.345700390583442</v>
      </c>
      <c r="F58" s="82" t="s">
        <v>1224</v>
      </c>
      <c r="G58" s="82" t="b">
        <v>0</v>
      </c>
      <c r="H58" s="82" t="b">
        <v>1</v>
      </c>
      <c r="I58" s="82" t="b">
        <v>0</v>
      </c>
      <c r="J58" s="82" t="b">
        <v>0</v>
      </c>
      <c r="K58" s="82" t="b">
        <v>1</v>
      </c>
      <c r="L58" s="82" t="b">
        <v>0</v>
      </c>
    </row>
    <row r="59" spans="1:12" ht="15">
      <c r="A59" s="84" t="s">
        <v>884</v>
      </c>
      <c r="B59" s="103" t="s">
        <v>866</v>
      </c>
      <c r="C59" s="82">
        <v>4</v>
      </c>
      <c r="D59" s="105">
        <v>0.004628055992896499</v>
      </c>
      <c r="E59" s="105">
        <v>2.102662341897148</v>
      </c>
      <c r="F59" s="82" t="s">
        <v>1224</v>
      </c>
      <c r="G59" s="82" t="b">
        <v>0</v>
      </c>
      <c r="H59" s="82" t="b">
        <v>1</v>
      </c>
      <c r="I59" s="82" t="b">
        <v>0</v>
      </c>
      <c r="J59" s="82" t="b">
        <v>0</v>
      </c>
      <c r="K59" s="82" t="b">
        <v>0</v>
      </c>
      <c r="L59" s="82" t="b">
        <v>0</v>
      </c>
    </row>
    <row r="60" spans="1:12" ht="15">
      <c r="A60" s="84" t="s">
        <v>866</v>
      </c>
      <c r="B60" s="103" t="s">
        <v>941</v>
      </c>
      <c r="C60" s="82">
        <v>4</v>
      </c>
      <c r="D60" s="105">
        <v>0.004628055992896499</v>
      </c>
      <c r="E60" s="105">
        <v>2.278753600952829</v>
      </c>
      <c r="F60" s="82" t="s">
        <v>1224</v>
      </c>
      <c r="G60" s="82" t="b">
        <v>0</v>
      </c>
      <c r="H60" s="82" t="b">
        <v>0</v>
      </c>
      <c r="I60" s="82" t="b">
        <v>0</v>
      </c>
      <c r="J60" s="82" t="b">
        <v>0</v>
      </c>
      <c r="K60" s="82" t="b">
        <v>0</v>
      </c>
      <c r="L60" s="82" t="b">
        <v>0</v>
      </c>
    </row>
    <row r="61" spans="1:12" ht="15">
      <c r="A61" s="84" t="s">
        <v>941</v>
      </c>
      <c r="B61" s="103" t="s">
        <v>844</v>
      </c>
      <c r="C61" s="82">
        <v>4</v>
      </c>
      <c r="D61" s="105">
        <v>0.004628055992896499</v>
      </c>
      <c r="E61" s="105">
        <v>1.4903831853874991</v>
      </c>
      <c r="F61" s="82" t="s">
        <v>1224</v>
      </c>
      <c r="G61" s="82" t="b">
        <v>0</v>
      </c>
      <c r="H61" s="82" t="b">
        <v>0</v>
      </c>
      <c r="I61" s="82" t="b">
        <v>0</v>
      </c>
      <c r="J61" s="82" t="b">
        <v>0</v>
      </c>
      <c r="K61" s="82" t="b">
        <v>0</v>
      </c>
      <c r="L61" s="82" t="b">
        <v>0</v>
      </c>
    </row>
    <row r="62" spans="1:12" ht="15">
      <c r="A62" s="84" t="s">
        <v>942</v>
      </c>
      <c r="B62" s="103" t="s">
        <v>943</v>
      </c>
      <c r="C62" s="82">
        <v>4</v>
      </c>
      <c r="D62" s="105">
        <v>0.004628055992896499</v>
      </c>
      <c r="E62" s="105">
        <v>2.5217916496391233</v>
      </c>
      <c r="F62" s="82" t="s">
        <v>1224</v>
      </c>
      <c r="G62" s="82" t="b">
        <v>0</v>
      </c>
      <c r="H62" s="82" t="b">
        <v>1</v>
      </c>
      <c r="I62" s="82" t="b">
        <v>0</v>
      </c>
      <c r="J62" s="82" t="b">
        <v>0</v>
      </c>
      <c r="K62" s="82" t="b">
        <v>0</v>
      </c>
      <c r="L62" s="82" t="b">
        <v>0</v>
      </c>
    </row>
    <row r="63" spans="1:12" ht="15">
      <c r="A63" s="84" t="s">
        <v>943</v>
      </c>
      <c r="B63" s="103" t="s">
        <v>868</v>
      </c>
      <c r="C63" s="82">
        <v>4</v>
      </c>
      <c r="D63" s="105">
        <v>0.004628055992896499</v>
      </c>
      <c r="E63" s="105">
        <v>2.345700390583442</v>
      </c>
      <c r="F63" s="82" t="s">
        <v>1224</v>
      </c>
      <c r="G63" s="82" t="b">
        <v>0</v>
      </c>
      <c r="H63" s="82" t="b">
        <v>0</v>
      </c>
      <c r="I63" s="82" t="b">
        <v>0</v>
      </c>
      <c r="J63" s="82" t="b">
        <v>0</v>
      </c>
      <c r="K63" s="82" t="b">
        <v>0</v>
      </c>
      <c r="L63" s="82" t="b">
        <v>0</v>
      </c>
    </row>
    <row r="64" spans="1:12" ht="15">
      <c r="A64" s="84" t="s">
        <v>843</v>
      </c>
      <c r="B64" s="103" t="s">
        <v>869</v>
      </c>
      <c r="C64" s="82">
        <v>3</v>
      </c>
      <c r="D64" s="105">
        <v>0.0036987553663764454</v>
      </c>
      <c r="E64" s="105">
        <v>1.1793689688169173</v>
      </c>
      <c r="F64" s="82" t="s">
        <v>1224</v>
      </c>
      <c r="G64" s="82" t="b">
        <v>0</v>
      </c>
      <c r="H64" s="82" t="b">
        <v>0</v>
      </c>
      <c r="I64" s="82" t="b">
        <v>0</v>
      </c>
      <c r="J64" s="82" t="b">
        <v>0</v>
      </c>
      <c r="K64" s="82" t="b">
        <v>0</v>
      </c>
      <c r="L64" s="82" t="b">
        <v>0</v>
      </c>
    </row>
    <row r="65" spans="1:12" ht="15">
      <c r="A65" s="84" t="s">
        <v>946</v>
      </c>
      <c r="B65" s="103" t="s">
        <v>947</v>
      </c>
      <c r="C65" s="82">
        <v>3</v>
      </c>
      <c r="D65" s="105">
        <v>0.0036987553663764454</v>
      </c>
      <c r="E65" s="105">
        <v>2.646730386247423</v>
      </c>
      <c r="F65" s="82" t="s">
        <v>1224</v>
      </c>
      <c r="G65" s="82" t="b">
        <v>0</v>
      </c>
      <c r="H65" s="82" t="b">
        <v>0</v>
      </c>
      <c r="I65" s="82" t="b">
        <v>0</v>
      </c>
      <c r="J65" s="82" t="b">
        <v>0</v>
      </c>
      <c r="K65" s="82" t="b">
        <v>0</v>
      </c>
      <c r="L65" s="82" t="b">
        <v>0</v>
      </c>
    </row>
    <row r="66" spans="1:12" ht="15">
      <c r="A66" s="84" t="s">
        <v>947</v>
      </c>
      <c r="B66" s="103" t="s">
        <v>844</v>
      </c>
      <c r="C66" s="82">
        <v>3</v>
      </c>
      <c r="D66" s="105">
        <v>0.0036987553663764454</v>
      </c>
      <c r="E66" s="105">
        <v>1.4903831853874991</v>
      </c>
      <c r="F66" s="82" t="s">
        <v>1224</v>
      </c>
      <c r="G66" s="82" t="b">
        <v>0</v>
      </c>
      <c r="H66" s="82" t="b">
        <v>0</v>
      </c>
      <c r="I66" s="82" t="b">
        <v>0</v>
      </c>
      <c r="J66" s="82" t="b">
        <v>0</v>
      </c>
      <c r="K66" s="82" t="b">
        <v>0</v>
      </c>
      <c r="L66" s="82" t="b">
        <v>0</v>
      </c>
    </row>
    <row r="67" spans="1:12" ht="15">
      <c r="A67" s="84" t="s">
        <v>948</v>
      </c>
      <c r="B67" s="103" t="s">
        <v>949</v>
      </c>
      <c r="C67" s="82">
        <v>3</v>
      </c>
      <c r="D67" s="105">
        <v>0.0045683566811753435</v>
      </c>
      <c r="E67" s="105">
        <v>2.646730386247423</v>
      </c>
      <c r="F67" s="82" t="s">
        <v>1224</v>
      </c>
      <c r="G67" s="82" t="b">
        <v>0</v>
      </c>
      <c r="H67" s="82" t="b">
        <v>0</v>
      </c>
      <c r="I67" s="82" t="b">
        <v>0</v>
      </c>
      <c r="J67" s="82" t="b">
        <v>0</v>
      </c>
      <c r="K67" s="82" t="b">
        <v>0</v>
      </c>
      <c r="L67" s="82" t="b">
        <v>0</v>
      </c>
    </row>
    <row r="68" spans="1:12" ht="15">
      <c r="A68" s="84" t="s">
        <v>949</v>
      </c>
      <c r="B68" s="103" t="s">
        <v>950</v>
      </c>
      <c r="C68" s="82">
        <v>3</v>
      </c>
      <c r="D68" s="105">
        <v>0.0045683566811753435</v>
      </c>
      <c r="E68" s="105">
        <v>2.646730386247423</v>
      </c>
      <c r="F68" s="82" t="s">
        <v>1224</v>
      </c>
      <c r="G68" s="82" t="b">
        <v>0</v>
      </c>
      <c r="H68" s="82" t="b">
        <v>0</v>
      </c>
      <c r="I68" s="82" t="b">
        <v>0</v>
      </c>
      <c r="J68" s="82" t="b">
        <v>0</v>
      </c>
      <c r="K68" s="82" t="b">
        <v>0</v>
      </c>
      <c r="L68" s="82" t="b">
        <v>0</v>
      </c>
    </row>
    <row r="69" spans="1:12" ht="15">
      <c r="A69" s="84" t="s">
        <v>950</v>
      </c>
      <c r="B69" s="103" t="s">
        <v>951</v>
      </c>
      <c r="C69" s="82">
        <v>3</v>
      </c>
      <c r="D69" s="105">
        <v>0.0045683566811753435</v>
      </c>
      <c r="E69" s="105">
        <v>2.646730386247423</v>
      </c>
      <c r="F69" s="82" t="s">
        <v>1224</v>
      </c>
      <c r="G69" s="82" t="b">
        <v>0</v>
      </c>
      <c r="H69" s="82" t="b">
        <v>0</v>
      </c>
      <c r="I69" s="82" t="b">
        <v>0</v>
      </c>
      <c r="J69" s="82" t="b">
        <v>0</v>
      </c>
      <c r="K69" s="82" t="b">
        <v>0</v>
      </c>
      <c r="L69" s="82" t="b">
        <v>0</v>
      </c>
    </row>
    <row r="70" spans="1:12" ht="15">
      <c r="A70" s="84" t="s">
        <v>951</v>
      </c>
      <c r="B70" s="103" t="s">
        <v>952</v>
      </c>
      <c r="C70" s="82">
        <v>3</v>
      </c>
      <c r="D70" s="105">
        <v>0.0045683566811753435</v>
      </c>
      <c r="E70" s="105">
        <v>2.646730386247423</v>
      </c>
      <c r="F70" s="82" t="s">
        <v>1224</v>
      </c>
      <c r="G70" s="82" t="b">
        <v>0</v>
      </c>
      <c r="H70" s="82" t="b">
        <v>0</v>
      </c>
      <c r="I70" s="82" t="b">
        <v>0</v>
      </c>
      <c r="J70" s="82" t="b">
        <v>0</v>
      </c>
      <c r="K70" s="82" t="b">
        <v>0</v>
      </c>
      <c r="L70" s="82" t="b">
        <v>0</v>
      </c>
    </row>
    <row r="71" spans="1:12" ht="15">
      <c r="A71" s="84" t="s">
        <v>952</v>
      </c>
      <c r="B71" s="103" t="s">
        <v>953</v>
      </c>
      <c r="C71" s="82">
        <v>3</v>
      </c>
      <c r="D71" s="105">
        <v>0.0045683566811753435</v>
      </c>
      <c r="E71" s="105">
        <v>2.646730386247423</v>
      </c>
      <c r="F71" s="82" t="s">
        <v>1224</v>
      </c>
      <c r="G71" s="82" t="b">
        <v>0</v>
      </c>
      <c r="H71" s="82" t="b">
        <v>0</v>
      </c>
      <c r="I71" s="82" t="b">
        <v>0</v>
      </c>
      <c r="J71" s="82" t="b">
        <v>0</v>
      </c>
      <c r="K71" s="82" t="b">
        <v>0</v>
      </c>
      <c r="L71" s="82" t="b">
        <v>0</v>
      </c>
    </row>
    <row r="72" spans="1:12" ht="15">
      <c r="A72" s="84" t="s">
        <v>953</v>
      </c>
      <c r="B72" s="103" t="s">
        <v>954</v>
      </c>
      <c r="C72" s="82">
        <v>3</v>
      </c>
      <c r="D72" s="105">
        <v>0.0045683566811753435</v>
      </c>
      <c r="E72" s="105">
        <v>2.646730386247423</v>
      </c>
      <c r="F72" s="82" t="s">
        <v>1224</v>
      </c>
      <c r="G72" s="82" t="b">
        <v>0</v>
      </c>
      <c r="H72" s="82" t="b">
        <v>0</v>
      </c>
      <c r="I72" s="82" t="b">
        <v>0</v>
      </c>
      <c r="J72" s="82" t="b">
        <v>0</v>
      </c>
      <c r="K72" s="82" t="b">
        <v>0</v>
      </c>
      <c r="L72" s="82" t="b">
        <v>0</v>
      </c>
    </row>
    <row r="73" spans="1:12" ht="15">
      <c r="A73" s="84" t="s">
        <v>954</v>
      </c>
      <c r="B73" s="103" t="s">
        <v>955</v>
      </c>
      <c r="C73" s="82">
        <v>3</v>
      </c>
      <c r="D73" s="105">
        <v>0.0045683566811753435</v>
      </c>
      <c r="E73" s="105">
        <v>2.646730386247423</v>
      </c>
      <c r="F73" s="82" t="s">
        <v>1224</v>
      </c>
      <c r="G73" s="82" t="b">
        <v>0</v>
      </c>
      <c r="H73" s="82" t="b">
        <v>0</v>
      </c>
      <c r="I73" s="82" t="b">
        <v>0</v>
      </c>
      <c r="J73" s="82" t="b">
        <v>0</v>
      </c>
      <c r="K73" s="82" t="b">
        <v>0</v>
      </c>
      <c r="L73" s="82" t="b">
        <v>0</v>
      </c>
    </row>
    <row r="74" spans="1:12" ht="15">
      <c r="A74" s="84" t="s">
        <v>956</v>
      </c>
      <c r="B74" s="103" t="s">
        <v>957</v>
      </c>
      <c r="C74" s="82">
        <v>3</v>
      </c>
      <c r="D74" s="105">
        <v>0.0045683566811753435</v>
      </c>
      <c r="E74" s="105">
        <v>2.646730386247423</v>
      </c>
      <c r="F74" s="82" t="s">
        <v>1224</v>
      </c>
      <c r="G74" s="82" t="b">
        <v>0</v>
      </c>
      <c r="H74" s="82" t="b">
        <v>0</v>
      </c>
      <c r="I74" s="82" t="b">
        <v>0</v>
      </c>
      <c r="J74" s="82" t="b">
        <v>0</v>
      </c>
      <c r="K74" s="82" t="b">
        <v>0</v>
      </c>
      <c r="L74" s="82" t="b">
        <v>0</v>
      </c>
    </row>
    <row r="75" spans="1:12" ht="15">
      <c r="A75" s="84" t="s">
        <v>957</v>
      </c>
      <c r="B75" s="103" t="s">
        <v>958</v>
      </c>
      <c r="C75" s="82">
        <v>3</v>
      </c>
      <c r="D75" s="105">
        <v>0.0045683566811753435</v>
      </c>
      <c r="E75" s="105">
        <v>2.646730386247423</v>
      </c>
      <c r="F75" s="82" t="s">
        <v>1224</v>
      </c>
      <c r="G75" s="82" t="b">
        <v>0</v>
      </c>
      <c r="H75" s="82" t="b">
        <v>0</v>
      </c>
      <c r="I75" s="82" t="b">
        <v>0</v>
      </c>
      <c r="J75" s="82" t="b">
        <v>0</v>
      </c>
      <c r="K75" s="82" t="b">
        <v>0</v>
      </c>
      <c r="L75" s="82" t="b">
        <v>0</v>
      </c>
    </row>
    <row r="76" spans="1:12" ht="15">
      <c r="A76" s="84" t="s">
        <v>895</v>
      </c>
      <c r="B76" s="103" t="s">
        <v>960</v>
      </c>
      <c r="C76" s="82">
        <v>3</v>
      </c>
      <c r="D76" s="105">
        <v>0.0036987553663764454</v>
      </c>
      <c r="E76" s="105">
        <v>2.646730386247423</v>
      </c>
      <c r="F76" s="82" t="s">
        <v>1224</v>
      </c>
      <c r="G76" s="82" t="b">
        <v>0</v>
      </c>
      <c r="H76" s="82" t="b">
        <v>0</v>
      </c>
      <c r="I76" s="82" t="b">
        <v>0</v>
      </c>
      <c r="J76" s="82" t="b">
        <v>0</v>
      </c>
      <c r="K76" s="82" t="b">
        <v>0</v>
      </c>
      <c r="L76" s="82" t="b">
        <v>0</v>
      </c>
    </row>
    <row r="77" spans="1:12" ht="15">
      <c r="A77" s="84" t="s">
        <v>960</v>
      </c>
      <c r="B77" s="103" t="s">
        <v>879</v>
      </c>
      <c r="C77" s="82">
        <v>3</v>
      </c>
      <c r="D77" s="105">
        <v>0.0036987553663764454</v>
      </c>
      <c r="E77" s="105">
        <v>2.345700390583442</v>
      </c>
      <c r="F77" s="82" t="s">
        <v>1224</v>
      </c>
      <c r="G77" s="82" t="b">
        <v>0</v>
      </c>
      <c r="H77" s="82" t="b">
        <v>0</v>
      </c>
      <c r="I77" s="82" t="b">
        <v>0</v>
      </c>
      <c r="J77" s="82" t="b">
        <v>0</v>
      </c>
      <c r="K77" s="82" t="b">
        <v>0</v>
      </c>
      <c r="L77" s="82" t="b">
        <v>0</v>
      </c>
    </row>
    <row r="78" spans="1:12" ht="15">
      <c r="A78" s="84" t="s">
        <v>962</v>
      </c>
      <c r="B78" s="103" t="s">
        <v>963</v>
      </c>
      <c r="C78" s="82">
        <v>3</v>
      </c>
      <c r="D78" s="105">
        <v>0.0036987553663764454</v>
      </c>
      <c r="E78" s="105">
        <v>2.646730386247423</v>
      </c>
      <c r="F78" s="82" t="s">
        <v>1224</v>
      </c>
      <c r="G78" s="82" t="b">
        <v>0</v>
      </c>
      <c r="H78" s="82" t="b">
        <v>0</v>
      </c>
      <c r="I78" s="82" t="b">
        <v>0</v>
      </c>
      <c r="J78" s="82" t="b">
        <v>0</v>
      </c>
      <c r="K78" s="82" t="b">
        <v>0</v>
      </c>
      <c r="L78" s="82" t="b">
        <v>0</v>
      </c>
    </row>
    <row r="79" spans="1:12" ht="15">
      <c r="A79" s="84" t="s">
        <v>848</v>
      </c>
      <c r="B79" s="103" t="s">
        <v>964</v>
      </c>
      <c r="C79" s="82">
        <v>3</v>
      </c>
      <c r="D79" s="105">
        <v>0.0036987553663764454</v>
      </c>
      <c r="E79" s="105">
        <v>2.009908288660249</v>
      </c>
      <c r="F79" s="82" t="s">
        <v>1224</v>
      </c>
      <c r="G79" s="82" t="b">
        <v>0</v>
      </c>
      <c r="H79" s="82" t="b">
        <v>0</v>
      </c>
      <c r="I79" s="82" t="b">
        <v>0</v>
      </c>
      <c r="J79" s="82" t="b">
        <v>0</v>
      </c>
      <c r="K79" s="82" t="b">
        <v>0</v>
      </c>
      <c r="L79" s="82" t="b">
        <v>0</v>
      </c>
    </row>
    <row r="80" spans="1:12" ht="15">
      <c r="A80" s="84" t="s">
        <v>964</v>
      </c>
      <c r="B80" s="103" t="s">
        <v>965</v>
      </c>
      <c r="C80" s="82">
        <v>3</v>
      </c>
      <c r="D80" s="105">
        <v>0.0036987553663764454</v>
      </c>
      <c r="E80" s="105">
        <v>2.646730386247423</v>
      </c>
      <c r="F80" s="82" t="s">
        <v>1224</v>
      </c>
      <c r="G80" s="82" t="b">
        <v>0</v>
      </c>
      <c r="H80" s="82" t="b">
        <v>0</v>
      </c>
      <c r="I80" s="82" t="b">
        <v>0</v>
      </c>
      <c r="J80" s="82" t="b">
        <v>0</v>
      </c>
      <c r="K80" s="82" t="b">
        <v>0</v>
      </c>
      <c r="L80" s="82" t="b">
        <v>0</v>
      </c>
    </row>
    <row r="81" spans="1:12" ht="15">
      <c r="A81" s="84" t="s">
        <v>965</v>
      </c>
      <c r="B81" s="103" t="s">
        <v>966</v>
      </c>
      <c r="C81" s="82">
        <v>3</v>
      </c>
      <c r="D81" s="105">
        <v>0.0036987553663764454</v>
      </c>
      <c r="E81" s="105">
        <v>2.646730386247423</v>
      </c>
      <c r="F81" s="82" t="s">
        <v>1224</v>
      </c>
      <c r="G81" s="82" t="b">
        <v>0</v>
      </c>
      <c r="H81" s="82" t="b">
        <v>0</v>
      </c>
      <c r="I81" s="82" t="b">
        <v>0</v>
      </c>
      <c r="J81" s="82" t="b">
        <v>0</v>
      </c>
      <c r="K81" s="82" t="b">
        <v>0</v>
      </c>
      <c r="L81" s="82" t="b">
        <v>0</v>
      </c>
    </row>
    <row r="82" spans="1:12" ht="15">
      <c r="A82" s="84" t="s">
        <v>966</v>
      </c>
      <c r="B82" s="103" t="s">
        <v>967</v>
      </c>
      <c r="C82" s="82">
        <v>3</v>
      </c>
      <c r="D82" s="105">
        <v>0.0036987553663764454</v>
      </c>
      <c r="E82" s="105">
        <v>2.646730386247423</v>
      </c>
      <c r="F82" s="82" t="s">
        <v>1224</v>
      </c>
      <c r="G82" s="82" t="b">
        <v>0</v>
      </c>
      <c r="H82" s="82" t="b">
        <v>0</v>
      </c>
      <c r="I82" s="82" t="b">
        <v>0</v>
      </c>
      <c r="J82" s="82" t="b">
        <v>0</v>
      </c>
      <c r="K82" s="82" t="b">
        <v>0</v>
      </c>
      <c r="L82" s="82" t="b">
        <v>0</v>
      </c>
    </row>
    <row r="83" spans="1:12" ht="15">
      <c r="A83" s="84" t="s">
        <v>967</v>
      </c>
      <c r="B83" s="103" t="s">
        <v>968</v>
      </c>
      <c r="C83" s="82">
        <v>3</v>
      </c>
      <c r="D83" s="105">
        <v>0.0036987553663764454</v>
      </c>
      <c r="E83" s="105">
        <v>2.646730386247423</v>
      </c>
      <c r="F83" s="82" t="s">
        <v>1224</v>
      </c>
      <c r="G83" s="82" t="b">
        <v>0</v>
      </c>
      <c r="H83" s="82" t="b">
        <v>0</v>
      </c>
      <c r="I83" s="82" t="b">
        <v>0</v>
      </c>
      <c r="J83" s="82" t="b">
        <v>0</v>
      </c>
      <c r="K83" s="82" t="b">
        <v>0</v>
      </c>
      <c r="L83" s="82" t="b">
        <v>0</v>
      </c>
    </row>
    <row r="84" spans="1:12" ht="15">
      <c r="A84" s="84" t="s">
        <v>970</v>
      </c>
      <c r="B84" s="103" t="s">
        <v>971</v>
      </c>
      <c r="C84" s="82">
        <v>3</v>
      </c>
      <c r="D84" s="105">
        <v>0.0045683566811753435</v>
      </c>
      <c r="E84" s="105">
        <v>2.646730386247423</v>
      </c>
      <c r="F84" s="82" t="s">
        <v>1224</v>
      </c>
      <c r="G84" s="82" t="b">
        <v>0</v>
      </c>
      <c r="H84" s="82" t="b">
        <v>0</v>
      </c>
      <c r="I84" s="82" t="b">
        <v>0</v>
      </c>
      <c r="J84" s="82" t="b">
        <v>0</v>
      </c>
      <c r="K84" s="82" t="b">
        <v>0</v>
      </c>
      <c r="L84" s="82" t="b">
        <v>0</v>
      </c>
    </row>
    <row r="85" spans="1:12" ht="15">
      <c r="A85" s="84" t="s">
        <v>971</v>
      </c>
      <c r="B85" s="103" t="s">
        <v>972</v>
      </c>
      <c r="C85" s="82">
        <v>3</v>
      </c>
      <c r="D85" s="105">
        <v>0.0045683566811753435</v>
      </c>
      <c r="E85" s="105">
        <v>2.646730386247423</v>
      </c>
      <c r="F85" s="82" t="s">
        <v>1224</v>
      </c>
      <c r="G85" s="82" t="b">
        <v>0</v>
      </c>
      <c r="H85" s="82" t="b">
        <v>0</v>
      </c>
      <c r="I85" s="82" t="b">
        <v>0</v>
      </c>
      <c r="J85" s="82" t="b">
        <v>0</v>
      </c>
      <c r="K85" s="82" t="b">
        <v>0</v>
      </c>
      <c r="L85" s="82" t="b">
        <v>0</v>
      </c>
    </row>
    <row r="86" spans="1:12" ht="15">
      <c r="A86" s="84" t="s">
        <v>972</v>
      </c>
      <c r="B86" s="103" t="s">
        <v>973</v>
      </c>
      <c r="C86" s="82">
        <v>3</v>
      </c>
      <c r="D86" s="105">
        <v>0.0045683566811753435</v>
      </c>
      <c r="E86" s="105">
        <v>2.646730386247423</v>
      </c>
      <c r="F86" s="82" t="s">
        <v>1224</v>
      </c>
      <c r="G86" s="82" t="b">
        <v>0</v>
      </c>
      <c r="H86" s="82" t="b">
        <v>0</v>
      </c>
      <c r="I86" s="82" t="b">
        <v>0</v>
      </c>
      <c r="J86" s="82" t="b">
        <v>0</v>
      </c>
      <c r="K86" s="82" t="b">
        <v>0</v>
      </c>
      <c r="L86" s="82" t="b">
        <v>0</v>
      </c>
    </row>
    <row r="87" spans="1:12" ht="15">
      <c r="A87" s="84" t="s">
        <v>976</v>
      </c>
      <c r="B87" s="103" t="s">
        <v>977</v>
      </c>
      <c r="C87" s="82">
        <v>3</v>
      </c>
      <c r="D87" s="105">
        <v>0.0036987553663764454</v>
      </c>
      <c r="E87" s="105">
        <v>2.646730386247423</v>
      </c>
      <c r="F87" s="82" t="s">
        <v>1224</v>
      </c>
      <c r="G87" s="82" t="b">
        <v>0</v>
      </c>
      <c r="H87" s="82" t="b">
        <v>0</v>
      </c>
      <c r="I87" s="82" t="b">
        <v>0</v>
      </c>
      <c r="J87" s="82" t="b">
        <v>0</v>
      </c>
      <c r="K87" s="82" t="b">
        <v>0</v>
      </c>
      <c r="L87" s="82" t="b">
        <v>0</v>
      </c>
    </row>
    <row r="88" spans="1:12" ht="15">
      <c r="A88" s="84" t="s">
        <v>897</v>
      </c>
      <c r="B88" s="103" t="s">
        <v>918</v>
      </c>
      <c r="C88" s="82">
        <v>3</v>
      </c>
      <c r="D88" s="105">
        <v>0.0036987553663764454</v>
      </c>
      <c r="E88" s="105">
        <v>2.299942900022767</v>
      </c>
      <c r="F88" s="82" t="s">
        <v>1224</v>
      </c>
      <c r="G88" s="82" t="b">
        <v>0</v>
      </c>
      <c r="H88" s="82" t="b">
        <v>0</v>
      </c>
      <c r="I88" s="82" t="b">
        <v>0</v>
      </c>
      <c r="J88" s="82" t="b">
        <v>0</v>
      </c>
      <c r="K88" s="82" t="b">
        <v>0</v>
      </c>
      <c r="L88" s="82" t="b">
        <v>0</v>
      </c>
    </row>
    <row r="89" spans="1:12" ht="15">
      <c r="A89" s="84" t="s">
        <v>918</v>
      </c>
      <c r="B89" s="103" t="s">
        <v>978</v>
      </c>
      <c r="C89" s="82">
        <v>3</v>
      </c>
      <c r="D89" s="105">
        <v>0.0036987553663764454</v>
      </c>
      <c r="E89" s="105">
        <v>2.5217916496391233</v>
      </c>
      <c r="F89" s="82" t="s">
        <v>1224</v>
      </c>
      <c r="G89" s="82" t="b">
        <v>0</v>
      </c>
      <c r="H89" s="82" t="b">
        <v>0</v>
      </c>
      <c r="I89" s="82" t="b">
        <v>0</v>
      </c>
      <c r="J89" s="82" t="b">
        <v>0</v>
      </c>
      <c r="K89" s="82" t="b">
        <v>0</v>
      </c>
      <c r="L89" s="82" t="b">
        <v>0</v>
      </c>
    </row>
    <row r="90" spans="1:12" ht="15">
      <c r="A90" s="84" t="s">
        <v>980</v>
      </c>
      <c r="B90" s="103" t="s">
        <v>891</v>
      </c>
      <c r="C90" s="82">
        <v>3</v>
      </c>
      <c r="D90" s="105">
        <v>0.0045683566811753435</v>
      </c>
      <c r="E90" s="105">
        <v>2.424881636631067</v>
      </c>
      <c r="F90" s="82" t="s">
        <v>1224</v>
      </c>
      <c r="G90" s="82" t="b">
        <v>0</v>
      </c>
      <c r="H90" s="82" t="b">
        <v>0</v>
      </c>
      <c r="I90" s="82" t="b">
        <v>0</v>
      </c>
      <c r="J90" s="82" t="b">
        <v>0</v>
      </c>
      <c r="K90" s="82" t="b">
        <v>0</v>
      </c>
      <c r="L90" s="82" t="b">
        <v>0</v>
      </c>
    </row>
    <row r="91" spans="1:12" ht="15">
      <c r="A91" s="84" t="s">
        <v>891</v>
      </c>
      <c r="B91" s="103" t="s">
        <v>981</v>
      </c>
      <c r="C91" s="82">
        <v>3</v>
      </c>
      <c r="D91" s="105">
        <v>0.0045683566811753435</v>
      </c>
      <c r="E91" s="105">
        <v>2.424881636631067</v>
      </c>
      <c r="F91" s="82" t="s">
        <v>1224</v>
      </c>
      <c r="G91" s="82" t="b">
        <v>0</v>
      </c>
      <c r="H91" s="82" t="b">
        <v>0</v>
      </c>
      <c r="I91" s="82" t="b">
        <v>0</v>
      </c>
      <c r="J91" s="82" t="b">
        <v>0</v>
      </c>
      <c r="K91" s="82" t="b">
        <v>0</v>
      </c>
      <c r="L91" s="82" t="b">
        <v>0</v>
      </c>
    </row>
    <row r="92" spans="1:12" ht="15">
      <c r="A92" s="84" t="s">
        <v>843</v>
      </c>
      <c r="B92" s="103" t="s">
        <v>983</v>
      </c>
      <c r="C92" s="82">
        <v>3</v>
      </c>
      <c r="D92" s="105">
        <v>0.0036987553663764454</v>
      </c>
      <c r="E92" s="105">
        <v>1.4803989644808984</v>
      </c>
      <c r="F92" s="82" t="s">
        <v>1224</v>
      </c>
      <c r="G92" s="82" t="b">
        <v>0</v>
      </c>
      <c r="H92" s="82" t="b">
        <v>0</v>
      </c>
      <c r="I92" s="82" t="b">
        <v>0</v>
      </c>
      <c r="J92" s="82" t="b">
        <v>0</v>
      </c>
      <c r="K92" s="82" t="b">
        <v>0</v>
      </c>
      <c r="L92" s="82" t="b">
        <v>0</v>
      </c>
    </row>
    <row r="93" spans="1:12" ht="15">
      <c r="A93" s="84" t="s">
        <v>983</v>
      </c>
      <c r="B93" s="103" t="s">
        <v>984</v>
      </c>
      <c r="C93" s="82">
        <v>3</v>
      </c>
      <c r="D93" s="105">
        <v>0.0036987553663764454</v>
      </c>
      <c r="E93" s="105">
        <v>2.646730386247423</v>
      </c>
      <c r="F93" s="82" t="s">
        <v>1224</v>
      </c>
      <c r="G93" s="82" t="b">
        <v>0</v>
      </c>
      <c r="H93" s="82" t="b">
        <v>0</v>
      </c>
      <c r="I93" s="82" t="b">
        <v>0</v>
      </c>
      <c r="J93" s="82" t="b">
        <v>0</v>
      </c>
      <c r="K93" s="82" t="b">
        <v>0</v>
      </c>
      <c r="L93" s="82" t="b">
        <v>0</v>
      </c>
    </row>
    <row r="94" spans="1:12" ht="15">
      <c r="A94" s="84" t="s">
        <v>985</v>
      </c>
      <c r="B94" s="103" t="s">
        <v>986</v>
      </c>
      <c r="C94" s="82">
        <v>3</v>
      </c>
      <c r="D94" s="105">
        <v>0.0036987553663764454</v>
      </c>
      <c r="E94" s="105">
        <v>2.646730386247423</v>
      </c>
      <c r="F94" s="82" t="s">
        <v>1224</v>
      </c>
      <c r="G94" s="82" t="b">
        <v>0</v>
      </c>
      <c r="H94" s="82" t="b">
        <v>1</v>
      </c>
      <c r="I94" s="82" t="b">
        <v>0</v>
      </c>
      <c r="J94" s="82" t="b">
        <v>0</v>
      </c>
      <c r="K94" s="82" t="b">
        <v>0</v>
      </c>
      <c r="L94" s="82" t="b">
        <v>0</v>
      </c>
    </row>
    <row r="95" spans="1:12" ht="15">
      <c r="A95" s="84" t="s">
        <v>987</v>
      </c>
      <c r="B95" s="103" t="s">
        <v>988</v>
      </c>
      <c r="C95" s="82">
        <v>3</v>
      </c>
      <c r="D95" s="105">
        <v>0.0036987553663764454</v>
      </c>
      <c r="E95" s="105">
        <v>2.646730386247423</v>
      </c>
      <c r="F95" s="82" t="s">
        <v>1224</v>
      </c>
      <c r="G95" s="82" t="b">
        <v>0</v>
      </c>
      <c r="H95" s="82" t="b">
        <v>1</v>
      </c>
      <c r="I95" s="82" t="b">
        <v>0</v>
      </c>
      <c r="J95" s="82" t="b">
        <v>0</v>
      </c>
      <c r="K95" s="82" t="b">
        <v>0</v>
      </c>
      <c r="L95" s="82" t="b">
        <v>0</v>
      </c>
    </row>
    <row r="96" spans="1:12" ht="15">
      <c r="A96" s="84" t="s">
        <v>988</v>
      </c>
      <c r="B96" s="103" t="s">
        <v>989</v>
      </c>
      <c r="C96" s="82">
        <v>3</v>
      </c>
      <c r="D96" s="105">
        <v>0.0036987553663764454</v>
      </c>
      <c r="E96" s="105">
        <v>2.646730386247423</v>
      </c>
      <c r="F96" s="82" t="s">
        <v>1224</v>
      </c>
      <c r="G96" s="82" t="b">
        <v>0</v>
      </c>
      <c r="H96" s="82" t="b">
        <v>0</v>
      </c>
      <c r="I96" s="82" t="b">
        <v>0</v>
      </c>
      <c r="J96" s="82" t="b">
        <v>0</v>
      </c>
      <c r="K96" s="82" t="b">
        <v>0</v>
      </c>
      <c r="L96" s="82" t="b">
        <v>0</v>
      </c>
    </row>
    <row r="97" spans="1:12" ht="15">
      <c r="A97" s="84" t="s">
        <v>990</v>
      </c>
      <c r="B97" s="103" t="s">
        <v>991</v>
      </c>
      <c r="C97" s="82">
        <v>3</v>
      </c>
      <c r="D97" s="105">
        <v>0.0036987553663764454</v>
      </c>
      <c r="E97" s="105">
        <v>2.646730386247423</v>
      </c>
      <c r="F97" s="82" t="s">
        <v>1224</v>
      </c>
      <c r="G97" s="82" t="b">
        <v>0</v>
      </c>
      <c r="H97" s="82" t="b">
        <v>0</v>
      </c>
      <c r="I97" s="82" t="b">
        <v>0</v>
      </c>
      <c r="J97" s="82" t="b">
        <v>0</v>
      </c>
      <c r="K97" s="82" t="b">
        <v>0</v>
      </c>
      <c r="L97" s="82" t="b">
        <v>0</v>
      </c>
    </row>
    <row r="98" spans="1:12" ht="15">
      <c r="A98" s="84" t="s">
        <v>935</v>
      </c>
      <c r="B98" s="103" t="s">
        <v>844</v>
      </c>
      <c r="C98" s="82">
        <v>3</v>
      </c>
      <c r="D98" s="105">
        <v>0.0036987553663764454</v>
      </c>
      <c r="E98" s="105">
        <v>1.4903831853874991</v>
      </c>
      <c r="F98" s="82" t="s">
        <v>1224</v>
      </c>
      <c r="G98" s="82" t="b">
        <v>0</v>
      </c>
      <c r="H98" s="82" t="b">
        <v>0</v>
      </c>
      <c r="I98" s="82" t="b">
        <v>0</v>
      </c>
      <c r="J98" s="82" t="b">
        <v>0</v>
      </c>
      <c r="K98" s="82" t="b">
        <v>0</v>
      </c>
      <c r="L98" s="82" t="b">
        <v>0</v>
      </c>
    </row>
    <row r="99" spans="1:12" ht="15">
      <c r="A99" s="84" t="s">
        <v>883</v>
      </c>
      <c r="B99" s="103" t="s">
        <v>992</v>
      </c>
      <c r="C99" s="82">
        <v>3</v>
      </c>
      <c r="D99" s="105">
        <v>0.0045683566811753435</v>
      </c>
      <c r="E99" s="105">
        <v>2.345700390583442</v>
      </c>
      <c r="F99" s="82" t="s">
        <v>1224</v>
      </c>
      <c r="G99" s="82" t="b">
        <v>0</v>
      </c>
      <c r="H99" s="82" t="b">
        <v>0</v>
      </c>
      <c r="I99" s="82" t="b">
        <v>0</v>
      </c>
      <c r="J99" s="82" t="b">
        <v>0</v>
      </c>
      <c r="K99" s="82" t="b">
        <v>0</v>
      </c>
      <c r="L99" s="82" t="b">
        <v>0</v>
      </c>
    </row>
    <row r="100" spans="1:12" ht="15">
      <c r="A100" s="84" t="s">
        <v>992</v>
      </c>
      <c r="B100" s="103" t="s">
        <v>993</v>
      </c>
      <c r="C100" s="82">
        <v>3</v>
      </c>
      <c r="D100" s="105">
        <v>0.0045683566811753435</v>
      </c>
      <c r="E100" s="105">
        <v>2.646730386247423</v>
      </c>
      <c r="F100" s="82" t="s">
        <v>1224</v>
      </c>
      <c r="G100" s="82" t="b">
        <v>0</v>
      </c>
      <c r="H100" s="82" t="b">
        <v>0</v>
      </c>
      <c r="I100" s="82" t="b">
        <v>0</v>
      </c>
      <c r="J100" s="82" t="b">
        <v>0</v>
      </c>
      <c r="K100" s="82" t="b">
        <v>0</v>
      </c>
      <c r="L100" s="82" t="b">
        <v>0</v>
      </c>
    </row>
    <row r="101" spans="1:12" ht="15">
      <c r="A101" s="84" t="s">
        <v>993</v>
      </c>
      <c r="B101" s="103" t="s">
        <v>994</v>
      </c>
      <c r="C101" s="82">
        <v>3</v>
      </c>
      <c r="D101" s="105">
        <v>0.0045683566811753435</v>
      </c>
      <c r="E101" s="105">
        <v>2.646730386247423</v>
      </c>
      <c r="F101" s="82" t="s">
        <v>1224</v>
      </c>
      <c r="G101" s="82" t="b">
        <v>0</v>
      </c>
      <c r="H101" s="82" t="b">
        <v>0</v>
      </c>
      <c r="I101" s="82" t="b">
        <v>0</v>
      </c>
      <c r="J101" s="82" t="b">
        <v>0</v>
      </c>
      <c r="K101" s="82" t="b">
        <v>0</v>
      </c>
      <c r="L101" s="82" t="b">
        <v>0</v>
      </c>
    </row>
    <row r="102" spans="1:12" ht="15">
      <c r="A102" s="84" t="s">
        <v>996</v>
      </c>
      <c r="B102" s="103" t="s">
        <v>997</v>
      </c>
      <c r="C102" s="82">
        <v>3</v>
      </c>
      <c r="D102" s="105">
        <v>0.0045683566811753435</v>
      </c>
      <c r="E102" s="105">
        <v>2.646730386247423</v>
      </c>
      <c r="F102" s="82" t="s">
        <v>1224</v>
      </c>
      <c r="G102" s="82" t="b">
        <v>0</v>
      </c>
      <c r="H102" s="82" t="b">
        <v>0</v>
      </c>
      <c r="I102" s="82" t="b">
        <v>0</v>
      </c>
      <c r="J102" s="82" t="b">
        <v>0</v>
      </c>
      <c r="K102" s="82" t="b">
        <v>0</v>
      </c>
      <c r="L102" s="82" t="b">
        <v>0</v>
      </c>
    </row>
    <row r="103" spans="1:12" ht="15">
      <c r="A103" s="84" t="s">
        <v>997</v>
      </c>
      <c r="B103" s="103" t="s">
        <v>998</v>
      </c>
      <c r="C103" s="82">
        <v>3</v>
      </c>
      <c r="D103" s="105">
        <v>0.0045683566811753435</v>
      </c>
      <c r="E103" s="105">
        <v>2.646730386247423</v>
      </c>
      <c r="F103" s="82" t="s">
        <v>1224</v>
      </c>
      <c r="G103" s="82" t="b">
        <v>0</v>
      </c>
      <c r="H103" s="82" t="b">
        <v>0</v>
      </c>
      <c r="I103" s="82" t="b">
        <v>0</v>
      </c>
      <c r="J103" s="82" t="b">
        <v>0</v>
      </c>
      <c r="K103" s="82" t="b">
        <v>0</v>
      </c>
      <c r="L103" s="82" t="b">
        <v>0</v>
      </c>
    </row>
    <row r="104" spans="1:12" ht="15">
      <c r="A104" s="84" t="s">
        <v>998</v>
      </c>
      <c r="B104" s="103" t="s">
        <v>892</v>
      </c>
      <c r="C104" s="82">
        <v>3</v>
      </c>
      <c r="D104" s="105">
        <v>0.0045683566811753435</v>
      </c>
      <c r="E104" s="105">
        <v>2.5217916496391233</v>
      </c>
      <c r="F104" s="82" t="s">
        <v>1224</v>
      </c>
      <c r="G104" s="82" t="b">
        <v>0</v>
      </c>
      <c r="H104" s="82" t="b">
        <v>0</v>
      </c>
      <c r="I104" s="82" t="b">
        <v>0</v>
      </c>
      <c r="J104" s="82" t="b">
        <v>0</v>
      </c>
      <c r="K104" s="82" t="b">
        <v>0</v>
      </c>
      <c r="L104" s="82" t="b">
        <v>0</v>
      </c>
    </row>
    <row r="105" spans="1:12" ht="15">
      <c r="A105" s="84" t="s">
        <v>999</v>
      </c>
      <c r="B105" s="103" t="s">
        <v>1000</v>
      </c>
      <c r="C105" s="82">
        <v>3</v>
      </c>
      <c r="D105" s="105">
        <v>0.0045683566811753435</v>
      </c>
      <c r="E105" s="105">
        <v>2.646730386247423</v>
      </c>
      <c r="F105" s="82" t="s">
        <v>1224</v>
      </c>
      <c r="G105" s="82" t="b">
        <v>0</v>
      </c>
      <c r="H105" s="82" t="b">
        <v>0</v>
      </c>
      <c r="I105" s="82" t="b">
        <v>0</v>
      </c>
      <c r="J105" s="82" t="b">
        <v>0</v>
      </c>
      <c r="K105" s="82" t="b">
        <v>0</v>
      </c>
      <c r="L105" s="82" t="b">
        <v>0</v>
      </c>
    </row>
    <row r="106" spans="1:12" ht="15">
      <c r="A106" s="84" t="s">
        <v>1000</v>
      </c>
      <c r="B106" s="103" t="s">
        <v>883</v>
      </c>
      <c r="C106" s="82">
        <v>3</v>
      </c>
      <c r="D106" s="105">
        <v>0.0045683566811753435</v>
      </c>
      <c r="E106" s="105">
        <v>2.345700390583442</v>
      </c>
      <c r="F106" s="82" t="s">
        <v>1224</v>
      </c>
      <c r="G106" s="82" t="b">
        <v>0</v>
      </c>
      <c r="H106" s="82" t="b">
        <v>0</v>
      </c>
      <c r="I106" s="82" t="b">
        <v>0</v>
      </c>
      <c r="J106" s="82" t="b">
        <v>0</v>
      </c>
      <c r="K106" s="82" t="b">
        <v>0</v>
      </c>
      <c r="L106" s="82" t="b">
        <v>0</v>
      </c>
    </row>
    <row r="107" spans="1:12" ht="15">
      <c r="A107" s="84" t="s">
        <v>899</v>
      </c>
      <c r="B107" s="103" t="s">
        <v>1001</v>
      </c>
      <c r="C107" s="82">
        <v>3</v>
      </c>
      <c r="D107" s="105">
        <v>0.0045683566811753435</v>
      </c>
      <c r="E107" s="105">
        <v>2.5217916496391233</v>
      </c>
      <c r="F107" s="82" t="s">
        <v>1224</v>
      </c>
      <c r="G107" s="82" t="b">
        <v>0</v>
      </c>
      <c r="H107" s="82" t="b">
        <v>0</v>
      </c>
      <c r="I107" s="82" t="b">
        <v>0</v>
      </c>
      <c r="J107" s="82" t="b">
        <v>0</v>
      </c>
      <c r="K107" s="82" t="b">
        <v>0</v>
      </c>
      <c r="L107" s="82" t="b">
        <v>0</v>
      </c>
    </row>
    <row r="108" spans="1:12" ht="15">
      <c r="A108" s="84" t="s">
        <v>1001</v>
      </c>
      <c r="B108" s="103" t="s">
        <v>1002</v>
      </c>
      <c r="C108" s="82">
        <v>3</v>
      </c>
      <c r="D108" s="105">
        <v>0.0045683566811753435</v>
      </c>
      <c r="E108" s="105">
        <v>2.646730386247423</v>
      </c>
      <c r="F108" s="82" t="s">
        <v>1224</v>
      </c>
      <c r="G108" s="82" t="b">
        <v>0</v>
      </c>
      <c r="H108" s="82" t="b">
        <v>0</v>
      </c>
      <c r="I108" s="82" t="b">
        <v>0</v>
      </c>
      <c r="J108" s="82" t="b">
        <v>0</v>
      </c>
      <c r="K108" s="82" t="b">
        <v>0</v>
      </c>
      <c r="L108" s="82" t="b">
        <v>0</v>
      </c>
    </row>
    <row r="109" spans="1:12" ht="15">
      <c r="A109" s="84" t="s">
        <v>1002</v>
      </c>
      <c r="B109" s="103" t="s">
        <v>1003</v>
      </c>
      <c r="C109" s="82">
        <v>3</v>
      </c>
      <c r="D109" s="105">
        <v>0.0045683566811753435</v>
      </c>
      <c r="E109" s="105">
        <v>2.646730386247423</v>
      </c>
      <c r="F109" s="82" t="s">
        <v>1224</v>
      </c>
      <c r="G109" s="82" t="b">
        <v>0</v>
      </c>
      <c r="H109" s="82" t="b">
        <v>0</v>
      </c>
      <c r="I109" s="82" t="b">
        <v>0</v>
      </c>
      <c r="J109" s="82" t="b">
        <v>0</v>
      </c>
      <c r="K109" s="82" t="b">
        <v>0</v>
      </c>
      <c r="L109" s="82" t="b">
        <v>0</v>
      </c>
    </row>
    <row r="110" spans="1:12" ht="15">
      <c r="A110" s="84" t="s">
        <v>1005</v>
      </c>
      <c r="B110" s="103" t="s">
        <v>1006</v>
      </c>
      <c r="C110" s="82">
        <v>3</v>
      </c>
      <c r="D110" s="105">
        <v>0.0036987553663764454</v>
      </c>
      <c r="E110" s="105">
        <v>2.646730386247423</v>
      </c>
      <c r="F110" s="82" t="s">
        <v>1224</v>
      </c>
      <c r="G110" s="82" t="b">
        <v>0</v>
      </c>
      <c r="H110" s="82" t="b">
        <v>0</v>
      </c>
      <c r="I110" s="82" t="b">
        <v>0</v>
      </c>
      <c r="J110" s="82" t="b">
        <v>0</v>
      </c>
      <c r="K110" s="82" t="b">
        <v>0</v>
      </c>
      <c r="L110" s="82" t="b">
        <v>0</v>
      </c>
    </row>
    <row r="111" spans="1:12" ht="15">
      <c r="A111" s="84" t="s">
        <v>1006</v>
      </c>
      <c r="B111" s="103" t="s">
        <v>1007</v>
      </c>
      <c r="C111" s="82">
        <v>3</v>
      </c>
      <c r="D111" s="105">
        <v>0.0036987553663764454</v>
      </c>
      <c r="E111" s="105">
        <v>2.646730386247423</v>
      </c>
      <c r="F111" s="82" t="s">
        <v>1224</v>
      </c>
      <c r="G111" s="82" t="b">
        <v>0</v>
      </c>
      <c r="H111" s="82" t="b">
        <v>0</v>
      </c>
      <c r="I111" s="82" t="b">
        <v>0</v>
      </c>
      <c r="J111" s="82" t="b">
        <v>0</v>
      </c>
      <c r="K111" s="82" t="b">
        <v>0</v>
      </c>
      <c r="L111" s="82" t="b">
        <v>0</v>
      </c>
    </row>
    <row r="112" spans="1:12" ht="15">
      <c r="A112" s="84" t="s">
        <v>1007</v>
      </c>
      <c r="B112" s="103" t="s">
        <v>1008</v>
      </c>
      <c r="C112" s="82">
        <v>3</v>
      </c>
      <c r="D112" s="105">
        <v>0.0036987553663764454</v>
      </c>
      <c r="E112" s="105">
        <v>2.646730386247423</v>
      </c>
      <c r="F112" s="82" t="s">
        <v>1224</v>
      </c>
      <c r="G112" s="82" t="b">
        <v>0</v>
      </c>
      <c r="H112" s="82" t="b">
        <v>0</v>
      </c>
      <c r="I112" s="82" t="b">
        <v>0</v>
      </c>
      <c r="J112" s="82" t="b">
        <v>0</v>
      </c>
      <c r="K112" s="82" t="b">
        <v>0</v>
      </c>
      <c r="L112" s="82" t="b">
        <v>0</v>
      </c>
    </row>
    <row r="113" spans="1:12" ht="15">
      <c r="A113" s="84" t="s">
        <v>1008</v>
      </c>
      <c r="B113" s="103" t="s">
        <v>1009</v>
      </c>
      <c r="C113" s="82">
        <v>3</v>
      </c>
      <c r="D113" s="105">
        <v>0.0036987553663764454</v>
      </c>
      <c r="E113" s="105">
        <v>2.646730386247423</v>
      </c>
      <c r="F113" s="82" t="s">
        <v>1224</v>
      </c>
      <c r="G113" s="82" t="b">
        <v>0</v>
      </c>
      <c r="H113" s="82" t="b">
        <v>0</v>
      </c>
      <c r="I113" s="82" t="b">
        <v>0</v>
      </c>
      <c r="J113" s="82" t="b">
        <v>0</v>
      </c>
      <c r="K113" s="82" t="b">
        <v>0</v>
      </c>
      <c r="L113" s="82" t="b">
        <v>0</v>
      </c>
    </row>
    <row r="114" spans="1:12" ht="15">
      <c r="A114" s="84" t="s">
        <v>867</v>
      </c>
      <c r="B114" s="103" t="s">
        <v>931</v>
      </c>
      <c r="C114" s="82">
        <v>3</v>
      </c>
      <c r="D114" s="105">
        <v>0.0036987553663764454</v>
      </c>
      <c r="E114" s="105">
        <v>2.3968529130308234</v>
      </c>
      <c r="F114" s="82" t="s">
        <v>1224</v>
      </c>
      <c r="G114" s="82" t="b">
        <v>0</v>
      </c>
      <c r="H114" s="82" t="b">
        <v>0</v>
      </c>
      <c r="I114" s="82" t="b">
        <v>0</v>
      </c>
      <c r="J114" s="82" t="b">
        <v>0</v>
      </c>
      <c r="K114" s="82" t="b">
        <v>0</v>
      </c>
      <c r="L114" s="82" t="b">
        <v>0</v>
      </c>
    </row>
    <row r="115" spans="1:12" ht="15">
      <c r="A115" s="84" t="s">
        <v>931</v>
      </c>
      <c r="B115" s="103" t="s">
        <v>849</v>
      </c>
      <c r="C115" s="82">
        <v>3</v>
      </c>
      <c r="D115" s="105">
        <v>0.0036987553663764454</v>
      </c>
      <c r="E115" s="105">
        <v>1.957520219200561</v>
      </c>
      <c r="F115" s="82" t="s">
        <v>1224</v>
      </c>
      <c r="G115" s="82" t="b">
        <v>0</v>
      </c>
      <c r="H115" s="82" t="b">
        <v>0</v>
      </c>
      <c r="I115" s="82" t="b">
        <v>0</v>
      </c>
      <c r="J115" s="82" t="b">
        <v>0</v>
      </c>
      <c r="K115" s="82" t="b">
        <v>0</v>
      </c>
      <c r="L115" s="82" t="b">
        <v>0</v>
      </c>
    </row>
    <row r="116" spans="1:12" ht="15">
      <c r="A116" s="84" t="s">
        <v>849</v>
      </c>
      <c r="B116" s="103" t="s">
        <v>1010</v>
      </c>
      <c r="C116" s="82">
        <v>3</v>
      </c>
      <c r="D116" s="105">
        <v>0.0036987553663764454</v>
      </c>
      <c r="E116" s="105">
        <v>2.082458955808861</v>
      </c>
      <c r="F116" s="82" t="s">
        <v>1224</v>
      </c>
      <c r="G116" s="82" t="b">
        <v>0</v>
      </c>
      <c r="H116" s="82" t="b">
        <v>0</v>
      </c>
      <c r="I116" s="82" t="b">
        <v>0</v>
      </c>
      <c r="J116" s="82" t="b">
        <v>0</v>
      </c>
      <c r="K116" s="82" t="b">
        <v>0</v>
      </c>
      <c r="L116" s="82" t="b">
        <v>0</v>
      </c>
    </row>
    <row r="117" spans="1:12" ht="15">
      <c r="A117" s="84" t="s">
        <v>1010</v>
      </c>
      <c r="B117" s="103" t="s">
        <v>1011</v>
      </c>
      <c r="C117" s="82">
        <v>3</v>
      </c>
      <c r="D117" s="105">
        <v>0.0036987553663764454</v>
      </c>
      <c r="E117" s="105">
        <v>2.646730386247423</v>
      </c>
      <c r="F117" s="82" t="s">
        <v>1224</v>
      </c>
      <c r="G117" s="82" t="b">
        <v>0</v>
      </c>
      <c r="H117" s="82" t="b">
        <v>0</v>
      </c>
      <c r="I117" s="82" t="b">
        <v>0</v>
      </c>
      <c r="J117" s="82" t="b">
        <v>0</v>
      </c>
      <c r="K117" s="82" t="b">
        <v>0</v>
      </c>
      <c r="L117" s="82" t="b">
        <v>0</v>
      </c>
    </row>
    <row r="118" spans="1:12" ht="15">
      <c r="A118" s="84" t="s">
        <v>1012</v>
      </c>
      <c r="B118" s="103" t="s">
        <v>900</v>
      </c>
      <c r="C118" s="82">
        <v>3</v>
      </c>
      <c r="D118" s="105">
        <v>0.0036987553663764454</v>
      </c>
      <c r="E118" s="105">
        <v>2.424881636631067</v>
      </c>
      <c r="F118" s="82" t="s">
        <v>1224</v>
      </c>
      <c r="G118" s="82" t="b">
        <v>0</v>
      </c>
      <c r="H118" s="82" t="b">
        <v>0</v>
      </c>
      <c r="I118" s="82" t="b">
        <v>0</v>
      </c>
      <c r="J118" s="82" t="b">
        <v>1</v>
      </c>
      <c r="K118" s="82" t="b">
        <v>0</v>
      </c>
      <c r="L118" s="82" t="b">
        <v>0</v>
      </c>
    </row>
    <row r="119" spans="1:12" ht="15">
      <c r="A119" s="84" t="s">
        <v>855</v>
      </c>
      <c r="B119" s="103" t="s">
        <v>844</v>
      </c>
      <c r="C119" s="82">
        <v>3</v>
      </c>
      <c r="D119" s="105">
        <v>0.0036987553663764454</v>
      </c>
      <c r="E119" s="105">
        <v>1.064414453115218</v>
      </c>
      <c r="F119" s="82" t="s">
        <v>1224</v>
      </c>
      <c r="G119" s="82" t="b">
        <v>0</v>
      </c>
      <c r="H119" s="82" t="b">
        <v>0</v>
      </c>
      <c r="I119" s="82" t="b">
        <v>0</v>
      </c>
      <c r="J119" s="82" t="b">
        <v>0</v>
      </c>
      <c r="K119" s="82" t="b">
        <v>0</v>
      </c>
      <c r="L119" s="82" t="b">
        <v>0</v>
      </c>
    </row>
    <row r="120" spans="1:12" ht="15">
      <c r="A120" s="84" t="s">
        <v>843</v>
      </c>
      <c r="B120" s="103" t="s">
        <v>904</v>
      </c>
      <c r="C120" s="82">
        <v>3</v>
      </c>
      <c r="D120" s="105">
        <v>0.0036987553663764454</v>
      </c>
      <c r="E120" s="105">
        <v>1.4803989644808984</v>
      </c>
      <c r="F120" s="82" t="s">
        <v>1224</v>
      </c>
      <c r="G120" s="82" t="b">
        <v>0</v>
      </c>
      <c r="H120" s="82" t="b">
        <v>0</v>
      </c>
      <c r="I120" s="82" t="b">
        <v>0</v>
      </c>
      <c r="J120" s="82" t="b">
        <v>0</v>
      </c>
      <c r="K120" s="82" t="b">
        <v>0</v>
      </c>
      <c r="L120" s="82" t="b">
        <v>0</v>
      </c>
    </row>
    <row r="121" spans="1:12" ht="15">
      <c r="A121" s="84" t="s">
        <v>843</v>
      </c>
      <c r="B121" s="103" t="s">
        <v>944</v>
      </c>
      <c r="C121" s="82">
        <v>3</v>
      </c>
      <c r="D121" s="105">
        <v>0.0036987553663764454</v>
      </c>
      <c r="E121" s="105">
        <v>1.4803989644808984</v>
      </c>
      <c r="F121" s="82" t="s">
        <v>1224</v>
      </c>
      <c r="G121" s="82" t="b">
        <v>0</v>
      </c>
      <c r="H121" s="82" t="b">
        <v>0</v>
      </c>
      <c r="I121" s="82" t="b">
        <v>0</v>
      </c>
      <c r="J121" s="82" t="b">
        <v>0</v>
      </c>
      <c r="K121" s="82" t="b">
        <v>0</v>
      </c>
      <c r="L121" s="82" t="b">
        <v>0</v>
      </c>
    </row>
    <row r="122" spans="1:12" ht="15">
      <c r="A122" s="84" t="s">
        <v>944</v>
      </c>
      <c r="B122" s="103" t="s">
        <v>1017</v>
      </c>
      <c r="C122" s="82">
        <v>3</v>
      </c>
      <c r="D122" s="105">
        <v>0.0036987553663764454</v>
      </c>
      <c r="E122" s="105">
        <v>2.5217916496391233</v>
      </c>
      <c r="F122" s="82" t="s">
        <v>1224</v>
      </c>
      <c r="G122" s="82" t="b">
        <v>0</v>
      </c>
      <c r="H122" s="82" t="b">
        <v>0</v>
      </c>
      <c r="I122" s="82" t="b">
        <v>0</v>
      </c>
      <c r="J122" s="82" t="b">
        <v>0</v>
      </c>
      <c r="K122" s="82" t="b">
        <v>0</v>
      </c>
      <c r="L122" s="82" t="b">
        <v>0</v>
      </c>
    </row>
    <row r="123" spans="1:12" ht="15">
      <c r="A123" s="84" t="s">
        <v>1017</v>
      </c>
      <c r="B123" s="103" t="s">
        <v>843</v>
      </c>
      <c r="C123" s="82">
        <v>3</v>
      </c>
      <c r="D123" s="105">
        <v>0.0036987553663764454</v>
      </c>
      <c r="E123" s="105">
        <v>1.26052878084663</v>
      </c>
      <c r="F123" s="82" t="s">
        <v>1224</v>
      </c>
      <c r="G123" s="82" t="b">
        <v>0</v>
      </c>
      <c r="H123" s="82" t="b">
        <v>0</v>
      </c>
      <c r="I123" s="82" t="b">
        <v>0</v>
      </c>
      <c r="J123" s="82" t="b">
        <v>0</v>
      </c>
      <c r="K123" s="82" t="b">
        <v>0</v>
      </c>
      <c r="L123" s="82" t="b">
        <v>0</v>
      </c>
    </row>
    <row r="124" spans="1:12" ht="15">
      <c r="A124" s="84" t="s">
        <v>1019</v>
      </c>
      <c r="B124" s="103" t="s">
        <v>905</v>
      </c>
      <c r="C124" s="82">
        <v>3</v>
      </c>
      <c r="D124" s="105">
        <v>0.0036987553663764454</v>
      </c>
      <c r="E124" s="105">
        <v>2.424881636631067</v>
      </c>
      <c r="F124" s="82" t="s">
        <v>1224</v>
      </c>
      <c r="G124" s="82" t="b">
        <v>0</v>
      </c>
      <c r="H124" s="82" t="b">
        <v>0</v>
      </c>
      <c r="I124" s="82" t="b">
        <v>0</v>
      </c>
      <c r="J124" s="82" t="b">
        <v>0</v>
      </c>
      <c r="K124" s="82" t="b">
        <v>0</v>
      </c>
      <c r="L124" s="82" t="b">
        <v>0</v>
      </c>
    </row>
    <row r="125" spans="1:12" ht="15">
      <c r="A125" s="84" t="s">
        <v>844</v>
      </c>
      <c r="B125" s="103" t="s">
        <v>1020</v>
      </c>
      <c r="C125" s="82">
        <v>2</v>
      </c>
      <c r="D125" s="105">
        <v>0.002679799558615906</v>
      </c>
      <c r="E125" s="105">
        <v>1.2977768382662593</v>
      </c>
      <c r="F125" s="82" t="s">
        <v>1224</v>
      </c>
      <c r="G125" s="82" t="b">
        <v>0</v>
      </c>
      <c r="H125" s="82" t="b">
        <v>0</v>
      </c>
      <c r="I125" s="82" t="b">
        <v>0</v>
      </c>
      <c r="J125" s="82" t="b">
        <v>0</v>
      </c>
      <c r="K125" s="82" t="b">
        <v>0</v>
      </c>
      <c r="L125" s="82" t="b">
        <v>0</v>
      </c>
    </row>
    <row r="126" spans="1:12" ht="15">
      <c r="A126" s="84" t="s">
        <v>885</v>
      </c>
      <c r="B126" s="103" t="s">
        <v>844</v>
      </c>
      <c r="C126" s="82">
        <v>2</v>
      </c>
      <c r="D126" s="105">
        <v>0.002679799558615906</v>
      </c>
      <c r="E126" s="105">
        <v>1.4903831853874991</v>
      </c>
      <c r="F126" s="82" t="s">
        <v>1224</v>
      </c>
      <c r="G126" s="82" t="b">
        <v>0</v>
      </c>
      <c r="H126" s="82" t="b">
        <v>0</v>
      </c>
      <c r="I126" s="82" t="b">
        <v>0</v>
      </c>
      <c r="J126" s="82" t="b">
        <v>0</v>
      </c>
      <c r="K126" s="82" t="b">
        <v>0</v>
      </c>
      <c r="L126" s="82" t="b">
        <v>0</v>
      </c>
    </row>
    <row r="127" spans="1:12" ht="15">
      <c r="A127" s="84" t="s">
        <v>845</v>
      </c>
      <c r="B127" s="103" t="s">
        <v>1022</v>
      </c>
      <c r="C127" s="82">
        <v>2</v>
      </c>
      <c r="D127" s="105">
        <v>0.002679799558615906</v>
      </c>
      <c r="E127" s="105">
        <v>1.7088782929962678</v>
      </c>
      <c r="F127" s="82" t="s">
        <v>1224</v>
      </c>
      <c r="G127" s="82" t="b">
        <v>0</v>
      </c>
      <c r="H127" s="82" t="b">
        <v>0</v>
      </c>
      <c r="I127" s="82" t="b">
        <v>0</v>
      </c>
      <c r="J127" s="82" t="b">
        <v>0</v>
      </c>
      <c r="K127" s="82" t="b">
        <v>0</v>
      </c>
      <c r="L127" s="82" t="b">
        <v>0</v>
      </c>
    </row>
    <row r="128" spans="1:12" ht="15">
      <c r="A128" s="84" t="s">
        <v>955</v>
      </c>
      <c r="B128" s="103" t="s">
        <v>948</v>
      </c>
      <c r="C128" s="82">
        <v>2</v>
      </c>
      <c r="D128" s="105">
        <v>0.0030455711207835624</v>
      </c>
      <c r="E128" s="105">
        <v>2.4706391271917423</v>
      </c>
      <c r="F128" s="82" t="s">
        <v>1224</v>
      </c>
      <c r="G128" s="82" t="b">
        <v>0</v>
      </c>
      <c r="H128" s="82" t="b">
        <v>0</v>
      </c>
      <c r="I128" s="82" t="b">
        <v>0</v>
      </c>
      <c r="J128" s="82" t="b">
        <v>0</v>
      </c>
      <c r="K128" s="82" t="b">
        <v>0</v>
      </c>
      <c r="L128" s="82" t="b">
        <v>0</v>
      </c>
    </row>
    <row r="129" spans="1:12" ht="15">
      <c r="A129" s="84" t="s">
        <v>958</v>
      </c>
      <c r="B129" s="103" t="s">
        <v>1023</v>
      </c>
      <c r="C129" s="82">
        <v>2</v>
      </c>
      <c r="D129" s="105">
        <v>0.0030455711207835624</v>
      </c>
      <c r="E129" s="105">
        <v>2.646730386247423</v>
      </c>
      <c r="F129" s="82" t="s">
        <v>1224</v>
      </c>
      <c r="G129" s="82" t="b">
        <v>0</v>
      </c>
      <c r="H129" s="82" t="b">
        <v>0</v>
      </c>
      <c r="I129" s="82" t="b">
        <v>0</v>
      </c>
      <c r="J129" s="82" t="b">
        <v>0</v>
      </c>
      <c r="K129" s="82" t="b">
        <v>0</v>
      </c>
      <c r="L129" s="82" t="b">
        <v>0</v>
      </c>
    </row>
    <row r="130" spans="1:12" ht="15">
      <c r="A130" s="84" t="s">
        <v>1023</v>
      </c>
      <c r="B130" s="103" t="s">
        <v>956</v>
      </c>
      <c r="C130" s="82">
        <v>2</v>
      </c>
      <c r="D130" s="105">
        <v>0.0030455711207835624</v>
      </c>
      <c r="E130" s="105">
        <v>2.8228216453031045</v>
      </c>
      <c r="F130" s="82" t="s">
        <v>1224</v>
      </c>
      <c r="G130" s="82" t="b">
        <v>0</v>
      </c>
      <c r="H130" s="82" t="b">
        <v>0</v>
      </c>
      <c r="I130" s="82" t="b">
        <v>0</v>
      </c>
      <c r="J130" s="82" t="b">
        <v>0</v>
      </c>
      <c r="K130" s="82" t="b">
        <v>0</v>
      </c>
      <c r="L130" s="82" t="b">
        <v>0</v>
      </c>
    </row>
    <row r="131" spans="1:12" ht="15">
      <c r="A131" s="84" t="s">
        <v>891</v>
      </c>
      <c r="B131" s="103" t="s">
        <v>876</v>
      </c>
      <c r="C131" s="82">
        <v>2</v>
      </c>
      <c r="D131" s="105">
        <v>0.0030455711207835624</v>
      </c>
      <c r="E131" s="105">
        <v>1.9477603819114047</v>
      </c>
      <c r="F131" s="82" t="s">
        <v>1224</v>
      </c>
      <c r="G131" s="82" t="b">
        <v>0</v>
      </c>
      <c r="H131" s="82" t="b">
        <v>0</v>
      </c>
      <c r="I131" s="82" t="b">
        <v>0</v>
      </c>
      <c r="J131" s="82" t="b">
        <v>0</v>
      </c>
      <c r="K131" s="82" t="b">
        <v>0</v>
      </c>
      <c r="L131" s="82" t="b">
        <v>0</v>
      </c>
    </row>
    <row r="132" spans="1:12" ht="15">
      <c r="A132" s="84" t="s">
        <v>876</v>
      </c>
      <c r="B132" s="103" t="s">
        <v>1024</v>
      </c>
      <c r="C132" s="82">
        <v>2</v>
      </c>
      <c r="D132" s="105">
        <v>0.0030455711207835624</v>
      </c>
      <c r="E132" s="105">
        <v>2.345700390583442</v>
      </c>
      <c r="F132" s="82" t="s">
        <v>1224</v>
      </c>
      <c r="G132" s="82" t="b">
        <v>0</v>
      </c>
      <c r="H132" s="82" t="b">
        <v>0</v>
      </c>
      <c r="I132" s="82" t="b">
        <v>0</v>
      </c>
      <c r="J132" s="82" t="b">
        <v>0</v>
      </c>
      <c r="K132" s="82" t="b">
        <v>0</v>
      </c>
      <c r="L132" s="82" t="b">
        <v>0</v>
      </c>
    </row>
    <row r="133" spans="1:12" ht="15">
      <c r="A133" s="84" t="s">
        <v>1024</v>
      </c>
      <c r="B133" s="103" t="s">
        <v>877</v>
      </c>
      <c r="C133" s="82">
        <v>2</v>
      </c>
      <c r="D133" s="105">
        <v>0.0030455711207835624</v>
      </c>
      <c r="E133" s="105">
        <v>2.345700390583442</v>
      </c>
      <c r="F133" s="82" t="s">
        <v>1224</v>
      </c>
      <c r="G133" s="82" t="b">
        <v>0</v>
      </c>
      <c r="H133" s="82" t="b">
        <v>0</v>
      </c>
      <c r="I133" s="82" t="b">
        <v>0</v>
      </c>
      <c r="J133" s="82" t="b">
        <v>0</v>
      </c>
      <c r="K133" s="82" t="b">
        <v>0</v>
      </c>
      <c r="L133" s="82" t="b">
        <v>0</v>
      </c>
    </row>
    <row r="134" spans="1:12" ht="15">
      <c r="A134" s="84" t="s">
        <v>894</v>
      </c>
      <c r="B134" s="103" t="s">
        <v>844</v>
      </c>
      <c r="C134" s="82">
        <v>2</v>
      </c>
      <c r="D134" s="105">
        <v>0.0030455711207835624</v>
      </c>
      <c r="E134" s="105">
        <v>1.314291926331818</v>
      </c>
      <c r="F134" s="82" t="s">
        <v>1224</v>
      </c>
      <c r="G134" s="82" t="b">
        <v>0</v>
      </c>
      <c r="H134" s="82" t="b">
        <v>0</v>
      </c>
      <c r="I134" s="82" t="b">
        <v>0</v>
      </c>
      <c r="J134" s="82" t="b">
        <v>0</v>
      </c>
      <c r="K134" s="82" t="b">
        <v>0</v>
      </c>
      <c r="L134" s="82" t="b">
        <v>0</v>
      </c>
    </row>
    <row r="135" spans="1:12" ht="15">
      <c r="A135" s="84" t="s">
        <v>1029</v>
      </c>
      <c r="B135" s="103" t="s">
        <v>1030</v>
      </c>
      <c r="C135" s="82">
        <v>2</v>
      </c>
      <c r="D135" s="105">
        <v>0.002679799558615906</v>
      </c>
      <c r="E135" s="105">
        <v>2.8228216453031045</v>
      </c>
      <c r="F135" s="82" t="s">
        <v>1224</v>
      </c>
      <c r="G135" s="82" t="b">
        <v>0</v>
      </c>
      <c r="H135" s="82" t="b">
        <v>0</v>
      </c>
      <c r="I135" s="82" t="b">
        <v>0</v>
      </c>
      <c r="J135" s="82" t="b">
        <v>0</v>
      </c>
      <c r="K135" s="82" t="b">
        <v>0</v>
      </c>
      <c r="L135" s="82" t="b">
        <v>0</v>
      </c>
    </row>
    <row r="136" spans="1:12" ht="15">
      <c r="A136" s="84" t="s">
        <v>1030</v>
      </c>
      <c r="B136" s="103" t="s">
        <v>1031</v>
      </c>
      <c r="C136" s="82">
        <v>2</v>
      </c>
      <c r="D136" s="105">
        <v>0.002679799558615906</v>
      </c>
      <c r="E136" s="105">
        <v>2.8228216453031045</v>
      </c>
      <c r="F136" s="82" t="s">
        <v>1224</v>
      </c>
      <c r="G136" s="82" t="b">
        <v>0</v>
      </c>
      <c r="H136" s="82" t="b">
        <v>0</v>
      </c>
      <c r="I136" s="82" t="b">
        <v>0</v>
      </c>
      <c r="J136" s="82" t="b">
        <v>0</v>
      </c>
      <c r="K136" s="82" t="b">
        <v>0</v>
      </c>
      <c r="L136" s="82" t="b">
        <v>0</v>
      </c>
    </row>
    <row r="137" spans="1:12" ht="15">
      <c r="A137" s="84" t="s">
        <v>1031</v>
      </c>
      <c r="B137" s="103" t="s">
        <v>1032</v>
      </c>
      <c r="C137" s="82">
        <v>2</v>
      </c>
      <c r="D137" s="105">
        <v>0.002679799558615906</v>
      </c>
      <c r="E137" s="105">
        <v>2.8228216453031045</v>
      </c>
      <c r="F137" s="82" t="s">
        <v>1224</v>
      </c>
      <c r="G137" s="82" t="b">
        <v>0</v>
      </c>
      <c r="H137" s="82" t="b">
        <v>0</v>
      </c>
      <c r="I137" s="82" t="b">
        <v>0</v>
      </c>
      <c r="J137" s="82" t="b">
        <v>0</v>
      </c>
      <c r="K137" s="82" t="b">
        <v>0</v>
      </c>
      <c r="L137" s="82" t="b">
        <v>0</v>
      </c>
    </row>
    <row r="138" spans="1:12" ht="15">
      <c r="A138" s="84" t="s">
        <v>1032</v>
      </c>
      <c r="B138" s="103" t="s">
        <v>860</v>
      </c>
      <c r="C138" s="82">
        <v>2</v>
      </c>
      <c r="D138" s="105">
        <v>0.002679799558615906</v>
      </c>
      <c r="E138" s="105">
        <v>2.220761653975142</v>
      </c>
      <c r="F138" s="82" t="s">
        <v>1224</v>
      </c>
      <c r="G138" s="82" t="b">
        <v>0</v>
      </c>
      <c r="H138" s="82" t="b">
        <v>0</v>
      </c>
      <c r="I138" s="82" t="b">
        <v>0</v>
      </c>
      <c r="J138" s="82" t="b">
        <v>0</v>
      </c>
      <c r="K138" s="82" t="b">
        <v>0</v>
      </c>
      <c r="L138" s="82" t="b">
        <v>0</v>
      </c>
    </row>
    <row r="139" spans="1:12" ht="15">
      <c r="A139" s="84" t="s">
        <v>860</v>
      </c>
      <c r="B139" s="103" t="s">
        <v>1033</v>
      </c>
      <c r="C139" s="82">
        <v>2</v>
      </c>
      <c r="D139" s="105">
        <v>0.002679799558615906</v>
      </c>
      <c r="E139" s="105">
        <v>2.220761653975142</v>
      </c>
      <c r="F139" s="82" t="s">
        <v>1224</v>
      </c>
      <c r="G139" s="82" t="b">
        <v>0</v>
      </c>
      <c r="H139" s="82" t="b">
        <v>0</v>
      </c>
      <c r="I139" s="82" t="b">
        <v>0</v>
      </c>
      <c r="J139" s="82" t="b">
        <v>0</v>
      </c>
      <c r="K139" s="82" t="b">
        <v>1</v>
      </c>
      <c r="L139" s="82" t="b">
        <v>0</v>
      </c>
    </row>
    <row r="140" spans="1:12" ht="15">
      <c r="A140" s="84" t="s">
        <v>1033</v>
      </c>
      <c r="B140" s="103" t="s">
        <v>1034</v>
      </c>
      <c r="C140" s="82">
        <v>2</v>
      </c>
      <c r="D140" s="105">
        <v>0.002679799558615906</v>
      </c>
      <c r="E140" s="105">
        <v>2.8228216453031045</v>
      </c>
      <c r="F140" s="82" t="s">
        <v>1224</v>
      </c>
      <c r="G140" s="82" t="b">
        <v>0</v>
      </c>
      <c r="H140" s="82" t="b">
        <v>1</v>
      </c>
      <c r="I140" s="82" t="b">
        <v>0</v>
      </c>
      <c r="J140" s="82" t="b">
        <v>0</v>
      </c>
      <c r="K140" s="82" t="b">
        <v>0</v>
      </c>
      <c r="L140" s="82" t="b">
        <v>0</v>
      </c>
    </row>
    <row r="141" spans="1:12" ht="15">
      <c r="A141" s="84" t="s">
        <v>1034</v>
      </c>
      <c r="B141" s="103" t="s">
        <v>1035</v>
      </c>
      <c r="C141" s="82">
        <v>2</v>
      </c>
      <c r="D141" s="105">
        <v>0.002679799558615906</v>
      </c>
      <c r="E141" s="105">
        <v>2.8228216453031045</v>
      </c>
      <c r="F141" s="82" t="s">
        <v>1224</v>
      </c>
      <c r="G141" s="82" t="b">
        <v>0</v>
      </c>
      <c r="H141" s="82" t="b">
        <v>0</v>
      </c>
      <c r="I141" s="82" t="b">
        <v>0</v>
      </c>
      <c r="J141" s="82" t="b">
        <v>0</v>
      </c>
      <c r="K141" s="82" t="b">
        <v>0</v>
      </c>
      <c r="L141" s="82" t="b">
        <v>0</v>
      </c>
    </row>
    <row r="142" spans="1:12" ht="15">
      <c r="A142" s="84" t="s">
        <v>1035</v>
      </c>
      <c r="B142" s="103" t="s">
        <v>1036</v>
      </c>
      <c r="C142" s="82">
        <v>2</v>
      </c>
      <c r="D142" s="105">
        <v>0.002679799558615906</v>
      </c>
      <c r="E142" s="105">
        <v>2.8228216453031045</v>
      </c>
      <c r="F142" s="82" t="s">
        <v>1224</v>
      </c>
      <c r="G142" s="82" t="b">
        <v>0</v>
      </c>
      <c r="H142" s="82" t="b">
        <v>0</v>
      </c>
      <c r="I142" s="82" t="b">
        <v>0</v>
      </c>
      <c r="J142" s="82" t="b">
        <v>0</v>
      </c>
      <c r="K142" s="82" t="b">
        <v>0</v>
      </c>
      <c r="L142" s="82" t="b">
        <v>0</v>
      </c>
    </row>
    <row r="143" spans="1:12" ht="15">
      <c r="A143" s="84" t="s">
        <v>1040</v>
      </c>
      <c r="B143" s="103" t="s">
        <v>1041</v>
      </c>
      <c r="C143" s="82">
        <v>2</v>
      </c>
      <c r="D143" s="105">
        <v>0.002679799558615906</v>
      </c>
      <c r="E143" s="105">
        <v>2.8228216453031045</v>
      </c>
      <c r="F143" s="82" t="s">
        <v>1224</v>
      </c>
      <c r="G143" s="82" t="b">
        <v>0</v>
      </c>
      <c r="H143" s="82" t="b">
        <v>0</v>
      </c>
      <c r="I143" s="82" t="b">
        <v>0</v>
      </c>
      <c r="J143" s="82" t="b">
        <v>0</v>
      </c>
      <c r="K143" s="82" t="b">
        <v>0</v>
      </c>
      <c r="L143" s="82" t="b">
        <v>0</v>
      </c>
    </row>
    <row r="144" spans="1:12" ht="15">
      <c r="A144" s="84" t="s">
        <v>1041</v>
      </c>
      <c r="B144" s="103" t="s">
        <v>860</v>
      </c>
      <c r="C144" s="82">
        <v>2</v>
      </c>
      <c r="D144" s="105">
        <v>0.002679799558615906</v>
      </c>
      <c r="E144" s="105">
        <v>2.220761653975142</v>
      </c>
      <c r="F144" s="82" t="s">
        <v>1224</v>
      </c>
      <c r="G144" s="82" t="b">
        <v>0</v>
      </c>
      <c r="H144" s="82" t="b">
        <v>0</v>
      </c>
      <c r="I144" s="82" t="b">
        <v>0</v>
      </c>
      <c r="J144" s="82" t="b">
        <v>0</v>
      </c>
      <c r="K144" s="82" t="b">
        <v>0</v>
      </c>
      <c r="L144" s="82" t="b">
        <v>0</v>
      </c>
    </row>
    <row r="145" spans="1:12" ht="15">
      <c r="A145" s="84" t="s">
        <v>860</v>
      </c>
      <c r="B145" s="103" t="s">
        <v>845</v>
      </c>
      <c r="C145" s="82">
        <v>2</v>
      </c>
      <c r="D145" s="105">
        <v>0.002679799558615906</v>
      </c>
      <c r="E145" s="105">
        <v>1.4426104035914986</v>
      </c>
      <c r="F145" s="82" t="s">
        <v>1224</v>
      </c>
      <c r="G145" s="82" t="b">
        <v>0</v>
      </c>
      <c r="H145" s="82" t="b">
        <v>0</v>
      </c>
      <c r="I145" s="82" t="b">
        <v>0</v>
      </c>
      <c r="J145" s="82" t="b">
        <v>0</v>
      </c>
      <c r="K145" s="82" t="b">
        <v>0</v>
      </c>
      <c r="L145" s="82" t="b">
        <v>0</v>
      </c>
    </row>
    <row r="146" spans="1:12" ht="15">
      <c r="A146" s="84" t="s">
        <v>845</v>
      </c>
      <c r="B146" s="103" t="s">
        <v>857</v>
      </c>
      <c r="C146" s="82">
        <v>2</v>
      </c>
      <c r="D146" s="105">
        <v>0.002679799558615906</v>
      </c>
      <c r="E146" s="105">
        <v>1.1068183016683055</v>
      </c>
      <c r="F146" s="82" t="s">
        <v>1224</v>
      </c>
      <c r="G146" s="82" t="b">
        <v>0</v>
      </c>
      <c r="H146" s="82" t="b">
        <v>0</v>
      </c>
      <c r="I146" s="82" t="b">
        <v>0</v>
      </c>
      <c r="J146" s="82" t="b">
        <v>0</v>
      </c>
      <c r="K146" s="82" t="b">
        <v>0</v>
      </c>
      <c r="L146" s="82" t="b">
        <v>0</v>
      </c>
    </row>
    <row r="147" spans="1:12" ht="15">
      <c r="A147" s="84" t="s">
        <v>857</v>
      </c>
      <c r="B147" s="103" t="s">
        <v>1042</v>
      </c>
      <c r="C147" s="82">
        <v>2</v>
      </c>
      <c r="D147" s="105">
        <v>0.002679799558615906</v>
      </c>
      <c r="E147" s="105">
        <v>2.8228216453031045</v>
      </c>
      <c r="F147" s="82" t="s">
        <v>1224</v>
      </c>
      <c r="G147" s="82" t="b">
        <v>0</v>
      </c>
      <c r="H147" s="82" t="b">
        <v>0</v>
      </c>
      <c r="I147" s="82" t="b">
        <v>0</v>
      </c>
      <c r="J147" s="82" t="b">
        <v>0</v>
      </c>
      <c r="K147" s="82" t="b">
        <v>0</v>
      </c>
      <c r="L147" s="82" t="b">
        <v>0</v>
      </c>
    </row>
    <row r="148" spans="1:12" ht="15">
      <c r="A148" s="84" t="s">
        <v>1042</v>
      </c>
      <c r="B148" s="103" t="s">
        <v>866</v>
      </c>
      <c r="C148" s="82">
        <v>2</v>
      </c>
      <c r="D148" s="105">
        <v>0.002679799558615906</v>
      </c>
      <c r="E148" s="105">
        <v>2.278753600952829</v>
      </c>
      <c r="F148" s="82" t="s">
        <v>1224</v>
      </c>
      <c r="G148" s="82" t="b">
        <v>0</v>
      </c>
      <c r="H148" s="82" t="b">
        <v>0</v>
      </c>
      <c r="I148" s="82" t="b">
        <v>0</v>
      </c>
      <c r="J148" s="82" t="b">
        <v>0</v>
      </c>
      <c r="K148" s="82" t="b">
        <v>0</v>
      </c>
      <c r="L148" s="82" t="b">
        <v>0</v>
      </c>
    </row>
    <row r="149" spans="1:12" ht="15">
      <c r="A149" s="84" t="s">
        <v>866</v>
      </c>
      <c r="B149" s="103" t="s">
        <v>1043</v>
      </c>
      <c r="C149" s="82">
        <v>2</v>
      </c>
      <c r="D149" s="105">
        <v>0.002679799558615906</v>
      </c>
      <c r="E149" s="105">
        <v>2.278753600952829</v>
      </c>
      <c r="F149" s="82" t="s">
        <v>1224</v>
      </c>
      <c r="G149" s="82" t="b">
        <v>0</v>
      </c>
      <c r="H149" s="82" t="b">
        <v>0</v>
      </c>
      <c r="I149" s="82" t="b">
        <v>0</v>
      </c>
      <c r="J149" s="82" t="b">
        <v>0</v>
      </c>
      <c r="K149" s="82" t="b">
        <v>0</v>
      </c>
      <c r="L149" s="82" t="b">
        <v>0</v>
      </c>
    </row>
    <row r="150" spans="1:12" ht="15">
      <c r="A150" s="84" t="s">
        <v>1045</v>
      </c>
      <c r="B150" s="103" t="s">
        <v>908</v>
      </c>
      <c r="C150" s="82">
        <v>2</v>
      </c>
      <c r="D150" s="105">
        <v>0.0030455711207835624</v>
      </c>
      <c r="E150" s="105">
        <v>2.5217916496391233</v>
      </c>
      <c r="F150" s="82" t="s">
        <v>1224</v>
      </c>
      <c r="G150" s="82" t="b">
        <v>0</v>
      </c>
      <c r="H150" s="82" t="b">
        <v>0</v>
      </c>
      <c r="I150" s="82" t="b">
        <v>0</v>
      </c>
      <c r="J150" s="82" t="b">
        <v>0</v>
      </c>
      <c r="K150" s="82" t="b">
        <v>0</v>
      </c>
      <c r="L150" s="82" t="b">
        <v>0</v>
      </c>
    </row>
    <row r="151" spans="1:12" ht="15">
      <c r="A151" s="84" t="s">
        <v>1047</v>
      </c>
      <c r="B151" s="103" t="s">
        <v>1048</v>
      </c>
      <c r="C151" s="82">
        <v>2</v>
      </c>
      <c r="D151" s="105">
        <v>0.0030455711207835624</v>
      </c>
      <c r="E151" s="105">
        <v>2.8228216453031045</v>
      </c>
      <c r="F151" s="82" t="s">
        <v>1224</v>
      </c>
      <c r="G151" s="82" t="b">
        <v>0</v>
      </c>
      <c r="H151" s="82" t="b">
        <v>0</v>
      </c>
      <c r="I151" s="82" t="b">
        <v>0</v>
      </c>
      <c r="J151" s="82" t="b">
        <v>0</v>
      </c>
      <c r="K151" s="82" t="b">
        <v>0</v>
      </c>
      <c r="L151" s="82" t="b">
        <v>0</v>
      </c>
    </row>
    <row r="152" spans="1:12" ht="15">
      <c r="A152" s="84" t="s">
        <v>1049</v>
      </c>
      <c r="B152" s="103" t="s">
        <v>861</v>
      </c>
      <c r="C152" s="82">
        <v>2</v>
      </c>
      <c r="D152" s="105">
        <v>0.002679799558615906</v>
      </c>
      <c r="E152" s="105">
        <v>2.220761653975142</v>
      </c>
      <c r="F152" s="82" t="s">
        <v>1224</v>
      </c>
      <c r="G152" s="82" t="b">
        <v>0</v>
      </c>
      <c r="H152" s="82" t="b">
        <v>0</v>
      </c>
      <c r="I152" s="82" t="b">
        <v>0</v>
      </c>
      <c r="J152" s="82" t="b">
        <v>0</v>
      </c>
      <c r="K152" s="82" t="b">
        <v>0</v>
      </c>
      <c r="L152" s="82" t="b">
        <v>0</v>
      </c>
    </row>
    <row r="153" spans="1:12" ht="15">
      <c r="A153" s="84" t="s">
        <v>861</v>
      </c>
      <c r="B153" s="103" t="s">
        <v>1050</v>
      </c>
      <c r="C153" s="82">
        <v>2</v>
      </c>
      <c r="D153" s="105">
        <v>0.002679799558615906</v>
      </c>
      <c r="E153" s="105">
        <v>2.5217916496391233</v>
      </c>
      <c r="F153" s="82" t="s">
        <v>1224</v>
      </c>
      <c r="G153" s="82" t="b">
        <v>0</v>
      </c>
      <c r="H153" s="82" t="b">
        <v>0</v>
      </c>
      <c r="I153" s="82" t="b">
        <v>0</v>
      </c>
      <c r="J153" s="82" t="b">
        <v>0</v>
      </c>
      <c r="K153" s="82" t="b">
        <v>0</v>
      </c>
      <c r="L153" s="82" t="b">
        <v>0</v>
      </c>
    </row>
    <row r="154" spans="1:12" ht="15">
      <c r="A154" s="84" t="s">
        <v>1050</v>
      </c>
      <c r="B154" s="103" t="s">
        <v>1051</v>
      </c>
      <c r="C154" s="82">
        <v>2</v>
      </c>
      <c r="D154" s="105">
        <v>0.002679799558615906</v>
      </c>
      <c r="E154" s="105">
        <v>2.8228216453031045</v>
      </c>
      <c r="F154" s="82" t="s">
        <v>1224</v>
      </c>
      <c r="G154" s="82" t="b">
        <v>0</v>
      </c>
      <c r="H154" s="82" t="b">
        <v>0</v>
      </c>
      <c r="I154" s="82" t="b">
        <v>0</v>
      </c>
      <c r="J154" s="82" t="b">
        <v>0</v>
      </c>
      <c r="K154" s="82" t="b">
        <v>0</v>
      </c>
      <c r="L154" s="82" t="b">
        <v>0</v>
      </c>
    </row>
    <row r="155" spans="1:12" ht="15">
      <c r="A155" s="84" t="s">
        <v>1051</v>
      </c>
      <c r="B155" s="103" t="s">
        <v>1052</v>
      </c>
      <c r="C155" s="82">
        <v>2</v>
      </c>
      <c r="D155" s="105">
        <v>0.002679799558615906</v>
      </c>
      <c r="E155" s="105">
        <v>2.8228216453031045</v>
      </c>
      <c r="F155" s="82" t="s">
        <v>1224</v>
      </c>
      <c r="G155" s="82" t="b">
        <v>0</v>
      </c>
      <c r="H155" s="82" t="b">
        <v>0</v>
      </c>
      <c r="I155" s="82" t="b">
        <v>0</v>
      </c>
      <c r="J155" s="82" t="b">
        <v>0</v>
      </c>
      <c r="K155" s="82" t="b">
        <v>0</v>
      </c>
      <c r="L155" s="82" t="b">
        <v>0</v>
      </c>
    </row>
    <row r="156" spans="1:12" ht="15">
      <c r="A156" s="84" t="s">
        <v>1052</v>
      </c>
      <c r="B156" s="103" t="s">
        <v>861</v>
      </c>
      <c r="C156" s="82">
        <v>2</v>
      </c>
      <c r="D156" s="105">
        <v>0.002679799558615906</v>
      </c>
      <c r="E156" s="105">
        <v>2.220761653975142</v>
      </c>
      <c r="F156" s="82" t="s">
        <v>1224</v>
      </c>
      <c r="G156" s="82" t="b">
        <v>0</v>
      </c>
      <c r="H156" s="82" t="b">
        <v>0</v>
      </c>
      <c r="I156" s="82" t="b">
        <v>0</v>
      </c>
      <c r="J156" s="82" t="b">
        <v>0</v>
      </c>
      <c r="K156" s="82" t="b">
        <v>0</v>
      </c>
      <c r="L156" s="82" t="b">
        <v>0</v>
      </c>
    </row>
    <row r="157" spans="1:12" ht="15">
      <c r="A157" s="84" t="s">
        <v>861</v>
      </c>
      <c r="B157" s="103" t="s">
        <v>1053</v>
      </c>
      <c r="C157" s="82">
        <v>2</v>
      </c>
      <c r="D157" s="105">
        <v>0.002679799558615906</v>
      </c>
      <c r="E157" s="105">
        <v>2.5217916496391233</v>
      </c>
      <c r="F157" s="82" t="s">
        <v>1224</v>
      </c>
      <c r="G157" s="82" t="b">
        <v>0</v>
      </c>
      <c r="H157" s="82" t="b">
        <v>0</v>
      </c>
      <c r="I157" s="82" t="b">
        <v>0</v>
      </c>
      <c r="J157" s="82" t="b">
        <v>0</v>
      </c>
      <c r="K157" s="82" t="b">
        <v>0</v>
      </c>
      <c r="L157" s="82" t="b">
        <v>0</v>
      </c>
    </row>
    <row r="158" spans="1:12" ht="15">
      <c r="A158" s="84" t="s">
        <v>1053</v>
      </c>
      <c r="B158" s="103" t="s">
        <v>1054</v>
      </c>
      <c r="C158" s="82">
        <v>2</v>
      </c>
      <c r="D158" s="105">
        <v>0.002679799558615906</v>
      </c>
      <c r="E158" s="105">
        <v>2.8228216453031045</v>
      </c>
      <c r="F158" s="82" t="s">
        <v>1224</v>
      </c>
      <c r="G158" s="82" t="b">
        <v>0</v>
      </c>
      <c r="H158" s="82" t="b">
        <v>0</v>
      </c>
      <c r="I158" s="82" t="b">
        <v>0</v>
      </c>
      <c r="J158" s="82" t="b">
        <v>0</v>
      </c>
      <c r="K158" s="82" t="b">
        <v>0</v>
      </c>
      <c r="L158" s="82" t="b">
        <v>0</v>
      </c>
    </row>
    <row r="159" spans="1:12" ht="15">
      <c r="A159" s="84" t="s">
        <v>963</v>
      </c>
      <c r="B159" s="103" t="s">
        <v>1055</v>
      </c>
      <c r="C159" s="82">
        <v>2</v>
      </c>
      <c r="D159" s="105">
        <v>0.002679799558615906</v>
      </c>
      <c r="E159" s="105">
        <v>2.646730386247423</v>
      </c>
      <c r="F159" s="82" t="s">
        <v>1224</v>
      </c>
      <c r="G159" s="82" t="b">
        <v>0</v>
      </c>
      <c r="H159" s="82" t="b">
        <v>0</v>
      </c>
      <c r="I159" s="82" t="b">
        <v>0</v>
      </c>
      <c r="J159" s="82" t="b">
        <v>0</v>
      </c>
      <c r="K159" s="82" t="b">
        <v>0</v>
      </c>
      <c r="L159" s="82" t="b">
        <v>0</v>
      </c>
    </row>
    <row r="160" spans="1:12" ht="15">
      <c r="A160" s="84" t="s">
        <v>1055</v>
      </c>
      <c r="B160" s="103" t="s">
        <v>1056</v>
      </c>
      <c r="C160" s="82">
        <v>2</v>
      </c>
      <c r="D160" s="105">
        <v>0.002679799558615906</v>
      </c>
      <c r="E160" s="105">
        <v>2.8228216453031045</v>
      </c>
      <c r="F160" s="82" t="s">
        <v>1224</v>
      </c>
      <c r="G160" s="82" t="b">
        <v>0</v>
      </c>
      <c r="H160" s="82" t="b">
        <v>0</v>
      </c>
      <c r="I160" s="82" t="b">
        <v>0</v>
      </c>
      <c r="J160" s="82" t="b">
        <v>0</v>
      </c>
      <c r="K160" s="82" t="b">
        <v>0</v>
      </c>
      <c r="L160" s="82" t="b">
        <v>0</v>
      </c>
    </row>
    <row r="161" spans="1:12" ht="15">
      <c r="A161" s="84" t="s">
        <v>1056</v>
      </c>
      <c r="B161" s="103" t="s">
        <v>848</v>
      </c>
      <c r="C161" s="82">
        <v>2</v>
      </c>
      <c r="D161" s="105">
        <v>0.002679799558615906</v>
      </c>
      <c r="E161" s="105">
        <v>2.009908288660249</v>
      </c>
      <c r="F161" s="82" t="s">
        <v>1224</v>
      </c>
      <c r="G161" s="82" t="b">
        <v>0</v>
      </c>
      <c r="H161" s="82" t="b">
        <v>0</v>
      </c>
      <c r="I161" s="82" t="b">
        <v>0</v>
      </c>
      <c r="J161" s="82" t="b">
        <v>0</v>
      </c>
      <c r="K161" s="82" t="b">
        <v>0</v>
      </c>
      <c r="L161" s="82" t="b">
        <v>0</v>
      </c>
    </row>
    <row r="162" spans="1:12" ht="15">
      <c r="A162" s="84" t="s">
        <v>969</v>
      </c>
      <c r="B162" s="103" t="s">
        <v>969</v>
      </c>
      <c r="C162" s="82">
        <v>2</v>
      </c>
      <c r="D162" s="105">
        <v>0.0030455711207835624</v>
      </c>
      <c r="E162" s="105">
        <v>2.646730386247423</v>
      </c>
      <c r="F162" s="82" t="s">
        <v>1224</v>
      </c>
      <c r="G162" s="82" t="b">
        <v>0</v>
      </c>
      <c r="H162" s="82" t="b">
        <v>0</v>
      </c>
      <c r="I162" s="82" t="b">
        <v>0</v>
      </c>
      <c r="J162" s="82" t="b">
        <v>0</v>
      </c>
      <c r="K162" s="82" t="b">
        <v>0</v>
      </c>
      <c r="L162" s="82" t="b">
        <v>0</v>
      </c>
    </row>
    <row r="163" spans="1:12" ht="15">
      <c r="A163" s="84" t="s">
        <v>843</v>
      </c>
      <c r="B163" s="103" t="s">
        <v>1057</v>
      </c>
      <c r="C163" s="82">
        <v>2</v>
      </c>
      <c r="D163" s="105">
        <v>0.002679799558615906</v>
      </c>
      <c r="E163" s="105">
        <v>1.4803989644808984</v>
      </c>
      <c r="F163" s="82" t="s">
        <v>1224</v>
      </c>
      <c r="G163" s="82" t="b">
        <v>0</v>
      </c>
      <c r="H163" s="82" t="b">
        <v>0</v>
      </c>
      <c r="I163" s="82" t="b">
        <v>0</v>
      </c>
      <c r="J163" s="82" t="b">
        <v>0</v>
      </c>
      <c r="K163" s="82" t="b">
        <v>0</v>
      </c>
      <c r="L163" s="82" t="b">
        <v>0</v>
      </c>
    </row>
    <row r="164" spans="1:12" ht="15">
      <c r="A164" s="84" t="s">
        <v>1058</v>
      </c>
      <c r="B164" s="103" t="s">
        <v>1059</v>
      </c>
      <c r="C164" s="82">
        <v>2</v>
      </c>
      <c r="D164" s="105">
        <v>0.002679799558615906</v>
      </c>
      <c r="E164" s="105">
        <v>2.8228216453031045</v>
      </c>
      <c r="F164" s="82" t="s">
        <v>1224</v>
      </c>
      <c r="G164" s="82" t="b">
        <v>0</v>
      </c>
      <c r="H164" s="82" t="b">
        <v>0</v>
      </c>
      <c r="I164" s="82" t="b">
        <v>0</v>
      </c>
      <c r="J164" s="82" t="b">
        <v>0</v>
      </c>
      <c r="K164" s="82" t="b">
        <v>0</v>
      </c>
      <c r="L164" s="82" t="b">
        <v>0</v>
      </c>
    </row>
    <row r="165" spans="1:12" ht="15">
      <c r="A165" s="84" t="s">
        <v>1059</v>
      </c>
      <c r="B165" s="103" t="s">
        <v>851</v>
      </c>
      <c r="C165" s="82">
        <v>2</v>
      </c>
      <c r="D165" s="105">
        <v>0.002679799558615906</v>
      </c>
      <c r="E165" s="105">
        <v>2.123851640967086</v>
      </c>
      <c r="F165" s="82" t="s">
        <v>1224</v>
      </c>
      <c r="G165" s="82" t="b">
        <v>0</v>
      </c>
      <c r="H165" s="82" t="b">
        <v>0</v>
      </c>
      <c r="I165" s="82" t="b">
        <v>0</v>
      </c>
      <c r="J165" s="82" t="b">
        <v>0</v>
      </c>
      <c r="K165" s="82" t="b">
        <v>0</v>
      </c>
      <c r="L165" s="82" t="b">
        <v>0</v>
      </c>
    </row>
    <row r="166" spans="1:12" ht="15">
      <c r="A166" s="84" t="s">
        <v>851</v>
      </c>
      <c r="B166" s="103" t="s">
        <v>1060</v>
      </c>
      <c r="C166" s="82">
        <v>2</v>
      </c>
      <c r="D166" s="105">
        <v>0.002679799558615906</v>
      </c>
      <c r="E166" s="105">
        <v>2.123851640967086</v>
      </c>
      <c r="F166" s="82" t="s">
        <v>1224</v>
      </c>
      <c r="G166" s="82" t="b">
        <v>0</v>
      </c>
      <c r="H166" s="82" t="b">
        <v>0</v>
      </c>
      <c r="I166" s="82" t="b">
        <v>0</v>
      </c>
      <c r="J166" s="82" t="b">
        <v>0</v>
      </c>
      <c r="K166" s="82" t="b">
        <v>0</v>
      </c>
      <c r="L166" s="82" t="b">
        <v>0</v>
      </c>
    </row>
    <row r="167" spans="1:12" ht="15">
      <c r="A167" s="84" t="s">
        <v>1060</v>
      </c>
      <c r="B167" s="103" t="s">
        <v>881</v>
      </c>
      <c r="C167" s="82">
        <v>2</v>
      </c>
      <c r="D167" s="105">
        <v>0.002679799558615906</v>
      </c>
      <c r="E167" s="105">
        <v>2.345700390583442</v>
      </c>
      <c r="F167" s="82" t="s">
        <v>1224</v>
      </c>
      <c r="G167" s="82" t="b">
        <v>0</v>
      </c>
      <c r="H167" s="82" t="b">
        <v>0</v>
      </c>
      <c r="I167" s="82" t="b">
        <v>0</v>
      </c>
      <c r="J167" s="82" t="b">
        <v>0</v>
      </c>
      <c r="K167" s="82" t="b">
        <v>0</v>
      </c>
      <c r="L167" s="82" t="b">
        <v>0</v>
      </c>
    </row>
    <row r="168" spans="1:12" ht="15">
      <c r="A168" s="84" t="s">
        <v>881</v>
      </c>
      <c r="B168" s="103" t="s">
        <v>1061</v>
      </c>
      <c r="C168" s="82">
        <v>2</v>
      </c>
      <c r="D168" s="105">
        <v>0.002679799558615906</v>
      </c>
      <c r="E168" s="105">
        <v>2.8228216453031045</v>
      </c>
      <c r="F168" s="82" t="s">
        <v>1224</v>
      </c>
      <c r="G168" s="82" t="b">
        <v>0</v>
      </c>
      <c r="H168" s="82" t="b">
        <v>0</v>
      </c>
      <c r="I168" s="82" t="b">
        <v>0</v>
      </c>
      <c r="J168" s="82" t="b">
        <v>0</v>
      </c>
      <c r="K168" s="82" t="b">
        <v>0</v>
      </c>
      <c r="L168" s="82" t="b">
        <v>0</v>
      </c>
    </row>
    <row r="169" spans="1:12" ht="15">
      <c r="A169" s="84" t="s">
        <v>1063</v>
      </c>
      <c r="B169" s="103" t="s">
        <v>1064</v>
      </c>
      <c r="C169" s="82">
        <v>2</v>
      </c>
      <c r="D169" s="105">
        <v>0.002679799558615906</v>
      </c>
      <c r="E169" s="105">
        <v>2.8228216453031045</v>
      </c>
      <c r="F169" s="82" t="s">
        <v>1224</v>
      </c>
      <c r="G169" s="82" t="b">
        <v>0</v>
      </c>
      <c r="H169" s="82" t="b">
        <v>0</v>
      </c>
      <c r="I169" s="82" t="b">
        <v>0</v>
      </c>
      <c r="J169" s="82" t="b">
        <v>0</v>
      </c>
      <c r="K169" s="82" t="b">
        <v>0</v>
      </c>
      <c r="L169" s="82" t="b">
        <v>0</v>
      </c>
    </row>
    <row r="170" spans="1:12" ht="15">
      <c r="A170" s="84" t="s">
        <v>1064</v>
      </c>
      <c r="B170" s="103" t="s">
        <v>851</v>
      </c>
      <c r="C170" s="82">
        <v>2</v>
      </c>
      <c r="D170" s="105">
        <v>0.002679799558615906</v>
      </c>
      <c r="E170" s="105">
        <v>2.123851640967086</v>
      </c>
      <c r="F170" s="82" t="s">
        <v>1224</v>
      </c>
      <c r="G170" s="82" t="b">
        <v>0</v>
      </c>
      <c r="H170" s="82" t="b">
        <v>0</v>
      </c>
      <c r="I170" s="82" t="b">
        <v>0</v>
      </c>
      <c r="J170" s="82" t="b">
        <v>0</v>
      </c>
      <c r="K170" s="82" t="b">
        <v>0</v>
      </c>
      <c r="L170" s="82" t="b">
        <v>0</v>
      </c>
    </row>
    <row r="171" spans="1:12" ht="15">
      <c r="A171" s="84" t="s">
        <v>851</v>
      </c>
      <c r="B171" s="103" t="s">
        <v>1065</v>
      </c>
      <c r="C171" s="82">
        <v>2</v>
      </c>
      <c r="D171" s="105">
        <v>0.002679799558615906</v>
      </c>
      <c r="E171" s="105">
        <v>2.123851640967086</v>
      </c>
      <c r="F171" s="82" t="s">
        <v>1224</v>
      </c>
      <c r="G171" s="82" t="b">
        <v>0</v>
      </c>
      <c r="H171" s="82" t="b">
        <v>0</v>
      </c>
      <c r="I171" s="82" t="b">
        <v>0</v>
      </c>
      <c r="J171" s="82" t="b">
        <v>0</v>
      </c>
      <c r="K171" s="82" t="b">
        <v>0</v>
      </c>
      <c r="L171" s="82" t="b">
        <v>0</v>
      </c>
    </row>
    <row r="172" spans="1:12" ht="15">
      <c r="A172" s="84" t="s">
        <v>1065</v>
      </c>
      <c r="B172" s="103" t="s">
        <v>1066</v>
      </c>
      <c r="C172" s="82">
        <v>2</v>
      </c>
      <c r="D172" s="105">
        <v>0.002679799558615906</v>
      </c>
      <c r="E172" s="105">
        <v>2.8228216453031045</v>
      </c>
      <c r="F172" s="82" t="s">
        <v>1224</v>
      </c>
      <c r="G172" s="82" t="b">
        <v>0</v>
      </c>
      <c r="H172" s="82" t="b">
        <v>0</v>
      </c>
      <c r="I172" s="82" t="b">
        <v>0</v>
      </c>
      <c r="J172" s="82" t="b">
        <v>0</v>
      </c>
      <c r="K172" s="82" t="b">
        <v>1</v>
      </c>
      <c r="L172" s="82" t="b">
        <v>0</v>
      </c>
    </row>
    <row r="173" spans="1:12" ht="15">
      <c r="A173" s="84" t="s">
        <v>1066</v>
      </c>
      <c r="B173" s="103" t="s">
        <v>879</v>
      </c>
      <c r="C173" s="82">
        <v>2</v>
      </c>
      <c r="D173" s="105">
        <v>0.002679799558615906</v>
      </c>
      <c r="E173" s="105">
        <v>2.345700390583442</v>
      </c>
      <c r="F173" s="82" t="s">
        <v>1224</v>
      </c>
      <c r="G173" s="82" t="b">
        <v>0</v>
      </c>
      <c r="H173" s="82" t="b">
        <v>1</v>
      </c>
      <c r="I173" s="82" t="b">
        <v>0</v>
      </c>
      <c r="J173" s="82" t="b">
        <v>0</v>
      </c>
      <c r="K173" s="82" t="b">
        <v>0</v>
      </c>
      <c r="L173" s="82" t="b">
        <v>0</v>
      </c>
    </row>
    <row r="174" spans="1:12" ht="15">
      <c r="A174" s="84" t="s">
        <v>879</v>
      </c>
      <c r="B174" s="103" t="s">
        <v>1067</v>
      </c>
      <c r="C174" s="82">
        <v>2</v>
      </c>
      <c r="D174" s="105">
        <v>0.002679799558615906</v>
      </c>
      <c r="E174" s="105">
        <v>2.8228216453031045</v>
      </c>
      <c r="F174" s="82" t="s">
        <v>1224</v>
      </c>
      <c r="G174" s="82" t="b">
        <v>0</v>
      </c>
      <c r="H174" s="82" t="b">
        <v>0</v>
      </c>
      <c r="I174" s="82" t="b">
        <v>0</v>
      </c>
      <c r="J174" s="82" t="b">
        <v>0</v>
      </c>
      <c r="K174" s="82" t="b">
        <v>0</v>
      </c>
      <c r="L174" s="82" t="b">
        <v>0</v>
      </c>
    </row>
    <row r="175" spans="1:12" ht="15">
      <c r="A175" s="84" t="s">
        <v>1068</v>
      </c>
      <c r="B175" s="103" t="s">
        <v>1069</v>
      </c>
      <c r="C175" s="82">
        <v>2</v>
      </c>
      <c r="D175" s="105">
        <v>0.002679799558615906</v>
      </c>
      <c r="E175" s="105">
        <v>2.8228216453031045</v>
      </c>
      <c r="F175" s="82" t="s">
        <v>1224</v>
      </c>
      <c r="G175" s="82" t="b">
        <v>0</v>
      </c>
      <c r="H175" s="82" t="b">
        <v>0</v>
      </c>
      <c r="I175" s="82" t="b">
        <v>0</v>
      </c>
      <c r="J175" s="82" t="b">
        <v>0</v>
      </c>
      <c r="K175" s="82" t="b">
        <v>0</v>
      </c>
      <c r="L175" s="82" t="b">
        <v>0</v>
      </c>
    </row>
    <row r="176" spans="1:12" ht="15">
      <c r="A176" s="84" t="s">
        <v>1070</v>
      </c>
      <c r="B176" s="103" t="s">
        <v>1071</v>
      </c>
      <c r="C176" s="82">
        <v>2</v>
      </c>
      <c r="D176" s="105">
        <v>0.002679799558615906</v>
      </c>
      <c r="E176" s="105">
        <v>2.8228216453031045</v>
      </c>
      <c r="F176" s="82" t="s">
        <v>1224</v>
      </c>
      <c r="G176" s="82" t="b">
        <v>0</v>
      </c>
      <c r="H176" s="82" t="b">
        <v>0</v>
      </c>
      <c r="I176" s="82" t="b">
        <v>0</v>
      </c>
      <c r="J176" s="82" t="b">
        <v>0</v>
      </c>
      <c r="K176" s="82" t="b">
        <v>0</v>
      </c>
      <c r="L176" s="82" t="b">
        <v>0</v>
      </c>
    </row>
    <row r="177" spans="1:12" ht="15">
      <c r="A177" s="84" t="s">
        <v>1071</v>
      </c>
      <c r="B177" s="103" t="s">
        <v>851</v>
      </c>
      <c r="C177" s="82">
        <v>2</v>
      </c>
      <c r="D177" s="105">
        <v>0.002679799558615906</v>
      </c>
      <c r="E177" s="105">
        <v>2.123851640967086</v>
      </c>
      <c r="F177" s="82" t="s">
        <v>1224</v>
      </c>
      <c r="G177" s="82" t="b">
        <v>0</v>
      </c>
      <c r="H177" s="82" t="b">
        <v>0</v>
      </c>
      <c r="I177" s="82" t="b">
        <v>0</v>
      </c>
      <c r="J177" s="82" t="b">
        <v>0</v>
      </c>
      <c r="K177" s="82" t="b">
        <v>0</v>
      </c>
      <c r="L177" s="82" t="b">
        <v>0</v>
      </c>
    </row>
    <row r="178" spans="1:12" ht="15">
      <c r="A178" s="84" t="s">
        <v>851</v>
      </c>
      <c r="B178" s="103" t="s">
        <v>864</v>
      </c>
      <c r="C178" s="82">
        <v>2</v>
      </c>
      <c r="D178" s="105">
        <v>0.002679799558615906</v>
      </c>
      <c r="E178" s="105">
        <v>1.5797835966168103</v>
      </c>
      <c r="F178" s="82" t="s">
        <v>1224</v>
      </c>
      <c r="G178" s="82" t="b">
        <v>0</v>
      </c>
      <c r="H178" s="82" t="b">
        <v>0</v>
      </c>
      <c r="I178" s="82" t="b">
        <v>0</v>
      </c>
      <c r="J178" s="82" t="b">
        <v>0</v>
      </c>
      <c r="K178" s="82" t="b">
        <v>0</v>
      </c>
      <c r="L178" s="82" t="b">
        <v>0</v>
      </c>
    </row>
    <row r="179" spans="1:12" ht="15">
      <c r="A179" s="84" t="s">
        <v>864</v>
      </c>
      <c r="B179" s="103" t="s">
        <v>923</v>
      </c>
      <c r="C179" s="82">
        <v>2</v>
      </c>
      <c r="D179" s="105">
        <v>0.002679799558615906</v>
      </c>
      <c r="E179" s="105">
        <v>1.9777236052888478</v>
      </c>
      <c r="F179" s="82" t="s">
        <v>1224</v>
      </c>
      <c r="G179" s="82" t="b">
        <v>0</v>
      </c>
      <c r="H179" s="82" t="b">
        <v>0</v>
      </c>
      <c r="I179" s="82" t="b">
        <v>0</v>
      </c>
      <c r="J179" s="82" t="b">
        <v>0</v>
      </c>
      <c r="K179" s="82" t="b">
        <v>0</v>
      </c>
      <c r="L179" s="82" t="b">
        <v>0</v>
      </c>
    </row>
    <row r="180" spans="1:12" ht="15">
      <c r="A180" s="84" t="s">
        <v>923</v>
      </c>
      <c r="B180" s="103" t="s">
        <v>1072</v>
      </c>
      <c r="C180" s="82">
        <v>2</v>
      </c>
      <c r="D180" s="105">
        <v>0.002679799558615906</v>
      </c>
      <c r="E180" s="105">
        <v>2.5217916496391233</v>
      </c>
      <c r="F180" s="82" t="s">
        <v>1224</v>
      </c>
      <c r="G180" s="82" t="b">
        <v>0</v>
      </c>
      <c r="H180" s="82" t="b">
        <v>0</v>
      </c>
      <c r="I180" s="82" t="b">
        <v>0</v>
      </c>
      <c r="J180" s="82" t="b">
        <v>0</v>
      </c>
      <c r="K180" s="82" t="b">
        <v>0</v>
      </c>
      <c r="L180" s="82" t="b">
        <v>0</v>
      </c>
    </row>
    <row r="181" spans="1:12" ht="15">
      <c r="A181" s="84" t="s">
        <v>1072</v>
      </c>
      <c r="B181" s="103" t="s">
        <v>1073</v>
      </c>
      <c r="C181" s="82">
        <v>2</v>
      </c>
      <c r="D181" s="105">
        <v>0.002679799558615906</v>
      </c>
      <c r="E181" s="105">
        <v>2.8228216453031045</v>
      </c>
      <c r="F181" s="82" t="s">
        <v>1224</v>
      </c>
      <c r="G181" s="82" t="b">
        <v>0</v>
      </c>
      <c r="H181" s="82" t="b">
        <v>0</v>
      </c>
      <c r="I181" s="82" t="b">
        <v>0</v>
      </c>
      <c r="J181" s="82" t="b">
        <v>0</v>
      </c>
      <c r="K181" s="82" t="b">
        <v>0</v>
      </c>
      <c r="L181" s="82" t="b">
        <v>0</v>
      </c>
    </row>
    <row r="182" spans="1:12" ht="15">
      <c r="A182" s="84" t="s">
        <v>973</v>
      </c>
      <c r="B182" s="103" t="s">
        <v>970</v>
      </c>
      <c r="C182" s="82">
        <v>2</v>
      </c>
      <c r="D182" s="105">
        <v>0.0030455711207835624</v>
      </c>
      <c r="E182" s="105">
        <v>2.4706391271917423</v>
      </c>
      <c r="F182" s="82" t="s">
        <v>1224</v>
      </c>
      <c r="G182" s="82" t="b">
        <v>0</v>
      </c>
      <c r="H182" s="82" t="b">
        <v>0</v>
      </c>
      <c r="I182" s="82" t="b">
        <v>0</v>
      </c>
      <c r="J182" s="82" t="b">
        <v>0</v>
      </c>
      <c r="K182" s="82" t="b">
        <v>0</v>
      </c>
      <c r="L182" s="82" t="b">
        <v>0</v>
      </c>
    </row>
    <row r="183" spans="1:12" ht="15">
      <c r="A183" s="84" t="s">
        <v>1080</v>
      </c>
      <c r="B183" s="103" t="s">
        <v>1081</v>
      </c>
      <c r="C183" s="82">
        <v>2</v>
      </c>
      <c r="D183" s="105">
        <v>0.0030455711207835624</v>
      </c>
      <c r="E183" s="105">
        <v>2.8228216453031045</v>
      </c>
      <c r="F183" s="82" t="s">
        <v>1224</v>
      </c>
      <c r="G183" s="82" t="b">
        <v>0</v>
      </c>
      <c r="H183" s="82" t="b">
        <v>0</v>
      </c>
      <c r="I183" s="82" t="b">
        <v>0</v>
      </c>
      <c r="J183" s="82" t="b">
        <v>0</v>
      </c>
      <c r="K183" s="82" t="b">
        <v>0</v>
      </c>
      <c r="L183" s="82" t="b">
        <v>0</v>
      </c>
    </row>
    <row r="184" spans="1:12" ht="15">
      <c r="A184" s="84" t="s">
        <v>1082</v>
      </c>
      <c r="B184" s="103" t="s">
        <v>1083</v>
      </c>
      <c r="C184" s="82">
        <v>2</v>
      </c>
      <c r="D184" s="105">
        <v>0.002679799558615906</v>
      </c>
      <c r="E184" s="105">
        <v>2.8228216453031045</v>
      </c>
      <c r="F184" s="82" t="s">
        <v>1224</v>
      </c>
      <c r="G184" s="82" t="b">
        <v>0</v>
      </c>
      <c r="H184" s="82" t="b">
        <v>0</v>
      </c>
      <c r="I184" s="82" t="b">
        <v>0</v>
      </c>
      <c r="J184" s="82" t="b">
        <v>0</v>
      </c>
      <c r="K184" s="82" t="b">
        <v>0</v>
      </c>
      <c r="L184" s="82" t="b">
        <v>0</v>
      </c>
    </row>
    <row r="185" spans="1:12" ht="15">
      <c r="A185" s="84" t="s">
        <v>1083</v>
      </c>
      <c r="B185" s="103" t="s">
        <v>974</v>
      </c>
      <c r="C185" s="82">
        <v>2</v>
      </c>
      <c r="D185" s="105">
        <v>0.002679799558615906</v>
      </c>
      <c r="E185" s="105">
        <v>2.8228216453031045</v>
      </c>
      <c r="F185" s="82" t="s">
        <v>1224</v>
      </c>
      <c r="G185" s="82" t="b">
        <v>0</v>
      </c>
      <c r="H185" s="82" t="b">
        <v>0</v>
      </c>
      <c r="I185" s="82" t="b">
        <v>0</v>
      </c>
      <c r="J185" s="82" t="b">
        <v>0</v>
      </c>
      <c r="K185" s="82" t="b">
        <v>0</v>
      </c>
      <c r="L185" s="82" t="b">
        <v>0</v>
      </c>
    </row>
    <row r="186" spans="1:12" ht="15">
      <c r="A186" s="84" t="s">
        <v>974</v>
      </c>
      <c r="B186" s="103" t="s">
        <v>909</v>
      </c>
      <c r="C186" s="82">
        <v>2</v>
      </c>
      <c r="D186" s="105">
        <v>0.002679799558615906</v>
      </c>
      <c r="E186" s="105">
        <v>2.345700390583442</v>
      </c>
      <c r="F186" s="82" t="s">
        <v>1224</v>
      </c>
      <c r="G186" s="82" t="b">
        <v>0</v>
      </c>
      <c r="H186" s="82" t="b">
        <v>0</v>
      </c>
      <c r="I186" s="82" t="b">
        <v>0</v>
      </c>
      <c r="J186" s="82" t="b">
        <v>0</v>
      </c>
      <c r="K186" s="82" t="b">
        <v>0</v>
      </c>
      <c r="L186" s="82" t="b">
        <v>0</v>
      </c>
    </row>
    <row r="187" spans="1:12" ht="15">
      <c r="A187" s="84" t="s">
        <v>1084</v>
      </c>
      <c r="B187" s="103" t="s">
        <v>1085</v>
      </c>
      <c r="C187" s="82">
        <v>2</v>
      </c>
      <c r="D187" s="105">
        <v>0.002679799558615906</v>
      </c>
      <c r="E187" s="105">
        <v>2.8228216453031045</v>
      </c>
      <c r="F187" s="82" t="s">
        <v>1224</v>
      </c>
      <c r="G187" s="82" t="b">
        <v>0</v>
      </c>
      <c r="H187" s="82" t="b">
        <v>0</v>
      </c>
      <c r="I187" s="82" t="b">
        <v>0</v>
      </c>
      <c r="J187" s="82" t="b">
        <v>0</v>
      </c>
      <c r="K187" s="82" t="b">
        <v>0</v>
      </c>
      <c r="L187" s="82" t="b">
        <v>0</v>
      </c>
    </row>
    <row r="188" spans="1:12" ht="15">
      <c r="A188" s="84" t="s">
        <v>1085</v>
      </c>
      <c r="B188" s="103" t="s">
        <v>897</v>
      </c>
      <c r="C188" s="82">
        <v>2</v>
      </c>
      <c r="D188" s="105">
        <v>0.002679799558615906</v>
      </c>
      <c r="E188" s="105">
        <v>2.424881636631067</v>
      </c>
      <c r="F188" s="82" t="s">
        <v>1224</v>
      </c>
      <c r="G188" s="82" t="b">
        <v>0</v>
      </c>
      <c r="H188" s="82" t="b">
        <v>0</v>
      </c>
      <c r="I188" s="82" t="b">
        <v>0</v>
      </c>
      <c r="J188" s="82" t="b">
        <v>0</v>
      </c>
      <c r="K188" s="82" t="b">
        <v>0</v>
      </c>
      <c r="L188" s="82" t="b">
        <v>0</v>
      </c>
    </row>
    <row r="189" spans="1:12" ht="15">
      <c r="A189" s="84" t="s">
        <v>897</v>
      </c>
      <c r="B189" s="103" t="s">
        <v>1086</v>
      </c>
      <c r="C189" s="82">
        <v>2</v>
      </c>
      <c r="D189" s="105">
        <v>0.002679799558615906</v>
      </c>
      <c r="E189" s="105">
        <v>2.424881636631067</v>
      </c>
      <c r="F189" s="82" t="s">
        <v>1224</v>
      </c>
      <c r="G189" s="82" t="b">
        <v>0</v>
      </c>
      <c r="H189" s="82" t="b">
        <v>0</v>
      </c>
      <c r="I189" s="82" t="b">
        <v>0</v>
      </c>
      <c r="J189" s="82" t="b">
        <v>0</v>
      </c>
      <c r="K189" s="82" t="b">
        <v>0</v>
      </c>
      <c r="L189" s="82" t="b">
        <v>0</v>
      </c>
    </row>
    <row r="190" spans="1:12" ht="15">
      <c r="A190" s="84" t="s">
        <v>1086</v>
      </c>
      <c r="B190" s="103" t="s">
        <v>1087</v>
      </c>
      <c r="C190" s="82">
        <v>2</v>
      </c>
      <c r="D190" s="105">
        <v>0.002679799558615906</v>
      </c>
      <c r="E190" s="105">
        <v>2.8228216453031045</v>
      </c>
      <c r="F190" s="82" t="s">
        <v>1224</v>
      </c>
      <c r="G190" s="82" t="b">
        <v>0</v>
      </c>
      <c r="H190" s="82" t="b">
        <v>0</v>
      </c>
      <c r="I190" s="82" t="b">
        <v>0</v>
      </c>
      <c r="J190" s="82" t="b">
        <v>0</v>
      </c>
      <c r="K190" s="82" t="b">
        <v>0</v>
      </c>
      <c r="L190" s="82" t="b">
        <v>0</v>
      </c>
    </row>
    <row r="191" spans="1:12" ht="15">
      <c r="A191" s="84" t="s">
        <v>977</v>
      </c>
      <c r="B191" s="103" t="s">
        <v>1088</v>
      </c>
      <c r="C191" s="82">
        <v>2</v>
      </c>
      <c r="D191" s="105">
        <v>0.002679799558615906</v>
      </c>
      <c r="E191" s="105">
        <v>2.646730386247423</v>
      </c>
      <c r="F191" s="82" t="s">
        <v>1224</v>
      </c>
      <c r="G191" s="82" t="b">
        <v>0</v>
      </c>
      <c r="H191" s="82" t="b">
        <v>0</v>
      </c>
      <c r="I191" s="82" t="b">
        <v>0</v>
      </c>
      <c r="J191" s="82" t="b">
        <v>0</v>
      </c>
      <c r="K191" s="82" t="b">
        <v>0</v>
      </c>
      <c r="L191" s="82" t="b">
        <v>0</v>
      </c>
    </row>
    <row r="192" spans="1:12" ht="15">
      <c r="A192" s="84" t="s">
        <v>1088</v>
      </c>
      <c r="B192" s="103" t="s">
        <v>897</v>
      </c>
      <c r="C192" s="82">
        <v>2</v>
      </c>
      <c r="D192" s="105">
        <v>0.002679799558615906</v>
      </c>
      <c r="E192" s="105">
        <v>2.424881636631067</v>
      </c>
      <c r="F192" s="82" t="s">
        <v>1224</v>
      </c>
      <c r="G192" s="82" t="b">
        <v>0</v>
      </c>
      <c r="H192" s="82" t="b">
        <v>0</v>
      </c>
      <c r="I192" s="82" t="b">
        <v>0</v>
      </c>
      <c r="J192" s="82" t="b">
        <v>0</v>
      </c>
      <c r="K192" s="82" t="b">
        <v>0</v>
      </c>
      <c r="L192" s="82" t="b">
        <v>0</v>
      </c>
    </row>
    <row r="193" spans="1:12" ht="15">
      <c r="A193" s="84" t="s">
        <v>978</v>
      </c>
      <c r="B193" s="103" t="s">
        <v>1089</v>
      </c>
      <c r="C193" s="82">
        <v>2</v>
      </c>
      <c r="D193" s="105">
        <v>0.002679799558615906</v>
      </c>
      <c r="E193" s="105">
        <v>2.646730386247423</v>
      </c>
      <c r="F193" s="82" t="s">
        <v>1224</v>
      </c>
      <c r="G193" s="82" t="b">
        <v>0</v>
      </c>
      <c r="H193" s="82" t="b">
        <v>0</v>
      </c>
      <c r="I193" s="82" t="b">
        <v>0</v>
      </c>
      <c r="J193" s="82" t="b">
        <v>0</v>
      </c>
      <c r="K193" s="82" t="b">
        <v>0</v>
      </c>
      <c r="L193" s="82" t="b">
        <v>0</v>
      </c>
    </row>
    <row r="194" spans="1:12" ht="15">
      <c r="A194" s="84" t="s">
        <v>877</v>
      </c>
      <c r="B194" s="103" t="s">
        <v>1090</v>
      </c>
      <c r="C194" s="82">
        <v>2</v>
      </c>
      <c r="D194" s="105">
        <v>0.0030455711207835624</v>
      </c>
      <c r="E194" s="105">
        <v>2.345700390583442</v>
      </c>
      <c r="F194" s="82" t="s">
        <v>1224</v>
      </c>
      <c r="G194" s="82" t="b">
        <v>0</v>
      </c>
      <c r="H194" s="82" t="b">
        <v>0</v>
      </c>
      <c r="I194" s="82" t="b">
        <v>0</v>
      </c>
      <c r="J194" s="82" t="b">
        <v>0</v>
      </c>
      <c r="K194" s="82" t="b">
        <v>0</v>
      </c>
      <c r="L194" s="82" t="b">
        <v>0</v>
      </c>
    </row>
    <row r="195" spans="1:12" ht="15">
      <c r="A195" s="84" t="s">
        <v>1090</v>
      </c>
      <c r="B195" s="103" t="s">
        <v>1091</v>
      </c>
      <c r="C195" s="82">
        <v>2</v>
      </c>
      <c r="D195" s="105">
        <v>0.0030455711207835624</v>
      </c>
      <c r="E195" s="105">
        <v>2.8228216453031045</v>
      </c>
      <c r="F195" s="82" t="s">
        <v>1224</v>
      </c>
      <c r="G195" s="82" t="b">
        <v>0</v>
      </c>
      <c r="H195" s="82" t="b">
        <v>0</v>
      </c>
      <c r="I195" s="82" t="b">
        <v>0</v>
      </c>
      <c r="J195" s="82" t="b">
        <v>0</v>
      </c>
      <c r="K195" s="82" t="b">
        <v>0</v>
      </c>
      <c r="L195" s="82" t="b">
        <v>0</v>
      </c>
    </row>
    <row r="196" spans="1:12" ht="15">
      <c r="A196" s="84" t="s">
        <v>1091</v>
      </c>
      <c r="B196" s="103" t="s">
        <v>1092</v>
      </c>
      <c r="C196" s="82">
        <v>2</v>
      </c>
      <c r="D196" s="105">
        <v>0.0030455711207835624</v>
      </c>
      <c r="E196" s="105">
        <v>2.8228216453031045</v>
      </c>
      <c r="F196" s="82" t="s">
        <v>1224</v>
      </c>
      <c r="G196" s="82" t="b">
        <v>0</v>
      </c>
      <c r="H196" s="82" t="b">
        <v>0</v>
      </c>
      <c r="I196" s="82" t="b">
        <v>0</v>
      </c>
      <c r="J196" s="82" t="b">
        <v>0</v>
      </c>
      <c r="K196" s="82" t="b">
        <v>0</v>
      </c>
      <c r="L196" s="82" t="b">
        <v>0</v>
      </c>
    </row>
    <row r="197" spans="1:12" ht="15">
      <c r="A197" s="84" t="s">
        <v>981</v>
      </c>
      <c r="B197" s="103" t="s">
        <v>980</v>
      </c>
      <c r="C197" s="82">
        <v>2</v>
      </c>
      <c r="D197" s="105">
        <v>0.0030455711207835624</v>
      </c>
      <c r="E197" s="105">
        <v>2.4706391271917423</v>
      </c>
      <c r="F197" s="82" t="s">
        <v>1224</v>
      </c>
      <c r="G197" s="82" t="b">
        <v>0</v>
      </c>
      <c r="H197" s="82" t="b">
        <v>0</v>
      </c>
      <c r="I197" s="82" t="b">
        <v>0</v>
      </c>
      <c r="J197" s="82" t="b">
        <v>0</v>
      </c>
      <c r="K197" s="82" t="b">
        <v>0</v>
      </c>
      <c r="L197" s="82" t="b">
        <v>0</v>
      </c>
    </row>
    <row r="198" spans="1:12" ht="15">
      <c r="A198" s="84" t="s">
        <v>930</v>
      </c>
      <c r="B198" s="103" t="s">
        <v>1093</v>
      </c>
      <c r="C198" s="82">
        <v>2</v>
      </c>
      <c r="D198" s="105">
        <v>0.002679799558615906</v>
      </c>
      <c r="E198" s="105">
        <v>2.5217916496391233</v>
      </c>
      <c r="F198" s="82" t="s">
        <v>1224</v>
      </c>
      <c r="G198" s="82" t="b">
        <v>0</v>
      </c>
      <c r="H198" s="82" t="b">
        <v>0</v>
      </c>
      <c r="I198" s="82" t="b">
        <v>0</v>
      </c>
      <c r="J198" s="82" t="b">
        <v>0</v>
      </c>
      <c r="K198" s="82" t="b">
        <v>0</v>
      </c>
      <c r="L198" s="82" t="b">
        <v>0</v>
      </c>
    </row>
    <row r="199" spans="1:12" ht="15">
      <c r="A199" s="84" t="s">
        <v>1093</v>
      </c>
      <c r="B199" s="103" t="s">
        <v>856</v>
      </c>
      <c r="C199" s="82">
        <v>2</v>
      </c>
      <c r="D199" s="105">
        <v>0.002679799558615906</v>
      </c>
      <c r="E199" s="105">
        <v>2.345700390583442</v>
      </c>
      <c r="F199" s="82" t="s">
        <v>1224</v>
      </c>
      <c r="G199" s="82" t="b">
        <v>0</v>
      </c>
      <c r="H199" s="82" t="b">
        <v>0</v>
      </c>
      <c r="I199" s="82" t="b">
        <v>0</v>
      </c>
      <c r="J199" s="82" t="b">
        <v>0</v>
      </c>
      <c r="K199" s="82" t="b">
        <v>0</v>
      </c>
      <c r="L199" s="82" t="b">
        <v>0</v>
      </c>
    </row>
    <row r="200" spans="1:12" ht="15">
      <c r="A200" s="84" t="s">
        <v>856</v>
      </c>
      <c r="B200" s="103" t="s">
        <v>1094</v>
      </c>
      <c r="C200" s="82">
        <v>2</v>
      </c>
      <c r="D200" s="105">
        <v>0.002679799558615906</v>
      </c>
      <c r="E200" s="105">
        <v>2.424881636631067</v>
      </c>
      <c r="F200" s="82" t="s">
        <v>1224</v>
      </c>
      <c r="G200" s="82" t="b">
        <v>0</v>
      </c>
      <c r="H200" s="82" t="b">
        <v>0</v>
      </c>
      <c r="I200" s="82" t="b">
        <v>0</v>
      </c>
      <c r="J200" s="82" t="b">
        <v>0</v>
      </c>
      <c r="K200" s="82" t="b">
        <v>0</v>
      </c>
      <c r="L200" s="82" t="b">
        <v>0</v>
      </c>
    </row>
    <row r="201" spans="1:12" ht="15">
      <c r="A201" s="84" t="s">
        <v>1094</v>
      </c>
      <c r="B201" s="103" t="s">
        <v>1095</v>
      </c>
      <c r="C201" s="82">
        <v>2</v>
      </c>
      <c r="D201" s="105">
        <v>0.002679799558615906</v>
      </c>
      <c r="E201" s="105">
        <v>2.8228216453031045</v>
      </c>
      <c r="F201" s="82" t="s">
        <v>1224</v>
      </c>
      <c r="G201" s="82" t="b">
        <v>0</v>
      </c>
      <c r="H201" s="82" t="b">
        <v>0</v>
      </c>
      <c r="I201" s="82" t="b">
        <v>0</v>
      </c>
      <c r="J201" s="82" t="b">
        <v>0</v>
      </c>
      <c r="K201" s="82" t="b">
        <v>0</v>
      </c>
      <c r="L201" s="82" t="b">
        <v>0</v>
      </c>
    </row>
    <row r="202" spans="1:12" ht="15">
      <c r="A202" s="84" t="s">
        <v>1095</v>
      </c>
      <c r="B202" s="103" t="s">
        <v>1096</v>
      </c>
      <c r="C202" s="82">
        <v>2</v>
      </c>
      <c r="D202" s="105">
        <v>0.002679799558615906</v>
      </c>
      <c r="E202" s="105">
        <v>2.8228216453031045</v>
      </c>
      <c r="F202" s="82" t="s">
        <v>1224</v>
      </c>
      <c r="G202" s="82" t="b">
        <v>0</v>
      </c>
      <c r="H202" s="82" t="b">
        <v>0</v>
      </c>
      <c r="I202" s="82" t="b">
        <v>0</v>
      </c>
      <c r="J202" s="82" t="b">
        <v>0</v>
      </c>
      <c r="K202" s="82" t="b">
        <v>0</v>
      </c>
      <c r="L202" s="82" t="b">
        <v>0</v>
      </c>
    </row>
    <row r="203" spans="1:12" ht="15">
      <c r="A203" s="84" t="s">
        <v>1097</v>
      </c>
      <c r="B203" s="103" t="s">
        <v>1098</v>
      </c>
      <c r="C203" s="82">
        <v>2</v>
      </c>
      <c r="D203" s="105">
        <v>0.0030455711207835624</v>
      </c>
      <c r="E203" s="105">
        <v>2.8228216453031045</v>
      </c>
      <c r="F203" s="82" t="s">
        <v>1224</v>
      </c>
      <c r="G203" s="82" t="b">
        <v>0</v>
      </c>
      <c r="H203" s="82" t="b">
        <v>0</v>
      </c>
      <c r="I203" s="82" t="b">
        <v>0</v>
      </c>
      <c r="J203" s="82" t="b">
        <v>0</v>
      </c>
      <c r="K203" s="82" t="b">
        <v>0</v>
      </c>
      <c r="L203" s="82" t="b">
        <v>0</v>
      </c>
    </row>
    <row r="204" spans="1:12" ht="15">
      <c r="A204" s="84" t="s">
        <v>1102</v>
      </c>
      <c r="B204" s="103" t="s">
        <v>1103</v>
      </c>
      <c r="C204" s="82">
        <v>2</v>
      </c>
      <c r="D204" s="105">
        <v>0.002679799558615906</v>
      </c>
      <c r="E204" s="105">
        <v>2.8228216453031045</v>
      </c>
      <c r="F204" s="82" t="s">
        <v>1224</v>
      </c>
      <c r="G204" s="82" t="b">
        <v>0</v>
      </c>
      <c r="H204" s="82" t="b">
        <v>0</v>
      </c>
      <c r="I204" s="82" t="b">
        <v>0</v>
      </c>
      <c r="J204" s="82" t="b">
        <v>0</v>
      </c>
      <c r="K204" s="82" t="b">
        <v>0</v>
      </c>
      <c r="L204" s="82" t="b">
        <v>0</v>
      </c>
    </row>
    <row r="205" spans="1:12" ht="15">
      <c r="A205" s="84" t="s">
        <v>1103</v>
      </c>
      <c r="B205" s="103" t="s">
        <v>1104</v>
      </c>
      <c r="C205" s="82">
        <v>2</v>
      </c>
      <c r="D205" s="105">
        <v>0.002679799558615906</v>
      </c>
      <c r="E205" s="105">
        <v>2.8228216453031045</v>
      </c>
      <c r="F205" s="82" t="s">
        <v>1224</v>
      </c>
      <c r="G205" s="82" t="b">
        <v>0</v>
      </c>
      <c r="H205" s="82" t="b">
        <v>0</v>
      </c>
      <c r="I205" s="82" t="b">
        <v>0</v>
      </c>
      <c r="J205" s="82" t="b">
        <v>0</v>
      </c>
      <c r="K205" s="82" t="b">
        <v>0</v>
      </c>
      <c r="L205" s="82" t="b">
        <v>0</v>
      </c>
    </row>
    <row r="206" spans="1:12" ht="15">
      <c r="A206" s="84" t="s">
        <v>1104</v>
      </c>
      <c r="B206" s="103" t="s">
        <v>1105</v>
      </c>
      <c r="C206" s="82">
        <v>2</v>
      </c>
      <c r="D206" s="105">
        <v>0.002679799558615906</v>
      </c>
      <c r="E206" s="105">
        <v>2.8228216453031045</v>
      </c>
      <c r="F206" s="82" t="s">
        <v>1224</v>
      </c>
      <c r="G206" s="82" t="b">
        <v>0</v>
      </c>
      <c r="H206" s="82" t="b">
        <v>0</v>
      </c>
      <c r="I206" s="82" t="b">
        <v>0</v>
      </c>
      <c r="J206" s="82" t="b">
        <v>0</v>
      </c>
      <c r="K206" s="82" t="b">
        <v>0</v>
      </c>
      <c r="L206" s="82" t="b">
        <v>0</v>
      </c>
    </row>
    <row r="207" spans="1:12" ht="15">
      <c r="A207" s="84" t="s">
        <v>1106</v>
      </c>
      <c r="B207" s="103" t="s">
        <v>1107</v>
      </c>
      <c r="C207" s="82">
        <v>2</v>
      </c>
      <c r="D207" s="105">
        <v>0.0030455711207835624</v>
      </c>
      <c r="E207" s="105">
        <v>2.8228216453031045</v>
      </c>
      <c r="F207" s="82" t="s">
        <v>1224</v>
      </c>
      <c r="G207" s="82" t="b">
        <v>0</v>
      </c>
      <c r="H207" s="82" t="b">
        <v>0</v>
      </c>
      <c r="I207" s="82" t="b">
        <v>0</v>
      </c>
      <c r="J207" s="82" t="b">
        <v>0</v>
      </c>
      <c r="K207" s="82" t="b">
        <v>0</v>
      </c>
      <c r="L207" s="82" t="b">
        <v>0</v>
      </c>
    </row>
    <row r="208" spans="1:12" ht="15">
      <c r="A208" s="84" t="s">
        <v>1107</v>
      </c>
      <c r="B208" s="103" t="s">
        <v>1108</v>
      </c>
      <c r="C208" s="82">
        <v>2</v>
      </c>
      <c r="D208" s="105">
        <v>0.0030455711207835624</v>
      </c>
      <c r="E208" s="105">
        <v>2.8228216453031045</v>
      </c>
      <c r="F208" s="82" t="s">
        <v>1224</v>
      </c>
      <c r="G208" s="82" t="b">
        <v>0</v>
      </c>
      <c r="H208" s="82" t="b">
        <v>0</v>
      </c>
      <c r="I208" s="82" t="b">
        <v>0</v>
      </c>
      <c r="J208" s="82" t="b">
        <v>0</v>
      </c>
      <c r="K208" s="82" t="b">
        <v>0</v>
      </c>
      <c r="L208" s="82" t="b">
        <v>0</v>
      </c>
    </row>
    <row r="209" spans="1:12" ht="15">
      <c r="A209" s="84" t="s">
        <v>1108</v>
      </c>
      <c r="B209" s="103" t="s">
        <v>876</v>
      </c>
      <c r="C209" s="82">
        <v>2</v>
      </c>
      <c r="D209" s="105">
        <v>0.0030455711207835624</v>
      </c>
      <c r="E209" s="105">
        <v>2.345700390583442</v>
      </c>
      <c r="F209" s="82" t="s">
        <v>1224</v>
      </c>
      <c r="G209" s="82" t="b">
        <v>0</v>
      </c>
      <c r="H209" s="82" t="b">
        <v>0</v>
      </c>
      <c r="I209" s="82" t="b">
        <v>0</v>
      </c>
      <c r="J209" s="82" t="b">
        <v>0</v>
      </c>
      <c r="K209" s="82" t="b">
        <v>0</v>
      </c>
      <c r="L209" s="82" t="b">
        <v>0</v>
      </c>
    </row>
    <row r="210" spans="1:12" ht="15">
      <c r="A210" s="84" t="s">
        <v>961</v>
      </c>
      <c r="B210" s="103" t="s">
        <v>1109</v>
      </c>
      <c r="C210" s="82">
        <v>2</v>
      </c>
      <c r="D210" s="105">
        <v>0.002679799558615906</v>
      </c>
      <c r="E210" s="105">
        <v>2.646730386247423</v>
      </c>
      <c r="F210" s="82" t="s">
        <v>1224</v>
      </c>
      <c r="G210" s="82" t="b">
        <v>1</v>
      </c>
      <c r="H210" s="82" t="b">
        <v>0</v>
      </c>
      <c r="I210" s="82" t="b">
        <v>0</v>
      </c>
      <c r="J210" s="82" t="b">
        <v>0</v>
      </c>
      <c r="K210" s="82" t="b">
        <v>0</v>
      </c>
      <c r="L210" s="82" t="b">
        <v>0</v>
      </c>
    </row>
    <row r="211" spans="1:12" ht="15">
      <c r="A211" s="84" t="s">
        <v>1109</v>
      </c>
      <c r="B211" s="103" t="s">
        <v>1110</v>
      </c>
      <c r="C211" s="82">
        <v>2</v>
      </c>
      <c r="D211" s="105">
        <v>0.002679799558615906</v>
      </c>
      <c r="E211" s="105">
        <v>2.8228216453031045</v>
      </c>
      <c r="F211" s="82" t="s">
        <v>1224</v>
      </c>
      <c r="G211" s="82" t="b">
        <v>0</v>
      </c>
      <c r="H211" s="82" t="b">
        <v>0</v>
      </c>
      <c r="I211" s="82" t="b">
        <v>0</v>
      </c>
      <c r="J211" s="82" t="b">
        <v>0</v>
      </c>
      <c r="K211" s="82" t="b">
        <v>0</v>
      </c>
      <c r="L211" s="82" t="b">
        <v>0</v>
      </c>
    </row>
    <row r="212" spans="1:12" ht="15">
      <c r="A212" s="84" t="s">
        <v>1112</v>
      </c>
      <c r="B212" s="103" t="s">
        <v>847</v>
      </c>
      <c r="C212" s="82">
        <v>2</v>
      </c>
      <c r="D212" s="105">
        <v>0.002679799558615906</v>
      </c>
      <c r="E212" s="105">
        <v>1.919731658311161</v>
      </c>
      <c r="F212" s="82" t="s">
        <v>1224</v>
      </c>
      <c r="G212" s="82" t="b">
        <v>0</v>
      </c>
      <c r="H212" s="82" t="b">
        <v>0</v>
      </c>
      <c r="I212" s="82" t="b">
        <v>0</v>
      </c>
      <c r="J212" s="82" t="b">
        <v>0</v>
      </c>
      <c r="K212" s="82" t="b">
        <v>0</v>
      </c>
      <c r="L212" s="82" t="b">
        <v>0</v>
      </c>
    </row>
    <row r="213" spans="1:12" ht="15">
      <c r="A213" s="84" t="s">
        <v>1113</v>
      </c>
      <c r="B213" s="103" t="s">
        <v>1114</v>
      </c>
      <c r="C213" s="82">
        <v>2</v>
      </c>
      <c r="D213" s="105">
        <v>0.002679799558615906</v>
      </c>
      <c r="E213" s="105">
        <v>2.8228216453031045</v>
      </c>
      <c r="F213" s="82" t="s">
        <v>1224</v>
      </c>
      <c r="G213" s="82" t="b">
        <v>1</v>
      </c>
      <c r="H213" s="82" t="b">
        <v>0</v>
      </c>
      <c r="I213" s="82" t="b">
        <v>0</v>
      </c>
      <c r="J213" s="82" t="b">
        <v>0</v>
      </c>
      <c r="K213" s="82" t="b">
        <v>0</v>
      </c>
      <c r="L213" s="82" t="b">
        <v>0</v>
      </c>
    </row>
    <row r="214" spans="1:12" ht="15">
      <c r="A214" s="84" t="s">
        <v>1116</v>
      </c>
      <c r="B214" s="103" t="s">
        <v>1117</v>
      </c>
      <c r="C214" s="82">
        <v>2</v>
      </c>
      <c r="D214" s="105">
        <v>0.002679799558615906</v>
      </c>
      <c r="E214" s="105">
        <v>2.8228216453031045</v>
      </c>
      <c r="F214" s="82" t="s">
        <v>1224</v>
      </c>
      <c r="G214" s="82" t="b">
        <v>0</v>
      </c>
      <c r="H214" s="82" t="b">
        <v>0</v>
      </c>
      <c r="I214" s="82" t="b">
        <v>0</v>
      </c>
      <c r="J214" s="82" t="b">
        <v>0</v>
      </c>
      <c r="K214" s="82" t="b">
        <v>0</v>
      </c>
      <c r="L214" s="82" t="b">
        <v>0</v>
      </c>
    </row>
    <row r="215" spans="1:12" ht="15">
      <c r="A215" s="84" t="s">
        <v>1117</v>
      </c>
      <c r="B215" s="103" t="s">
        <v>1118</v>
      </c>
      <c r="C215" s="82">
        <v>2</v>
      </c>
      <c r="D215" s="105">
        <v>0.002679799558615906</v>
      </c>
      <c r="E215" s="105">
        <v>2.8228216453031045</v>
      </c>
      <c r="F215" s="82" t="s">
        <v>1224</v>
      </c>
      <c r="G215" s="82" t="b">
        <v>0</v>
      </c>
      <c r="H215" s="82" t="b">
        <v>0</v>
      </c>
      <c r="I215" s="82" t="b">
        <v>0</v>
      </c>
      <c r="J215" s="82" t="b">
        <v>0</v>
      </c>
      <c r="K215" s="82" t="b">
        <v>0</v>
      </c>
      <c r="L215" s="82" t="b">
        <v>0</v>
      </c>
    </row>
    <row r="216" spans="1:12" ht="15">
      <c r="A216" s="84" t="s">
        <v>1118</v>
      </c>
      <c r="B216" s="103" t="s">
        <v>1119</v>
      </c>
      <c r="C216" s="82">
        <v>2</v>
      </c>
      <c r="D216" s="105">
        <v>0.002679799558615906</v>
      </c>
      <c r="E216" s="105">
        <v>2.8228216453031045</v>
      </c>
      <c r="F216" s="82" t="s">
        <v>1224</v>
      </c>
      <c r="G216" s="82" t="b">
        <v>0</v>
      </c>
      <c r="H216" s="82" t="b">
        <v>0</v>
      </c>
      <c r="I216" s="82" t="b">
        <v>0</v>
      </c>
      <c r="J216" s="82" t="b">
        <v>0</v>
      </c>
      <c r="K216" s="82" t="b">
        <v>0</v>
      </c>
      <c r="L216" s="82" t="b">
        <v>0</v>
      </c>
    </row>
    <row r="217" spans="1:12" ht="15">
      <c r="A217" s="84" t="s">
        <v>1120</v>
      </c>
      <c r="B217" s="103" t="s">
        <v>1121</v>
      </c>
      <c r="C217" s="82">
        <v>2</v>
      </c>
      <c r="D217" s="105">
        <v>0.0030455711207835624</v>
      </c>
      <c r="E217" s="105">
        <v>2.8228216453031045</v>
      </c>
      <c r="F217" s="82" t="s">
        <v>1224</v>
      </c>
      <c r="G217" s="82" t="b">
        <v>0</v>
      </c>
      <c r="H217" s="82" t="b">
        <v>0</v>
      </c>
      <c r="I217" s="82" t="b">
        <v>0</v>
      </c>
      <c r="J217" s="82" t="b">
        <v>0</v>
      </c>
      <c r="K217" s="82" t="b">
        <v>0</v>
      </c>
      <c r="L217" s="82" t="b">
        <v>0</v>
      </c>
    </row>
    <row r="218" spans="1:12" ht="15">
      <c r="A218" s="84" t="s">
        <v>1121</v>
      </c>
      <c r="B218" s="103" t="s">
        <v>1122</v>
      </c>
      <c r="C218" s="82">
        <v>2</v>
      </c>
      <c r="D218" s="105">
        <v>0.0030455711207835624</v>
      </c>
      <c r="E218" s="105">
        <v>2.8228216453031045</v>
      </c>
      <c r="F218" s="82" t="s">
        <v>1224</v>
      </c>
      <c r="G218" s="82" t="b">
        <v>0</v>
      </c>
      <c r="H218" s="82" t="b">
        <v>0</v>
      </c>
      <c r="I218" s="82" t="b">
        <v>0</v>
      </c>
      <c r="J218" s="82" t="b">
        <v>0</v>
      </c>
      <c r="K218" s="82" t="b">
        <v>0</v>
      </c>
      <c r="L218" s="82" t="b">
        <v>0</v>
      </c>
    </row>
    <row r="219" spans="1:12" ht="15">
      <c r="A219" s="84" t="s">
        <v>1122</v>
      </c>
      <c r="B219" s="103" t="s">
        <v>1123</v>
      </c>
      <c r="C219" s="82">
        <v>2</v>
      </c>
      <c r="D219" s="105">
        <v>0.0030455711207835624</v>
      </c>
      <c r="E219" s="105">
        <v>2.8228216453031045</v>
      </c>
      <c r="F219" s="82" t="s">
        <v>1224</v>
      </c>
      <c r="G219" s="82" t="b">
        <v>0</v>
      </c>
      <c r="H219" s="82" t="b">
        <v>0</v>
      </c>
      <c r="I219" s="82" t="b">
        <v>0</v>
      </c>
      <c r="J219" s="82" t="b">
        <v>0</v>
      </c>
      <c r="K219" s="82" t="b">
        <v>0</v>
      </c>
      <c r="L219" s="82" t="b">
        <v>0</v>
      </c>
    </row>
    <row r="220" spans="1:12" ht="15">
      <c r="A220" s="84" t="s">
        <v>1126</v>
      </c>
      <c r="B220" s="103" t="s">
        <v>1127</v>
      </c>
      <c r="C220" s="82">
        <v>2</v>
      </c>
      <c r="D220" s="105">
        <v>0.0030455711207835624</v>
      </c>
      <c r="E220" s="105">
        <v>2.8228216453031045</v>
      </c>
      <c r="F220" s="82" t="s">
        <v>1224</v>
      </c>
      <c r="G220" s="82" t="b">
        <v>0</v>
      </c>
      <c r="H220" s="82" t="b">
        <v>0</v>
      </c>
      <c r="I220" s="82" t="b">
        <v>0</v>
      </c>
      <c r="J220" s="82" t="b">
        <v>0</v>
      </c>
      <c r="K220" s="82" t="b">
        <v>0</v>
      </c>
      <c r="L220" s="82" t="b">
        <v>0</v>
      </c>
    </row>
    <row r="221" spans="1:12" ht="15">
      <c r="A221" s="84" t="s">
        <v>1127</v>
      </c>
      <c r="B221" s="103" t="s">
        <v>1128</v>
      </c>
      <c r="C221" s="82">
        <v>2</v>
      </c>
      <c r="D221" s="105">
        <v>0.0030455711207835624</v>
      </c>
      <c r="E221" s="105">
        <v>2.8228216453031045</v>
      </c>
      <c r="F221" s="82" t="s">
        <v>1224</v>
      </c>
      <c r="G221" s="82" t="b">
        <v>0</v>
      </c>
      <c r="H221" s="82" t="b">
        <v>0</v>
      </c>
      <c r="I221" s="82" t="b">
        <v>0</v>
      </c>
      <c r="J221" s="82" t="b">
        <v>0</v>
      </c>
      <c r="K221" s="82" t="b">
        <v>0</v>
      </c>
      <c r="L221" s="82" t="b">
        <v>0</v>
      </c>
    </row>
    <row r="222" spans="1:12" ht="15">
      <c r="A222" s="84" t="s">
        <v>1128</v>
      </c>
      <c r="B222" s="103" t="s">
        <v>1129</v>
      </c>
      <c r="C222" s="82">
        <v>2</v>
      </c>
      <c r="D222" s="105">
        <v>0.0030455711207835624</v>
      </c>
      <c r="E222" s="105">
        <v>2.8228216453031045</v>
      </c>
      <c r="F222" s="82" t="s">
        <v>1224</v>
      </c>
      <c r="G222" s="82" t="b">
        <v>0</v>
      </c>
      <c r="H222" s="82" t="b">
        <v>0</v>
      </c>
      <c r="I222" s="82" t="b">
        <v>0</v>
      </c>
      <c r="J222" s="82" t="b">
        <v>0</v>
      </c>
      <c r="K222" s="82" t="b">
        <v>0</v>
      </c>
      <c r="L222" s="82" t="b">
        <v>0</v>
      </c>
    </row>
    <row r="223" spans="1:12" ht="15">
      <c r="A223" s="84" t="s">
        <v>1130</v>
      </c>
      <c r="B223" s="103" t="s">
        <v>1131</v>
      </c>
      <c r="C223" s="82">
        <v>2</v>
      </c>
      <c r="D223" s="105">
        <v>0.0030455711207835624</v>
      </c>
      <c r="E223" s="105">
        <v>2.8228216453031045</v>
      </c>
      <c r="F223" s="82" t="s">
        <v>1224</v>
      </c>
      <c r="G223" s="82" t="b">
        <v>0</v>
      </c>
      <c r="H223" s="82" t="b">
        <v>0</v>
      </c>
      <c r="I223" s="82" t="b">
        <v>0</v>
      </c>
      <c r="J223" s="82" t="b">
        <v>0</v>
      </c>
      <c r="K223" s="82" t="b">
        <v>0</v>
      </c>
      <c r="L223" s="82" t="b">
        <v>0</v>
      </c>
    </row>
    <row r="224" spans="1:12" ht="15">
      <c r="A224" s="84" t="s">
        <v>1131</v>
      </c>
      <c r="B224" s="103" t="s">
        <v>1132</v>
      </c>
      <c r="C224" s="82">
        <v>2</v>
      </c>
      <c r="D224" s="105">
        <v>0.0030455711207835624</v>
      </c>
      <c r="E224" s="105">
        <v>2.8228216453031045</v>
      </c>
      <c r="F224" s="82" t="s">
        <v>1224</v>
      </c>
      <c r="G224" s="82" t="b">
        <v>0</v>
      </c>
      <c r="H224" s="82" t="b">
        <v>0</v>
      </c>
      <c r="I224" s="82" t="b">
        <v>0</v>
      </c>
      <c r="J224" s="82" t="b">
        <v>0</v>
      </c>
      <c r="K224" s="82" t="b">
        <v>0</v>
      </c>
      <c r="L224" s="82" t="b">
        <v>0</v>
      </c>
    </row>
    <row r="225" spans="1:12" ht="15">
      <c r="A225" s="84" t="s">
        <v>1132</v>
      </c>
      <c r="B225" s="103" t="s">
        <v>877</v>
      </c>
      <c r="C225" s="82">
        <v>2</v>
      </c>
      <c r="D225" s="105">
        <v>0.0030455711207835624</v>
      </c>
      <c r="E225" s="105">
        <v>2.345700390583442</v>
      </c>
      <c r="F225" s="82" t="s">
        <v>1224</v>
      </c>
      <c r="G225" s="82" t="b">
        <v>0</v>
      </c>
      <c r="H225" s="82" t="b">
        <v>0</v>
      </c>
      <c r="I225" s="82" t="b">
        <v>0</v>
      </c>
      <c r="J225" s="82" t="b">
        <v>0</v>
      </c>
      <c r="K225" s="82" t="b">
        <v>0</v>
      </c>
      <c r="L225" s="82" t="b">
        <v>0</v>
      </c>
    </row>
    <row r="226" spans="1:12" ht="15">
      <c r="A226" s="84" t="s">
        <v>843</v>
      </c>
      <c r="B226" s="103" t="s">
        <v>1133</v>
      </c>
      <c r="C226" s="82">
        <v>2</v>
      </c>
      <c r="D226" s="105">
        <v>0.002679799558615906</v>
      </c>
      <c r="E226" s="105">
        <v>1.4803989644808984</v>
      </c>
      <c r="F226" s="82" t="s">
        <v>1224</v>
      </c>
      <c r="G226" s="82" t="b">
        <v>0</v>
      </c>
      <c r="H226" s="82" t="b">
        <v>0</v>
      </c>
      <c r="I226" s="82" t="b">
        <v>0</v>
      </c>
      <c r="J226" s="82" t="b">
        <v>1</v>
      </c>
      <c r="K226" s="82" t="b">
        <v>0</v>
      </c>
      <c r="L226" s="82" t="b">
        <v>0</v>
      </c>
    </row>
    <row r="227" spans="1:12" ht="15">
      <c r="A227" s="84" t="s">
        <v>845</v>
      </c>
      <c r="B227" s="103" t="s">
        <v>932</v>
      </c>
      <c r="C227" s="82">
        <v>2</v>
      </c>
      <c r="D227" s="105">
        <v>0.002679799558615906</v>
      </c>
      <c r="E227" s="105">
        <v>1.4078482973322866</v>
      </c>
      <c r="F227" s="82" t="s">
        <v>1224</v>
      </c>
      <c r="G227" s="82" t="b">
        <v>0</v>
      </c>
      <c r="H227" s="82" t="b">
        <v>0</v>
      </c>
      <c r="I227" s="82" t="b">
        <v>0</v>
      </c>
      <c r="J227" s="82" t="b">
        <v>0</v>
      </c>
      <c r="K227" s="82" t="b">
        <v>0</v>
      </c>
      <c r="L227" s="82" t="b">
        <v>0</v>
      </c>
    </row>
    <row r="228" spans="1:12" ht="15">
      <c r="A228" s="84" t="s">
        <v>933</v>
      </c>
      <c r="B228" s="103" t="s">
        <v>1138</v>
      </c>
      <c r="C228" s="82">
        <v>2</v>
      </c>
      <c r="D228" s="105">
        <v>0.0030455711207835624</v>
      </c>
      <c r="E228" s="105">
        <v>2.5217916496391233</v>
      </c>
      <c r="F228" s="82" t="s">
        <v>1224</v>
      </c>
      <c r="G228" s="82" t="b">
        <v>0</v>
      </c>
      <c r="H228" s="82" t="b">
        <v>0</v>
      </c>
      <c r="I228" s="82" t="b">
        <v>0</v>
      </c>
      <c r="J228" s="82" t="b">
        <v>0</v>
      </c>
      <c r="K228" s="82" t="b">
        <v>0</v>
      </c>
      <c r="L228" s="82" t="b">
        <v>0</v>
      </c>
    </row>
    <row r="229" spans="1:12" ht="15">
      <c r="A229" s="84" t="s">
        <v>1138</v>
      </c>
      <c r="B229" s="103" t="s">
        <v>1139</v>
      </c>
      <c r="C229" s="82">
        <v>2</v>
      </c>
      <c r="D229" s="105">
        <v>0.0030455711207835624</v>
      </c>
      <c r="E229" s="105">
        <v>2.8228216453031045</v>
      </c>
      <c r="F229" s="82" t="s">
        <v>1224</v>
      </c>
      <c r="G229" s="82" t="b">
        <v>0</v>
      </c>
      <c r="H229" s="82" t="b">
        <v>0</v>
      </c>
      <c r="I229" s="82" t="b">
        <v>0</v>
      </c>
      <c r="J229" s="82" t="b">
        <v>0</v>
      </c>
      <c r="K229" s="82" t="b">
        <v>0</v>
      </c>
      <c r="L229" s="82" t="b">
        <v>0</v>
      </c>
    </row>
    <row r="230" spans="1:12" ht="15">
      <c r="A230" s="84" t="s">
        <v>933</v>
      </c>
      <c r="B230" s="103" t="s">
        <v>1140</v>
      </c>
      <c r="C230" s="82">
        <v>2</v>
      </c>
      <c r="D230" s="105">
        <v>0.0030455711207835624</v>
      </c>
      <c r="E230" s="105">
        <v>2.5217916496391233</v>
      </c>
      <c r="F230" s="82" t="s">
        <v>1224</v>
      </c>
      <c r="G230" s="82" t="b">
        <v>0</v>
      </c>
      <c r="H230" s="82" t="b">
        <v>0</v>
      </c>
      <c r="I230" s="82" t="b">
        <v>0</v>
      </c>
      <c r="J230" s="82" t="b">
        <v>0</v>
      </c>
      <c r="K230" s="82" t="b">
        <v>0</v>
      </c>
      <c r="L230" s="82" t="b">
        <v>0</v>
      </c>
    </row>
    <row r="231" spans="1:12" ht="15">
      <c r="A231" s="84" t="s">
        <v>1140</v>
      </c>
      <c r="B231" s="103" t="s">
        <v>1141</v>
      </c>
      <c r="C231" s="82">
        <v>2</v>
      </c>
      <c r="D231" s="105">
        <v>0.0030455711207835624</v>
      </c>
      <c r="E231" s="105">
        <v>2.8228216453031045</v>
      </c>
      <c r="F231" s="82" t="s">
        <v>1224</v>
      </c>
      <c r="G231" s="82" t="b">
        <v>0</v>
      </c>
      <c r="H231" s="82" t="b">
        <v>0</v>
      </c>
      <c r="I231" s="82" t="b">
        <v>0</v>
      </c>
      <c r="J231" s="82" t="b">
        <v>0</v>
      </c>
      <c r="K231" s="82" t="b">
        <v>0</v>
      </c>
      <c r="L231" s="82" t="b">
        <v>0</v>
      </c>
    </row>
    <row r="232" spans="1:12" ht="15">
      <c r="A232" s="84" t="s">
        <v>1143</v>
      </c>
      <c r="B232" s="103" t="s">
        <v>1144</v>
      </c>
      <c r="C232" s="82">
        <v>2</v>
      </c>
      <c r="D232" s="105">
        <v>0.0030455711207835624</v>
      </c>
      <c r="E232" s="105">
        <v>2.8228216453031045</v>
      </c>
      <c r="F232" s="82" t="s">
        <v>1224</v>
      </c>
      <c r="G232" s="82" t="b">
        <v>0</v>
      </c>
      <c r="H232" s="82" t="b">
        <v>0</v>
      </c>
      <c r="I232" s="82" t="b">
        <v>0</v>
      </c>
      <c r="J232" s="82" t="b">
        <v>0</v>
      </c>
      <c r="K232" s="82" t="b">
        <v>0</v>
      </c>
      <c r="L232" s="82" t="b">
        <v>0</v>
      </c>
    </row>
    <row r="233" spans="1:12" ht="15">
      <c r="A233" s="84" t="s">
        <v>1144</v>
      </c>
      <c r="B233" s="103" t="s">
        <v>1145</v>
      </c>
      <c r="C233" s="82">
        <v>2</v>
      </c>
      <c r="D233" s="105">
        <v>0.0030455711207835624</v>
      </c>
      <c r="E233" s="105">
        <v>2.8228216453031045</v>
      </c>
      <c r="F233" s="82" t="s">
        <v>1224</v>
      </c>
      <c r="G233" s="82" t="b">
        <v>0</v>
      </c>
      <c r="H233" s="82" t="b">
        <v>0</v>
      </c>
      <c r="I233" s="82" t="b">
        <v>0</v>
      </c>
      <c r="J233" s="82" t="b">
        <v>0</v>
      </c>
      <c r="K233" s="82" t="b">
        <v>0</v>
      </c>
      <c r="L233" s="82" t="b">
        <v>0</v>
      </c>
    </row>
    <row r="234" spans="1:12" ht="15">
      <c r="A234" s="84" t="s">
        <v>1145</v>
      </c>
      <c r="B234" s="103" t="s">
        <v>1146</v>
      </c>
      <c r="C234" s="82">
        <v>2</v>
      </c>
      <c r="D234" s="105">
        <v>0.0030455711207835624</v>
      </c>
      <c r="E234" s="105">
        <v>2.8228216453031045</v>
      </c>
      <c r="F234" s="82" t="s">
        <v>1224</v>
      </c>
      <c r="G234" s="82" t="b">
        <v>0</v>
      </c>
      <c r="H234" s="82" t="b">
        <v>0</v>
      </c>
      <c r="I234" s="82" t="b">
        <v>0</v>
      </c>
      <c r="J234" s="82" t="b">
        <v>0</v>
      </c>
      <c r="K234" s="82" t="b">
        <v>0</v>
      </c>
      <c r="L234" s="82" t="b">
        <v>0</v>
      </c>
    </row>
    <row r="235" spans="1:12" ht="15">
      <c r="A235" s="84" t="s">
        <v>1147</v>
      </c>
      <c r="B235" s="103" t="s">
        <v>1148</v>
      </c>
      <c r="C235" s="82">
        <v>2</v>
      </c>
      <c r="D235" s="105">
        <v>0.0030455711207835624</v>
      </c>
      <c r="E235" s="105">
        <v>2.8228216453031045</v>
      </c>
      <c r="F235" s="82" t="s">
        <v>1224</v>
      </c>
      <c r="G235" s="82" t="b">
        <v>0</v>
      </c>
      <c r="H235" s="82" t="b">
        <v>0</v>
      </c>
      <c r="I235" s="82" t="b">
        <v>0</v>
      </c>
      <c r="J235" s="82" t="b">
        <v>0</v>
      </c>
      <c r="K235" s="82" t="b">
        <v>0</v>
      </c>
      <c r="L235" s="82" t="b">
        <v>0</v>
      </c>
    </row>
    <row r="236" spans="1:12" ht="15">
      <c r="A236" s="84" t="s">
        <v>1148</v>
      </c>
      <c r="B236" s="103" t="s">
        <v>1149</v>
      </c>
      <c r="C236" s="82">
        <v>2</v>
      </c>
      <c r="D236" s="105">
        <v>0.0030455711207835624</v>
      </c>
      <c r="E236" s="105">
        <v>2.8228216453031045</v>
      </c>
      <c r="F236" s="82" t="s">
        <v>1224</v>
      </c>
      <c r="G236" s="82" t="b">
        <v>0</v>
      </c>
      <c r="H236" s="82" t="b">
        <v>0</v>
      </c>
      <c r="I236" s="82" t="b">
        <v>0</v>
      </c>
      <c r="J236" s="82" t="b">
        <v>0</v>
      </c>
      <c r="K236" s="82" t="b">
        <v>0</v>
      </c>
      <c r="L236" s="82" t="b">
        <v>0</v>
      </c>
    </row>
    <row r="237" spans="1:12" ht="15">
      <c r="A237" s="84" t="s">
        <v>1149</v>
      </c>
      <c r="B237" s="103" t="s">
        <v>1150</v>
      </c>
      <c r="C237" s="82">
        <v>2</v>
      </c>
      <c r="D237" s="105">
        <v>0.0030455711207835624</v>
      </c>
      <c r="E237" s="105">
        <v>2.8228216453031045</v>
      </c>
      <c r="F237" s="82" t="s">
        <v>1224</v>
      </c>
      <c r="G237" s="82" t="b">
        <v>0</v>
      </c>
      <c r="H237" s="82" t="b">
        <v>0</v>
      </c>
      <c r="I237" s="82" t="b">
        <v>0</v>
      </c>
      <c r="J237" s="82" t="b">
        <v>0</v>
      </c>
      <c r="K237" s="82" t="b">
        <v>0</v>
      </c>
      <c r="L237" s="82" t="b">
        <v>0</v>
      </c>
    </row>
    <row r="238" spans="1:12" ht="15">
      <c r="A238" s="84" t="s">
        <v>1150</v>
      </c>
      <c r="B238" s="103" t="s">
        <v>1151</v>
      </c>
      <c r="C238" s="82">
        <v>2</v>
      </c>
      <c r="D238" s="105">
        <v>0.0030455711207835624</v>
      </c>
      <c r="E238" s="105">
        <v>2.8228216453031045</v>
      </c>
      <c r="F238" s="82" t="s">
        <v>1224</v>
      </c>
      <c r="G238" s="82" t="b">
        <v>0</v>
      </c>
      <c r="H238" s="82" t="b">
        <v>0</v>
      </c>
      <c r="I238" s="82" t="b">
        <v>0</v>
      </c>
      <c r="J238" s="82" t="b">
        <v>0</v>
      </c>
      <c r="K238" s="82" t="b">
        <v>0</v>
      </c>
      <c r="L238" s="82" t="b">
        <v>0</v>
      </c>
    </row>
    <row r="239" spans="1:12" ht="15">
      <c r="A239" s="84" t="s">
        <v>1151</v>
      </c>
      <c r="B239" s="103" t="s">
        <v>1152</v>
      </c>
      <c r="C239" s="82">
        <v>2</v>
      </c>
      <c r="D239" s="105">
        <v>0.0030455711207835624</v>
      </c>
      <c r="E239" s="105">
        <v>2.8228216453031045</v>
      </c>
      <c r="F239" s="82" t="s">
        <v>1224</v>
      </c>
      <c r="G239" s="82" t="b">
        <v>0</v>
      </c>
      <c r="H239" s="82" t="b">
        <v>0</v>
      </c>
      <c r="I239" s="82" t="b">
        <v>0</v>
      </c>
      <c r="J239" s="82" t="b">
        <v>0</v>
      </c>
      <c r="K239" s="82" t="b">
        <v>0</v>
      </c>
      <c r="L239" s="82" t="b">
        <v>0</v>
      </c>
    </row>
    <row r="240" spans="1:12" ht="15">
      <c r="A240" s="84" t="s">
        <v>1152</v>
      </c>
      <c r="B240" s="103" t="s">
        <v>1153</v>
      </c>
      <c r="C240" s="82">
        <v>2</v>
      </c>
      <c r="D240" s="105">
        <v>0.0030455711207835624</v>
      </c>
      <c r="E240" s="105">
        <v>2.8228216453031045</v>
      </c>
      <c r="F240" s="82" t="s">
        <v>1224</v>
      </c>
      <c r="G240" s="82" t="b">
        <v>0</v>
      </c>
      <c r="H240" s="82" t="b">
        <v>0</v>
      </c>
      <c r="I240" s="82" t="b">
        <v>0</v>
      </c>
      <c r="J240" s="82" t="b">
        <v>0</v>
      </c>
      <c r="K240" s="82" t="b">
        <v>0</v>
      </c>
      <c r="L240" s="82" t="b">
        <v>0</v>
      </c>
    </row>
    <row r="241" spans="1:12" ht="15">
      <c r="A241" s="84" t="s">
        <v>1153</v>
      </c>
      <c r="B241" s="103" t="s">
        <v>1154</v>
      </c>
      <c r="C241" s="82">
        <v>2</v>
      </c>
      <c r="D241" s="105">
        <v>0.0030455711207835624</v>
      </c>
      <c r="E241" s="105">
        <v>2.8228216453031045</v>
      </c>
      <c r="F241" s="82" t="s">
        <v>1224</v>
      </c>
      <c r="G241" s="82" t="b">
        <v>0</v>
      </c>
      <c r="H241" s="82" t="b">
        <v>0</v>
      </c>
      <c r="I241" s="82" t="b">
        <v>0</v>
      </c>
      <c r="J241" s="82" t="b">
        <v>0</v>
      </c>
      <c r="K241" s="82" t="b">
        <v>0</v>
      </c>
      <c r="L241" s="82" t="b">
        <v>0</v>
      </c>
    </row>
    <row r="242" spans="1:12" ht="15">
      <c r="A242" s="84" t="s">
        <v>847</v>
      </c>
      <c r="B242" s="103" t="s">
        <v>1155</v>
      </c>
      <c r="C242" s="82">
        <v>2</v>
      </c>
      <c r="D242" s="105">
        <v>0.002679799558615906</v>
      </c>
      <c r="E242" s="105">
        <v>2.278753600952829</v>
      </c>
      <c r="F242" s="82" t="s">
        <v>1224</v>
      </c>
      <c r="G242" s="82" t="b">
        <v>0</v>
      </c>
      <c r="H242" s="82" t="b">
        <v>0</v>
      </c>
      <c r="I242" s="82" t="b">
        <v>0</v>
      </c>
      <c r="J242" s="82" t="b">
        <v>0</v>
      </c>
      <c r="K242" s="82" t="b">
        <v>0</v>
      </c>
      <c r="L242" s="82" t="b">
        <v>0</v>
      </c>
    </row>
    <row r="243" spans="1:12" ht="15">
      <c r="A243" s="84" t="s">
        <v>1155</v>
      </c>
      <c r="B243" s="103" t="s">
        <v>1156</v>
      </c>
      <c r="C243" s="82">
        <v>2</v>
      </c>
      <c r="D243" s="105">
        <v>0.002679799558615906</v>
      </c>
      <c r="E243" s="105">
        <v>2.8228216453031045</v>
      </c>
      <c r="F243" s="82" t="s">
        <v>1224</v>
      </c>
      <c r="G243" s="82" t="b">
        <v>0</v>
      </c>
      <c r="H243" s="82" t="b">
        <v>0</v>
      </c>
      <c r="I243" s="82" t="b">
        <v>0</v>
      </c>
      <c r="J243" s="82" t="b">
        <v>0</v>
      </c>
      <c r="K243" s="82" t="b">
        <v>0</v>
      </c>
      <c r="L243" s="82" t="b">
        <v>0</v>
      </c>
    </row>
    <row r="244" spans="1:12" ht="15">
      <c r="A244" s="84" t="s">
        <v>1156</v>
      </c>
      <c r="B244" s="103" t="s">
        <v>1157</v>
      </c>
      <c r="C244" s="82">
        <v>2</v>
      </c>
      <c r="D244" s="105">
        <v>0.002679799558615906</v>
      </c>
      <c r="E244" s="105">
        <v>2.8228216453031045</v>
      </c>
      <c r="F244" s="82" t="s">
        <v>1224</v>
      </c>
      <c r="G244" s="82" t="b">
        <v>0</v>
      </c>
      <c r="H244" s="82" t="b">
        <v>0</v>
      </c>
      <c r="I244" s="82" t="b">
        <v>0</v>
      </c>
      <c r="J244" s="82" t="b">
        <v>0</v>
      </c>
      <c r="K244" s="82" t="b">
        <v>0</v>
      </c>
      <c r="L244" s="82" t="b">
        <v>0</v>
      </c>
    </row>
    <row r="245" spans="1:12" ht="15">
      <c r="A245" s="84" t="s">
        <v>1157</v>
      </c>
      <c r="B245" s="103" t="s">
        <v>934</v>
      </c>
      <c r="C245" s="82">
        <v>2</v>
      </c>
      <c r="D245" s="105">
        <v>0.002679799558615906</v>
      </c>
      <c r="E245" s="105">
        <v>2.5217916496391233</v>
      </c>
      <c r="F245" s="82" t="s">
        <v>1224</v>
      </c>
      <c r="G245" s="82" t="b">
        <v>0</v>
      </c>
      <c r="H245" s="82" t="b">
        <v>0</v>
      </c>
      <c r="I245" s="82" t="b">
        <v>0</v>
      </c>
      <c r="J245" s="82" t="b">
        <v>0</v>
      </c>
      <c r="K245" s="82" t="b">
        <v>0</v>
      </c>
      <c r="L245" s="82" t="b">
        <v>0</v>
      </c>
    </row>
    <row r="246" spans="1:12" ht="15">
      <c r="A246" s="84" t="s">
        <v>934</v>
      </c>
      <c r="B246" s="103" t="s">
        <v>847</v>
      </c>
      <c r="C246" s="82">
        <v>2</v>
      </c>
      <c r="D246" s="105">
        <v>0.002679799558615906</v>
      </c>
      <c r="E246" s="105">
        <v>1.6187016626471797</v>
      </c>
      <c r="F246" s="82" t="s">
        <v>1224</v>
      </c>
      <c r="G246" s="82" t="b">
        <v>0</v>
      </c>
      <c r="H246" s="82" t="b">
        <v>0</v>
      </c>
      <c r="I246" s="82" t="b">
        <v>0</v>
      </c>
      <c r="J246" s="82" t="b">
        <v>0</v>
      </c>
      <c r="K246" s="82" t="b">
        <v>0</v>
      </c>
      <c r="L246" s="82" t="b">
        <v>0</v>
      </c>
    </row>
    <row r="247" spans="1:12" ht="15">
      <c r="A247" s="84" t="s">
        <v>936</v>
      </c>
      <c r="B247" s="103" t="s">
        <v>1160</v>
      </c>
      <c r="C247" s="82">
        <v>2</v>
      </c>
      <c r="D247" s="105">
        <v>0.0030455711207835624</v>
      </c>
      <c r="E247" s="105">
        <v>2.5217916496391233</v>
      </c>
      <c r="F247" s="82" t="s">
        <v>1224</v>
      </c>
      <c r="G247" s="82" t="b">
        <v>0</v>
      </c>
      <c r="H247" s="82" t="b">
        <v>0</v>
      </c>
      <c r="I247" s="82" t="b">
        <v>0</v>
      </c>
      <c r="J247" s="82" t="b">
        <v>0</v>
      </c>
      <c r="K247" s="82" t="b">
        <v>0</v>
      </c>
      <c r="L247" s="82" t="b">
        <v>0</v>
      </c>
    </row>
    <row r="248" spans="1:12" ht="15">
      <c r="A248" s="84" t="s">
        <v>1160</v>
      </c>
      <c r="B248" s="103" t="s">
        <v>1161</v>
      </c>
      <c r="C248" s="82">
        <v>2</v>
      </c>
      <c r="D248" s="105">
        <v>0.0030455711207835624</v>
      </c>
      <c r="E248" s="105">
        <v>2.8228216453031045</v>
      </c>
      <c r="F248" s="82" t="s">
        <v>1224</v>
      </c>
      <c r="G248" s="82" t="b">
        <v>0</v>
      </c>
      <c r="H248" s="82" t="b">
        <v>0</v>
      </c>
      <c r="I248" s="82" t="b">
        <v>0</v>
      </c>
      <c r="J248" s="82" t="b">
        <v>0</v>
      </c>
      <c r="K248" s="82" t="b">
        <v>0</v>
      </c>
      <c r="L248" s="82" t="b">
        <v>0</v>
      </c>
    </row>
    <row r="249" spans="1:12" ht="15">
      <c r="A249" s="84" t="s">
        <v>1161</v>
      </c>
      <c r="B249" s="103" t="s">
        <v>899</v>
      </c>
      <c r="C249" s="82">
        <v>2</v>
      </c>
      <c r="D249" s="105">
        <v>0.0030455711207835624</v>
      </c>
      <c r="E249" s="105">
        <v>2.424881636631067</v>
      </c>
      <c r="F249" s="82" t="s">
        <v>1224</v>
      </c>
      <c r="G249" s="82" t="b">
        <v>0</v>
      </c>
      <c r="H249" s="82" t="b">
        <v>0</v>
      </c>
      <c r="I249" s="82" t="b">
        <v>0</v>
      </c>
      <c r="J249" s="82" t="b">
        <v>0</v>
      </c>
      <c r="K249" s="82" t="b">
        <v>0</v>
      </c>
      <c r="L249" s="82" t="b">
        <v>0</v>
      </c>
    </row>
    <row r="250" spans="1:12" ht="15">
      <c r="A250" s="84" t="s">
        <v>994</v>
      </c>
      <c r="B250" s="103" t="s">
        <v>883</v>
      </c>
      <c r="C250" s="82">
        <v>2</v>
      </c>
      <c r="D250" s="105">
        <v>0.0030455711207835624</v>
      </c>
      <c r="E250" s="105">
        <v>2.169609131527761</v>
      </c>
      <c r="F250" s="82" t="s">
        <v>1224</v>
      </c>
      <c r="G250" s="82" t="b">
        <v>0</v>
      </c>
      <c r="H250" s="82" t="b">
        <v>0</v>
      </c>
      <c r="I250" s="82" t="b">
        <v>0</v>
      </c>
      <c r="J250" s="82" t="b">
        <v>0</v>
      </c>
      <c r="K250" s="82" t="b">
        <v>0</v>
      </c>
      <c r="L250" s="82" t="b">
        <v>0</v>
      </c>
    </row>
    <row r="251" spans="1:12" ht="15">
      <c r="A251" s="84" t="s">
        <v>892</v>
      </c>
      <c r="B251" s="103" t="s">
        <v>996</v>
      </c>
      <c r="C251" s="82">
        <v>2</v>
      </c>
      <c r="D251" s="105">
        <v>0.0030455711207835624</v>
      </c>
      <c r="E251" s="105">
        <v>2.345700390583442</v>
      </c>
      <c r="F251" s="82" t="s">
        <v>1224</v>
      </c>
      <c r="G251" s="82" t="b">
        <v>0</v>
      </c>
      <c r="H251" s="82" t="b">
        <v>0</v>
      </c>
      <c r="I251" s="82" t="b">
        <v>0</v>
      </c>
      <c r="J251" s="82" t="b">
        <v>0</v>
      </c>
      <c r="K251" s="82" t="b">
        <v>0</v>
      </c>
      <c r="L251" s="82" t="b">
        <v>0</v>
      </c>
    </row>
    <row r="252" spans="1:12" ht="15">
      <c r="A252" s="84" t="s">
        <v>883</v>
      </c>
      <c r="B252" s="103" t="s">
        <v>999</v>
      </c>
      <c r="C252" s="82">
        <v>2</v>
      </c>
      <c r="D252" s="105">
        <v>0.0030455711207835624</v>
      </c>
      <c r="E252" s="105">
        <v>2.169609131527761</v>
      </c>
      <c r="F252" s="82" t="s">
        <v>1224</v>
      </c>
      <c r="G252" s="82" t="b">
        <v>0</v>
      </c>
      <c r="H252" s="82" t="b">
        <v>0</v>
      </c>
      <c r="I252" s="82" t="b">
        <v>0</v>
      </c>
      <c r="J252" s="82" t="b">
        <v>0</v>
      </c>
      <c r="K252" s="82" t="b">
        <v>0</v>
      </c>
      <c r="L252" s="82" t="b">
        <v>0</v>
      </c>
    </row>
    <row r="253" spans="1:12" ht="15">
      <c r="A253" s="84" t="s">
        <v>1003</v>
      </c>
      <c r="B253" s="103" t="s">
        <v>899</v>
      </c>
      <c r="C253" s="82">
        <v>2</v>
      </c>
      <c r="D253" s="105">
        <v>0.0030455711207835624</v>
      </c>
      <c r="E253" s="105">
        <v>2.2487903775753857</v>
      </c>
      <c r="F253" s="82" t="s">
        <v>1224</v>
      </c>
      <c r="G253" s="82" t="b">
        <v>0</v>
      </c>
      <c r="H253" s="82" t="b">
        <v>0</v>
      </c>
      <c r="I253" s="82" t="b">
        <v>0</v>
      </c>
      <c r="J253" s="82" t="b">
        <v>0</v>
      </c>
      <c r="K253" s="82" t="b">
        <v>0</v>
      </c>
      <c r="L253" s="82" t="b">
        <v>0</v>
      </c>
    </row>
    <row r="254" spans="1:12" ht="15">
      <c r="A254" s="84" t="s">
        <v>1165</v>
      </c>
      <c r="B254" s="103" t="s">
        <v>1166</v>
      </c>
      <c r="C254" s="82">
        <v>2</v>
      </c>
      <c r="D254" s="105">
        <v>0.0030455711207835624</v>
      </c>
      <c r="E254" s="105">
        <v>2.8228216453031045</v>
      </c>
      <c r="F254" s="82" t="s">
        <v>1224</v>
      </c>
      <c r="G254" s="82" t="b">
        <v>0</v>
      </c>
      <c r="H254" s="82" t="b">
        <v>0</v>
      </c>
      <c r="I254" s="82" t="b">
        <v>0</v>
      </c>
      <c r="J254" s="82" t="b">
        <v>0</v>
      </c>
      <c r="K254" s="82" t="b">
        <v>0</v>
      </c>
      <c r="L254" s="82" t="b">
        <v>0</v>
      </c>
    </row>
    <row r="255" spans="1:12" ht="15">
      <c r="A255" s="84" t="s">
        <v>1004</v>
      </c>
      <c r="B255" s="103" t="s">
        <v>1004</v>
      </c>
      <c r="C255" s="82">
        <v>2</v>
      </c>
      <c r="D255" s="105">
        <v>0.0030455711207835624</v>
      </c>
      <c r="E255" s="105">
        <v>2.4706391271917423</v>
      </c>
      <c r="F255" s="82" t="s">
        <v>1224</v>
      </c>
      <c r="G255" s="82" t="b">
        <v>0</v>
      </c>
      <c r="H255" s="82" t="b">
        <v>0</v>
      </c>
      <c r="I255" s="82" t="b">
        <v>0</v>
      </c>
      <c r="J255" s="82" t="b">
        <v>0</v>
      </c>
      <c r="K255" s="82" t="b">
        <v>0</v>
      </c>
      <c r="L255" s="82" t="b">
        <v>0</v>
      </c>
    </row>
    <row r="256" spans="1:12" ht="15">
      <c r="A256" s="84" t="s">
        <v>930</v>
      </c>
      <c r="B256" s="103" t="s">
        <v>1169</v>
      </c>
      <c r="C256" s="82">
        <v>2</v>
      </c>
      <c r="D256" s="105">
        <v>0.002679799558615906</v>
      </c>
      <c r="E256" s="105">
        <v>2.5217916496391233</v>
      </c>
      <c r="F256" s="82" t="s">
        <v>1224</v>
      </c>
      <c r="G256" s="82" t="b">
        <v>0</v>
      </c>
      <c r="H256" s="82" t="b">
        <v>0</v>
      </c>
      <c r="I256" s="82" t="b">
        <v>0</v>
      </c>
      <c r="J256" s="82" t="b">
        <v>0</v>
      </c>
      <c r="K256" s="82" t="b">
        <v>0</v>
      </c>
      <c r="L256" s="82" t="b">
        <v>0</v>
      </c>
    </row>
    <row r="257" spans="1:12" ht="15">
      <c r="A257" s="84" t="s">
        <v>1169</v>
      </c>
      <c r="B257" s="103" t="s">
        <v>1170</v>
      </c>
      <c r="C257" s="82">
        <v>2</v>
      </c>
      <c r="D257" s="105">
        <v>0.002679799558615906</v>
      </c>
      <c r="E257" s="105">
        <v>2.8228216453031045</v>
      </c>
      <c r="F257" s="82" t="s">
        <v>1224</v>
      </c>
      <c r="G257" s="82" t="b">
        <v>0</v>
      </c>
      <c r="H257" s="82" t="b">
        <v>0</v>
      </c>
      <c r="I257" s="82" t="b">
        <v>0</v>
      </c>
      <c r="J257" s="82" t="b">
        <v>0</v>
      </c>
      <c r="K257" s="82" t="b">
        <v>0</v>
      </c>
      <c r="L257" s="82" t="b">
        <v>0</v>
      </c>
    </row>
    <row r="258" spans="1:12" ht="15">
      <c r="A258" s="84" t="s">
        <v>1171</v>
      </c>
      <c r="B258" s="103" t="s">
        <v>1172</v>
      </c>
      <c r="C258" s="82">
        <v>2</v>
      </c>
      <c r="D258" s="105">
        <v>0.002679799558615906</v>
      </c>
      <c r="E258" s="105">
        <v>2.8228216453031045</v>
      </c>
      <c r="F258" s="82" t="s">
        <v>1224</v>
      </c>
      <c r="G258" s="82" t="b">
        <v>0</v>
      </c>
      <c r="H258" s="82" t="b">
        <v>0</v>
      </c>
      <c r="I258" s="82" t="b">
        <v>0</v>
      </c>
      <c r="J258" s="82" t="b">
        <v>0</v>
      </c>
      <c r="K258" s="82" t="b">
        <v>0</v>
      </c>
      <c r="L258" s="82" t="b">
        <v>0</v>
      </c>
    </row>
    <row r="259" spans="1:12" ht="15">
      <c r="A259" s="84" t="s">
        <v>1173</v>
      </c>
      <c r="B259" s="103" t="s">
        <v>1174</v>
      </c>
      <c r="C259" s="82">
        <v>2</v>
      </c>
      <c r="D259" s="105">
        <v>0.0030455711207835624</v>
      </c>
      <c r="E259" s="105">
        <v>2.8228216453031045</v>
      </c>
      <c r="F259" s="82" t="s">
        <v>1224</v>
      </c>
      <c r="G259" s="82" t="b">
        <v>0</v>
      </c>
      <c r="H259" s="82" t="b">
        <v>0</v>
      </c>
      <c r="I259" s="82" t="b">
        <v>0</v>
      </c>
      <c r="J259" s="82" t="b">
        <v>0</v>
      </c>
      <c r="K259" s="82" t="b">
        <v>0</v>
      </c>
      <c r="L259" s="82" t="b">
        <v>0</v>
      </c>
    </row>
    <row r="260" spans="1:12" ht="15">
      <c r="A260" s="84" t="s">
        <v>1174</v>
      </c>
      <c r="B260" s="103" t="s">
        <v>936</v>
      </c>
      <c r="C260" s="82">
        <v>2</v>
      </c>
      <c r="D260" s="105">
        <v>0.0030455711207835624</v>
      </c>
      <c r="E260" s="105">
        <v>2.5217916496391233</v>
      </c>
      <c r="F260" s="82" t="s">
        <v>1224</v>
      </c>
      <c r="G260" s="82" t="b">
        <v>0</v>
      </c>
      <c r="H260" s="82" t="b">
        <v>0</v>
      </c>
      <c r="I260" s="82" t="b">
        <v>0</v>
      </c>
      <c r="J260" s="82" t="b">
        <v>0</v>
      </c>
      <c r="K260" s="82" t="b">
        <v>0</v>
      </c>
      <c r="L260" s="82" t="b">
        <v>0</v>
      </c>
    </row>
    <row r="261" spans="1:12" ht="15">
      <c r="A261" s="84" t="s">
        <v>936</v>
      </c>
      <c r="B261" s="103" t="s">
        <v>876</v>
      </c>
      <c r="C261" s="82">
        <v>2</v>
      </c>
      <c r="D261" s="105">
        <v>0.0030455711207835624</v>
      </c>
      <c r="E261" s="105">
        <v>2.044670394919461</v>
      </c>
      <c r="F261" s="82" t="s">
        <v>1224</v>
      </c>
      <c r="G261" s="82" t="b">
        <v>0</v>
      </c>
      <c r="H261" s="82" t="b">
        <v>0</v>
      </c>
      <c r="I261" s="82" t="b">
        <v>0</v>
      </c>
      <c r="J261" s="82" t="b">
        <v>0</v>
      </c>
      <c r="K261" s="82" t="b">
        <v>0</v>
      </c>
      <c r="L261" s="82" t="b">
        <v>0</v>
      </c>
    </row>
    <row r="262" spans="1:12" ht="15">
      <c r="A262" s="84" t="s">
        <v>1177</v>
      </c>
      <c r="B262" s="103" t="s">
        <v>1178</v>
      </c>
      <c r="C262" s="82">
        <v>2</v>
      </c>
      <c r="D262" s="105">
        <v>0.002679799558615906</v>
      </c>
      <c r="E262" s="105">
        <v>2.8228216453031045</v>
      </c>
      <c r="F262" s="82" t="s">
        <v>1224</v>
      </c>
      <c r="G262" s="82" t="b">
        <v>0</v>
      </c>
      <c r="H262" s="82" t="b">
        <v>0</v>
      </c>
      <c r="I262" s="82" t="b">
        <v>0</v>
      </c>
      <c r="J262" s="82" t="b">
        <v>0</v>
      </c>
      <c r="K262" s="82" t="b">
        <v>0</v>
      </c>
      <c r="L262" s="82" t="b">
        <v>0</v>
      </c>
    </row>
    <row r="263" spans="1:12" ht="15">
      <c r="A263" s="84" t="s">
        <v>1178</v>
      </c>
      <c r="B263" s="103" t="s">
        <v>844</v>
      </c>
      <c r="C263" s="82">
        <v>2</v>
      </c>
      <c r="D263" s="105">
        <v>0.002679799558615906</v>
      </c>
      <c r="E263" s="105">
        <v>1.4903831853874991</v>
      </c>
      <c r="F263" s="82" t="s">
        <v>1224</v>
      </c>
      <c r="G263" s="82" t="b">
        <v>0</v>
      </c>
      <c r="H263" s="82" t="b">
        <v>0</v>
      </c>
      <c r="I263" s="82" t="b">
        <v>0</v>
      </c>
      <c r="J263" s="82" t="b">
        <v>0</v>
      </c>
      <c r="K263" s="82" t="b">
        <v>0</v>
      </c>
      <c r="L263" s="82" t="b">
        <v>0</v>
      </c>
    </row>
    <row r="264" spans="1:12" ht="15">
      <c r="A264" s="84" t="s">
        <v>1179</v>
      </c>
      <c r="B264" s="103" t="s">
        <v>1013</v>
      </c>
      <c r="C264" s="82">
        <v>2</v>
      </c>
      <c r="D264" s="105">
        <v>0.002679799558615906</v>
      </c>
      <c r="E264" s="105">
        <v>2.646730386247423</v>
      </c>
      <c r="F264" s="82" t="s">
        <v>1224</v>
      </c>
      <c r="G264" s="82" t="b">
        <v>0</v>
      </c>
      <c r="H264" s="82" t="b">
        <v>1</v>
      </c>
      <c r="I264" s="82" t="b">
        <v>0</v>
      </c>
      <c r="J264" s="82" t="b">
        <v>0</v>
      </c>
      <c r="K264" s="82" t="b">
        <v>1</v>
      </c>
      <c r="L264" s="82" t="b">
        <v>0</v>
      </c>
    </row>
    <row r="265" spans="1:12" ht="15">
      <c r="A265" s="84" t="s">
        <v>1013</v>
      </c>
      <c r="B265" s="103" t="s">
        <v>1180</v>
      </c>
      <c r="C265" s="82">
        <v>2</v>
      </c>
      <c r="D265" s="105">
        <v>0.002679799558615906</v>
      </c>
      <c r="E265" s="105">
        <v>2.646730386247423</v>
      </c>
      <c r="F265" s="82" t="s">
        <v>1224</v>
      </c>
      <c r="G265" s="82" t="b">
        <v>0</v>
      </c>
      <c r="H265" s="82" t="b">
        <v>1</v>
      </c>
      <c r="I265" s="82" t="b">
        <v>0</v>
      </c>
      <c r="J265" s="82" t="b">
        <v>1</v>
      </c>
      <c r="K265" s="82" t="b">
        <v>0</v>
      </c>
      <c r="L265" s="82" t="b">
        <v>0</v>
      </c>
    </row>
    <row r="266" spans="1:12" ht="15">
      <c r="A266" s="84" t="s">
        <v>1180</v>
      </c>
      <c r="B266" s="103" t="s">
        <v>856</v>
      </c>
      <c r="C266" s="82">
        <v>2</v>
      </c>
      <c r="D266" s="105">
        <v>0.002679799558615906</v>
      </c>
      <c r="E266" s="105">
        <v>2.345700390583442</v>
      </c>
      <c r="F266" s="82" t="s">
        <v>1224</v>
      </c>
      <c r="G266" s="82" t="b">
        <v>1</v>
      </c>
      <c r="H266" s="82" t="b">
        <v>0</v>
      </c>
      <c r="I266" s="82" t="b">
        <v>0</v>
      </c>
      <c r="J266" s="82" t="b">
        <v>0</v>
      </c>
      <c r="K266" s="82" t="b">
        <v>0</v>
      </c>
      <c r="L266" s="82" t="b">
        <v>0</v>
      </c>
    </row>
    <row r="267" spans="1:12" ht="15">
      <c r="A267" s="84" t="s">
        <v>1181</v>
      </c>
      <c r="B267" s="103" t="s">
        <v>1182</v>
      </c>
      <c r="C267" s="82">
        <v>2</v>
      </c>
      <c r="D267" s="105">
        <v>0.0030455711207835624</v>
      </c>
      <c r="E267" s="105">
        <v>2.8228216453031045</v>
      </c>
      <c r="F267" s="82" t="s">
        <v>1224</v>
      </c>
      <c r="G267" s="82" t="b">
        <v>0</v>
      </c>
      <c r="H267" s="82" t="b">
        <v>0</v>
      </c>
      <c r="I267" s="82" t="b">
        <v>0</v>
      </c>
      <c r="J267" s="82" t="b">
        <v>0</v>
      </c>
      <c r="K267" s="82" t="b">
        <v>0</v>
      </c>
      <c r="L267" s="82" t="b">
        <v>0</v>
      </c>
    </row>
    <row r="268" spans="1:12" ht="15">
      <c r="A268" s="84" t="s">
        <v>1183</v>
      </c>
      <c r="B268" s="103" t="s">
        <v>1184</v>
      </c>
      <c r="C268" s="82">
        <v>2</v>
      </c>
      <c r="D268" s="105">
        <v>0.002679799558615906</v>
      </c>
      <c r="E268" s="105">
        <v>2.8228216453031045</v>
      </c>
      <c r="F268" s="82" t="s">
        <v>1224</v>
      </c>
      <c r="G268" s="82" t="b">
        <v>0</v>
      </c>
      <c r="H268" s="82" t="b">
        <v>0</v>
      </c>
      <c r="I268" s="82" t="b">
        <v>0</v>
      </c>
      <c r="J268" s="82" t="b">
        <v>0</v>
      </c>
      <c r="K268" s="82" t="b">
        <v>0</v>
      </c>
      <c r="L268" s="82" t="b">
        <v>0</v>
      </c>
    </row>
    <row r="269" spans="1:12" ht="15">
      <c r="A269" s="84" t="s">
        <v>1184</v>
      </c>
      <c r="B269" s="103" t="s">
        <v>995</v>
      </c>
      <c r="C269" s="82">
        <v>2</v>
      </c>
      <c r="D269" s="105">
        <v>0.002679799558615906</v>
      </c>
      <c r="E269" s="105">
        <v>2.646730386247423</v>
      </c>
      <c r="F269" s="82" t="s">
        <v>1224</v>
      </c>
      <c r="G269" s="82" t="b">
        <v>0</v>
      </c>
      <c r="H269" s="82" t="b">
        <v>0</v>
      </c>
      <c r="I269" s="82" t="b">
        <v>0</v>
      </c>
      <c r="J269" s="82" t="b">
        <v>0</v>
      </c>
      <c r="K269" s="82" t="b">
        <v>0</v>
      </c>
      <c r="L269" s="82" t="b">
        <v>0</v>
      </c>
    </row>
    <row r="270" spans="1:12" ht="15">
      <c r="A270" s="84" t="s">
        <v>919</v>
      </c>
      <c r="B270" s="103" t="s">
        <v>1186</v>
      </c>
      <c r="C270" s="82">
        <v>2</v>
      </c>
      <c r="D270" s="105">
        <v>0.002679799558615906</v>
      </c>
      <c r="E270" s="105">
        <v>2.5217916496391233</v>
      </c>
      <c r="F270" s="82" t="s">
        <v>1224</v>
      </c>
      <c r="G270" s="82" t="b">
        <v>0</v>
      </c>
      <c r="H270" s="82" t="b">
        <v>0</v>
      </c>
      <c r="I270" s="82" t="b">
        <v>0</v>
      </c>
      <c r="J270" s="82" t="b">
        <v>0</v>
      </c>
      <c r="K270" s="82" t="b">
        <v>0</v>
      </c>
      <c r="L270" s="82" t="b">
        <v>0</v>
      </c>
    </row>
    <row r="271" spans="1:12" ht="15">
      <c r="A271" s="84" t="s">
        <v>1186</v>
      </c>
      <c r="B271" s="103" t="s">
        <v>884</v>
      </c>
      <c r="C271" s="82">
        <v>2</v>
      </c>
      <c r="D271" s="105">
        <v>0.002679799558615906</v>
      </c>
      <c r="E271" s="105">
        <v>2.345700390583442</v>
      </c>
      <c r="F271" s="82" t="s">
        <v>1224</v>
      </c>
      <c r="G271" s="82" t="b">
        <v>0</v>
      </c>
      <c r="H271" s="82" t="b">
        <v>0</v>
      </c>
      <c r="I271" s="82" t="b">
        <v>0</v>
      </c>
      <c r="J271" s="82" t="b">
        <v>0</v>
      </c>
      <c r="K271" s="82" t="b">
        <v>1</v>
      </c>
      <c r="L271" s="82" t="b">
        <v>0</v>
      </c>
    </row>
    <row r="272" spans="1:12" ht="15">
      <c r="A272" s="84" t="s">
        <v>884</v>
      </c>
      <c r="B272" s="103" t="s">
        <v>1014</v>
      </c>
      <c r="C272" s="82">
        <v>2</v>
      </c>
      <c r="D272" s="105">
        <v>0.002679799558615906</v>
      </c>
      <c r="E272" s="105">
        <v>2.169609131527761</v>
      </c>
      <c r="F272" s="82" t="s">
        <v>1224</v>
      </c>
      <c r="G272" s="82" t="b">
        <v>0</v>
      </c>
      <c r="H272" s="82" t="b">
        <v>1</v>
      </c>
      <c r="I272" s="82" t="b">
        <v>0</v>
      </c>
      <c r="J272" s="82" t="b">
        <v>0</v>
      </c>
      <c r="K272" s="82" t="b">
        <v>0</v>
      </c>
      <c r="L272" s="82" t="b">
        <v>0</v>
      </c>
    </row>
    <row r="273" spans="1:12" ht="15">
      <c r="A273" s="84" t="s">
        <v>844</v>
      </c>
      <c r="B273" s="103" t="s">
        <v>1189</v>
      </c>
      <c r="C273" s="82">
        <v>2</v>
      </c>
      <c r="D273" s="105">
        <v>0.002679799558615906</v>
      </c>
      <c r="E273" s="105">
        <v>1.2977768382662593</v>
      </c>
      <c r="F273" s="82" t="s">
        <v>1224</v>
      </c>
      <c r="G273" s="82" t="b">
        <v>0</v>
      </c>
      <c r="H273" s="82" t="b">
        <v>0</v>
      </c>
      <c r="I273" s="82" t="b">
        <v>0</v>
      </c>
      <c r="J273" s="82" t="b">
        <v>0</v>
      </c>
      <c r="K273" s="82" t="b">
        <v>0</v>
      </c>
      <c r="L273" s="82" t="b">
        <v>0</v>
      </c>
    </row>
    <row r="274" spans="1:12" ht="15">
      <c r="A274" s="84" t="s">
        <v>1189</v>
      </c>
      <c r="B274" s="103" t="s">
        <v>1190</v>
      </c>
      <c r="C274" s="82">
        <v>2</v>
      </c>
      <c r="D274" s="105">
        <v>0.002679799558615906</v>
      </c>
      <c r="E274" s="105">
        <v>2.8228216453031045</v>
      </c>
      <c r="F274" s="82" t="s">
        <v>1224</v>
      </c>
      <c r="G274" s="82" t="b">
        <v>0</v>
      </c>
      <c r="H274" s="82" t="b">
        <v>0</v>
      </c>
      <c r="I274" s="82" t="b">
        <v>0</v>
      </c>
      <c r="J274" s="82" t="b">
        <v>0</v>
      </c>
      <c r="K274" s="82" t="b">
        <v>0</v>
      </c>
      <c r="L274" s="82" t="b">
        <v>0</v>
      </c>
    </row>
    <row r="275" spans="1:12" ht="15">
      <c r="A275" s="84" t="s">
        <v>1190</v>
      </c>
      <c r="B275" s="103" t="s">
        <v>1191</v>
      </c>
      <c r="C275" s="82">
        <v>2</v>
      </c>
      <c r="D275" s="105">
        <v>0.002679799558615906</v>
      </c>
      <c r="E275" s="105">
        <v>2.8228216453031045</v>
      </c>
      <c r="F275" s="82" t="s">
        <v>1224</v>
      </c>
      <c r="G275" s="82" t="b">
        <v>0</v>
      </c>
      <c r="H275" s="82" t="b">
        <v>0</v>
      </c>
      <c r="I275" s="82" t="b">
        <v>0</v>
      </c>
      <c r="J275" s="82" t="b">
        <v>0</v>
      </c>
      <c r="K275" s="82" t="b">
        <v>0</v>
      </c>
      <c r="L275" s="82" t="b">
        <v>0</v>
      </c>
    </row>
    <row r="276" spans="1:12" ht="15">
      <c r="A276" s="84" t="s">
        <v>1191</v>
      </c>
      <c r="B276" s="103" t="s">
        <v>1192</v>
      </c>
      <c r="C276" s="82">
        <v>2</v>
      </c>
      <c r="D276" s="105">
        <v>0.002679799558615906</v>
      </c>
      <c r="E276" s="105">
        <v>2.8228216453031045</v>
      </c>
      <c r="F276" s="82" t="s">
        <v>1224</v>
      </c>
      <c r="G276" s="82" t="b">
        <v>0</v>
      </c>
      <c r="H276" s="82" t="b">
        <v>0</v>
      </c>
      <c r="I276" s="82" t="b">
        <v>0</v>
      </c>
      <c r="J276" s="82" t="b">
        <v>0</v>
      </c>
      <c r="K276" s="82" t="b">
        <v>0</v>
      </c>
      <c r="L276" s="82" t="b">
        <v>0</v>
      </c>
    </row>
    <row r="277" spans="1:12" ht="15">
      <c r="A277" s="84" t="s">
        <v>1192</v>
      </c>
      <c r="B277" s="103" t="s">
        <v>1193</v>
      </c>
      <c r="C277" s="82">
        <v>2</v>
      </c>
      <c r="D277" s="105">
        <v>0.002679799558615906</v>
      </c>
      <c r="E277" s="105">
        <v>2.8228216453031045</v>
      </c>
      <c r="F277" s="82" t="s">
        <v>1224</v>
      </c>
      <c r="G277" s="82" t="b">
        <v>0</v>
      </c>
      <c r="H277" s="82" t="b">
        <v>0</v>
      </c>
      <c r="I277" s="82" t="b">
        <v>0</v>
      </c>
      <c r="J277" s="82" t="b">
        <v>0</v>
      </c>
      <c r="K277" s="82" t="b">
        <v>0</v>
      </c>
      <c r="L277" s="82" t="b">
        <v>0</v>
      </c>
    </row>
    <row r="278" spans="1:12" ht="15">
      <c r="A278" s="84" t="s">
        <v>843</v>
      </c>
      <c r="B278" s="103" t="s">
        <v>1195</v>
      </c>
      <c r="C278" s="82">
        <v>2</v>
      </c>
      <c r="D278" s="105">
        <v>0.002679799558615906</v>
      </c>
      <c r="E278" s="105">
        <v>1.4803989644808984</v>
      </c>
      <c r="F278" s="82" t="s">
        <v>1224</v>
      </c>
      <c r="G278" s="82" t="b">
        <v>0</v>
      </c>
      <c r="H278" s="82" t="b">
        <v>0</v>
      </c>
      <c r="I278" s="82" t="b">
        <v>0</v>
      </c>
      <c r="J278" s="82" t="b">
        <v>0</v>
      </c>
      <c r="K278" s="82" t="b">
        <v>0</v>
      </c>
      <c r="L278" s="82" t="b">
        <v>0</v>
      </c>
    </row>
    <row r="279" spans="1:12" ht="15">
      <c r="A279" s="84" t="s">
        <v>856</v>
      </c>
      <c r="B279" s="103" t="s">
        <v>1196</v>
      </c>
      <c r="C279" s="82">
        <v>2</v>
      </c>
      <c r="D279" s="105">
        <v>0.002679799558615906</v>
      </c>
      <c r="E279" s="105">
        <v>2.424881636631067</v>
      </c>
      <c r="F279" s="82" t="s">
        <v>1224</v>
      </c>
      <c r="G279" s="82" t="b">
        <v>0</v>
      </c>
      <c r="H279" s="82" t="b">
        <v>0</v>
      </c>
      <c r="I279" s="82" t="b">
        <v>0</v>
      </c>
      <c r="J279" s="82" t="b">
        <v>0</v>
      </c>
      <c r="K279" s="82" t="b">
        <v>0</v>
      </c>
      <c r="L279" s="82" t="b">
        <v>0</v>
      </c>
    </row>
    <row r="280" spans="1:12" ht="15">
      <c r="A280" s="84" t="s">
        <v>1196</v>
      </c>
      <c r="B280" s="103" t="s">
        <v>1197</v>
      </c>
      <c r="C280" s="82">
        <v>2</v>
      </c>
      <c r="D280" s="105">
        <v>0.002679799558615906</v>
      </c>
      <c r="E280" s="105">
        <v>2.8228216453031045</v>
      </c>
      <c r="F280" s="82" t="s">
        <v>1224</v>
      </c>
      <c r="G280" s="82" t="b">
        <v>0</v>
      </c>
      <c r="H280" s="82" t="b">
        <v>0</v>
      </c>
      <c r="I280" s="82" t="b">
        <v>0</v>
      </c>
      <c r="J280" s="82" t="b">
        <v>0</v>
      </c>
      <c r="K280" s="82" t="b">
        <v>0</v>
      </c>
      <c r="L280" s="82" t="b">
        <v>0</v>
      </c>
    </row>
    <row r="281" spans="1:12" ht="15">
      <c r="A281" s="84" t="s">
        <v>847</v>
      </c>
      <c r="B281" s="103" t="s">
        <v>934</v>
      </c>
      <c r="C281" s="82">
        <v>2</v>
      </c>
      <c r="D281" s="105">
        <v>0.002679799558615906</v>
      </c>
      <c r="E281" s="105">
        <v>1.9777236052888478</v>
      </c>
      <c r="F281" s="82" t="s">
        <v>1224</v>
      </c>
      <c r="G281" s="82" t="b">
        <v>0</v>
      </c>
      <c r="H281" s="82" t="b">
        <v>0</v>
      </c>
      <c r="I281" s="82" t="b">
        <v>0</v>
      </c>
      <c r="J281" s="82" t="b">
        <v>0</v>
      </c>
      <c r="K281" s="82" t="b">
        <v>0</v>
      </c>
      <c r="L281" s="82" t="b">
        <v>0</v>
      </c>
    </row>
    <row r="282" spans="1:12" ht="15">
      <c r="A282" s="84" t="s">
        <v>934</v>
      </c>
      <c r="B282" s="103" t="s">
        <v>844</v>
      </c>
      <c r="C282" s="82">
        <v>2</v>
      </c>
      <c r="D282" s="105">
        <v>0.002679799558615906</v>
      </c>
      <c r="E282" s="105">
        <v>1.1893531897235181</v>
      </c>
      <c r="F282" s="82" t="s">
        <v>1224</v>
      </c>
      <c r="G282" s="82" t="b">
        <v>0</v>
      </c>
      <c r="H282" s="82" t="b">
        <v>0</v>
      </c>
      <c r="I282" s="82" t="b">
        <v>0</v>
      </c>
      <c r="J282" s="82" t="b">
        <v>0</v>
      </c>
      <c r="K282" s="82" t="b">
        <v>0</v>
      </c>
      <c r="L282" s="82" t="b">
        <v>0</v>
      </c>
    </row>
    <row r="283" spans="1:12" ht="15">
      <c r="A283" s="84" t="s">
        <v>1198</v>
      </c>
      <c r="B283" s="103" t="s">
        <v>1199</v>
      </c>
      <c r="C283" s="82">
        <v>2</v>
      </c>
      <c r="D283" s="105">
        <v>0.0030455711207835624</v>
      </c>
      <c r="E283" s="105">
        <v>2.8228216453031045</v>
      </c>
      <c r="F283" s="82" t="s">
        <v>1224</v>
      </c>
      <c r="G283" s="82" t="b">
        <v>0</v>
      </c>
      <c r="H283" s="82" t="b">
        <v>0</v>
      </c>
      <c r="I283" s="82" t="b">
        <v>0</v>
      </c>
      <c r="J283" s="82" t="b">
        <v>0</v>
      </c>
      <c r="K283" s="82" t="b">
        <v>0</v>
      </c>
      <c r="L283" s="82" t="b">
        <v>0</v>
      </c>
    </row>
    <row r="284" spans="1:12" ht="15">
      <c r="A284" s="84" t="s">
        <v>1199</v>
      </c>
      <c r="B284" s="103" t="s">
        <v>1200</v>
      </c>
      <c r="C284" s="82">
        <v>2</v>
      </c>
      <c r="D284" s="105">
        <v>0.0030455711207835624</v>
      </c>
      <c r="E284" s="105">
        <v>2.8228216453031045</v>
      </c>
      <c r="F284" s="82" t="s">
        <v>1224</v>
      </c>
      <c r="G284" s="82" t="b">
        <v>0</v>
      </c>
      <c r="H284" s="82" t="b">
        <v>0</v>
      </c>
      <c r="I284" s="82" t="b">
        <v>0</v>
      </c>
      <c r="J284" s="82" t="b">
        <v>0</v>
      </c>
      <c r="K284" s="82" t="b">
        <v>0</v>
      </c>
      <c r="L284" s="82" t="b">
        <v>0</v>
      </c>
    </row>
    <row r="285" spans="1:12" ht="15">
      <c r="A285" s="84" t="s">
        <v>1200</v>
      </c>
      <c r="B285" s="103" t="s">
        <v>1201</v>
      </c>
      <c r="C285" s="82">
        <v>2</v>
      </c>
      <c r="D285" s="105">
        <v>0.0030455711207835624</v>
      </c>
      <c r="E285" s="105">
        <v>2.8228216453031045</v>
      </c>
      <c r="F285" s="82" t="s">
        <v>1224</v>
      </c>
      <c r="G285" s="82" t="b">
        <v>0</v>
      </c>
      <c r="H285" s="82" t="b">
        <v>0</v>
      </c>
      <c r="I285" s="82" t="b">
        <v>0</v>
      </c>
      <c r="J285" s="82" t="b">
        <v>0</v>
      </c>
      <c r="K285" s="82" t="b">
        <v>0</v>
      </c>
      <c r="L285" s="82" t="b">
        <v>0</v>
      </c>
    </row>
    <row r="286" spans="1:12" ht="15">
      <c r="A286" s="84" t="s">
        <v>1016</v>
      </c>
      <c r="B286" s="103" t="s">
        <v>1203</v>
      </c>
      <c r="C286" s="82">
        <v>2</v>
      </c>
      <c r="D286" s="105">
        <v>0.002679799558615906</v>
      </c>
      <c r="E286" s="105">
        <v>2.646730386247423</v>
      </c>
      <c r="F286" s="82" t="s">
        <v>1224</v>
      </c>
      <c r="G286" s="82" t="b">
        <v>0</v>
      </c>
      <c r="H286" s="82" t="b">
        <v>0</v>
      </c>
      <c r="I286" s="82" t="b">
        <v>0</v>
      </c>
      <c r="J286" s="82" t="b">
        <v>0</v>
      </c>
      <c r="K286" s="82" t="b">
        <v>0</v>
      </c>
      <c r="L286" s="82" t="b">
        <v>0</v>
      </c>
    </row>
    <row r="287" spans="1:12" ht="15">
      <c r="A287" s="84" t="s">
        <v>1203</v>
      </c>
      <c r="B287" s="103" t="s">
        <v>1204</v>
      </c>
      <c r="C287" s="82">
        <v>2</v>
      </c>
      <c r="D287" s="105">
        <v>0.002679799558615906</v>
      </c>
      <c r="E287" s="105">
        <v>2.8228216453031045</v>
      </c>
      <c r="F287" s="82" t="s">
        <v>1224</v>
      </c>
      <c r="G287" s="82" t="b">
        <v>0</v>
      </c>
      <c r="H287" s="82" t="b">
        <v>0</v>
      </c>
      <c r="I287" s="82" t="b">
        <v>0</v>
      </c>
      <c r="J287" s="82" t="b">
        <v>0</v>
      </c>
      <c r="K287" s="82" t="b">
        <v>0</v>
      </c>
      <c r="L287" s="82" t="b">
        <v>0</v>
      </c>
    </row>
    <row r="288" spans="1:12" ht="15">
      <c r="A288" s="84" t="s">
        <v>1204</v>
      </c>
      <c r="B288" s="103" t="s">
        <v>905</v>
      </c>
      <c r="C288" s="82">
        <v>2</v>
      </c>
      <c r="D288" s="105">
        <v>0.002679799558615906</v>
      </c>
      <c r="E288" s="105">
        <v>2.424881636631067</v>
      </c>
      <c r="F288" s="82" t="s">
        <v>1224</v>
      </c>
      <c r="G288" s="82" t="b">
        <v>0</v>
      </c>
      <c r="H288" s="82" t="b">
        <v>0</v>
      </c>
      <c r="I288" s="82" t="b">
        <v>0</v>
      </c>
      <c r="J288" s="82" t="b">
        <v>0</v>
      </c>
      <c r="K288" s="82" t="b">
        <v>0</v>
      </c>
      <c r="L288" s="82" t="b">
        <v>0</v>
      </c>
    </row>
    <row r="289" spans="1:12" ht="15">
      <c r="A289" s="84" t="s">
        <v>905</v>
      </c>
      <c r="B289" s="103" t="s">
        <v>1015</v>
      </c>
      <c r="C289" s="82">
        <v>2</v>
      </c>
      <c r="D289" s="105">
        <v>0.002679799558615906</v>
      </c>
      <c r="E289" s="105">
        <v>2.646730386247423</v>
      </c>
      <c r="F289" s="82" t="s">
        <v>1224</v>
      </c>
      <c r="G289" s="82" t="b">
        <v>0</v>
      </c>
      <c r="H289" s="82" t="b">
        <v>0</v>
      </c>
      <c r="I289" s="82" t="b">
        <v>0</v>
      </c>
      <c r="J289" s="82" t="b">
        <v>0</v>
      </c>
      <c r="K289" s="82" t="b">
        <v>0</v>
      </c>
      <c r="L289" s="82" t="b">
        <v>0</v>
      </c>
    </row>
    <row r="290" spans="1:12" ht="15">
      <c r="A290" s="84" t="s">
        <v>1015</v>
      </c>
      <c r="B290" s="103" t="s">
        <v>850</v>
      </c>
      <c r="C290" s="82">
        <v>2</v>
      </c>
      <c r="D290" s="105">
        <v>0.002679799558615906</v>
      </c>
      <c r="E290" s="105">
        <v>2.646730386247423</v>
      </c>
      <c r="F290" s="82" t="s">
        <v>1224</v>
      </c>
      <c r="G290" s="82" t="b">
        <v>0</v>
      </c>
      <c r="H290" s="82" t="b">
        <v>0</v>
      </c>
      <c r="I290" s="82" t="b">
        <v>0</v>
      </c>
      <c r="J290" s="82" t="b">
        <v>0</v>
      </c>
      <c r="K290" s="82" t="b">
        <v>0</v>
      </c>
      <c r="L290" s="82" t="b">
        <v>0</v>
      </c>
    </row>
    <row r="291" spans="1:12" ht="15">
      <c r="A291" s="84" t="s">
        <v>850</v>
      </c>
      <c r="B291" s="103" t="s">
        <v>1205</v>
      </c>
      <c r="C291" s="82">
        <v>2</v>
      </c>
      <c r="D291" s="105">
        <v>0.002679799558615906</v>
      </c>
      <c r="E291" s="105">
        <v>2.123851640967086</v>
      </c>
      <c r="F291" s="82" t="s">
        <v>1224</v>
      </c>
      <c r="G291" s="82" t="b">
        <v>0</v>
      </c>
      <c r="H291" s="82" t="b">
        <v>0</v>
      </c>
      <c r="I291" s="82" t="b">
        <v>0</v>
      </c>
      <c r="J291" s="82" t="b">
        <v>0</v>
      </c>
      <c r="K291" s="82" t="b">
        <v>0</v>
      </c>
      <c r="L291" s="82" t="b">
        <v>0</v>
      </c>
    </row>
    <row r="292" spans="1:12" ht="15">
      <c r="A292" s="84" t="s">
        <v>1207</v>
      </c>
      <c r="B292" s="103" t="s">
        <v>1208</v>
      </c>
      <c r="C292" s="82">
        <v>2</v>
      </c>
      <c r="D292" s="105">
        <v>0.0030455711207835624</v>
      </c>
      <c r="E292" s="105">
        <v>2.8228216453031045</v>
      </c>
      <c r="F292" s="82" t="s">
        <v>1224</v>
      </c>
      <c r="G292" s="82" t="b">
        <v>0</v>
      </c>
      <c r="H292" s="82" t="b">
        <v>0</v>
      </c>
      <c r="I292" s="82" t="b">
        <v>0</v>
      </c>
      <c r="J292" s="82" t="b">
        <v>0</v>
      </c>
      <c r="K292" s="82" t="b">
        <v>0</v>
      </c>
      <c r="L292" s="82" t="b">
        <v>0</v>
      </c>
    </row>
    <row r="293" spans="1:12" ht="15">
      <c r="A293" s="84" t="s">
        <v>1208</v>
      </c>
      <c r="B293" s="103" t="s">
        <v>1209</v>
      </c>
      <c r="C293" s="82">
        <v>2</v>
      </c>
      <c r="D293" s="105">
        <v>0.0030455711207835624</v>
      </c>
      <c r="E293" s="105">
        <v>2.8228216453031045</v>
      </c>
      <c r="F293" s="82" t="s">
        <v>1224</v>
      </c>
      <c r="G293" s="82" t="b">
        <v>0</v>
      </c>
      <c r="H293" s="82" t="b">
        <v>0</v>
      </c>
      <c r="I293" s="82" t="b">
        <v>0</v>
      </c>
      <c r="J293" s="82" t="b">
        <v>0</v>
      </c>
      <c r="K293" s="82" t="b">
        <v>0</v>
      </c>
      <c r="L293" s="82" t="b">
        <v>0</v>
      </c>
    </row>
    <row r="294" spans="1:12" ht="15">
      <c r="A294" s="84" t="s">
        <v>1209</v>
      </c>
      <c r="B294" s="103" t="s">
        <v>1210</v>
      </c>
      <c r="C294" s="82">
        <v>2</v>
      </c>
      <c r="D294" s="105">
        <v>0.0030455711207835624</v>
      </c>
      <c r="E294" s="105">
        <v>2.8228216453031045</v>
      </c>
      <c r="F294" s="82" t="s">
        <v>1224</v>
      </c>
      <c r="G294" s="82" t="b">
        <v>0</v>
      </c>
      <c r="H294" s="82" t="b">
        <v>0</v>
      </c>
      <c r="I294" s="82" t="b">
        <v>0</v>
      </c>
      <c r="J294" s="82" t="b">
        <v>0</v>
      </c>
      <c r="K294" s="82" t="b">
        <v>0</v>
      </c>
      <c r="L294" s="82" t="b">
        <v>0</v>
      </c>
    </row>
    <row r="295" spans="1:12" ht="15">
      <c r="A295" s="84" t="s">
        <v>1211</v>
      </c>
      <c r="B295" s="103" t="s">
        <v>923</v>
      </c>
      <c r="C295" s="82">
        <v>2</v>
      </c>
      <c r="D295" s="105">
        <v>0.002679799558615906</v>
      </c>
      <c r="E295" s="105">
        <v>2.5217916496391233</v>
      </c>
      <c r="F295" s="82" t="s">
        <v>1224</v>
      </c>
      <c r="G295" s="82" t="b">
        <v>0</v>
      </c>
      <c r="H295" s="82" t="b">
        <v>0</v>
      </c>
      <c r="I295" s="82" t="b">
        <v>0</v>
      </c>
      <c r="J295" s="82" t="b">
        <v>0</v>
      </c>
      <c r="K295" s="82" t="b">
        <v>0</v>
      </c>
      <c r="L295" s="82" t="b">
        <v>0</v>
      </c>
    </row>
    <row r="296" spans="1:12" ht="15">
      <c r="A296" s="84" t="s">
        <v>923</v>
      </c>
      <c r="B296" s="103" t="s">
        <v>1212</v>
      </c>
      <c r="C296" s="82">
        <v>2</v>
      </c>
      <c r="D296" s="105">
        <v>0.002679799558615906</v>
      </c>
      <c r="E296" s="105">
        <v>2.5217916496391233</v>
      </c>
      <c r="F296" s="82" t="s">
        <v>1224</v>
      </c>
      <c r="G296" s="82" t="b">
        <v>0</v>
      </c>
      <c r="H296" s="82" t="b">
        <v>0</v>
      </c>
      <c r="I296" s="82" t="b">
        <v>0</v>
      </c>
      <c r="J296" s="82" t="b">
        <v>0</v>
      </c>
      <c r="K296" s="82" t="b">
        <v>0</v>
      </c>
      <c r="L296" s="82" t="b">
        <v>0</v>
      </c>
    </row>
    <row r="297" spans="1:12" ht="15">
      <c r="A297" s="84" t="s">
        <v>1212</v>
      </c>
      <c r="B297" s="103" t="s">
        <v>844</v>
      </c>
      <c r="C297" s="82">
        <v>2</v>
      </c>
      <c r="D297" s="105">
        <v>0.002679799558615906</v>
      </c>
      <c r="E297" s="105">
        <v>1.4903831853874991</v>
      </c>
      <c r="F297" s="82" t="s">
        <v>1224</v>
      </c>
      <c r="G297" s="82" t="b">
        <v>0</v>
      </c>
      <c r="H297" s="82" t="b">
        <v>0</v>
      </c>
      <c r="I297" s="82" t="b">
        <v>0</v>
      </c>
      <c r="J297" s="82" t="b">
        <v>0</v>
      </c>
      <c r="K297" s="82" t="b">
        <v>0</v>
      </c>
      <c r="L297" s="82" t="b">
        <v>0</v>
      </c>
    </row>
    <row r="298" spans="1:12" ht="15">
      <c r="A298" s="84" t="s">
        <v>843</v>
      </c>
      <c r="B298" s="103" t="s">
        <v>1213</v>
      </c>
      <c r="C298" s="82">
        <v>2</v>
      </c>
      <c r="D298" s="105">
        <v>0.002679799558615906</v>
      </c>
      <c r="E298" s="105">
        <v>1.4803989644808984</v>
      </c>
      <c r="F298" s="82" t="s">
        <v>1224</v>
      </c>
      <c r="G298" s="82" t="b">
        <v>0</v>
      </c>
      <c r="H298" s="82" t="b">
        <v>0</v>
      </c>
      <c r="I298" s="82" t="b">
        <v>0</v>
      </c>
      <c r="J298" s="82" t="b">
        <v>0</v>
      </c>
      <c r="K298" s="82" t="b">
        <v>0</v>
      </c>
      <c r="L298" s="82" t="b">
        <v>0</v>
      </c>
    </row>
    <row r="299" spans="1:12" ht="15">
      <c r="A299" s="84" t="s">
        <v>1214</v>
      </c>
      <c r="B299" s="103" t="s">
        <v>1215</v>
      </c>
      <c r="C299" s="82">
        <v>2</v>
      </c>
      <c r="D299" s="105">
        <v>0.0030455711207835624</v>
      </c>
      <c r="E299" s="105">
        <v>2.8228216453031045</v>
      </c>
      <c r="F299" s="82" t="s">
        <v>1224</v>
      </c>
      <c r="G299" s="82" t="b">
        <v>0</v>
      </c>
      <c r="H299" s="82" t="b">
        <v>0</v>
      </c>
      <c r="I299" s="82" t="b">
        <v>0</v>
      </c>
      <c r="J299" s="82" t="b">
        <v>0</v>
      </c>
      <c r="K299" s="82" t="b">
        <v>0</v>
      </c>
      <c r="L299" s="82" t="b">
        <v>0</v>
      </c>
    </row>
    <row r="300" spans="1:12" ht="15">
      <c r="A300" s="84" t="s">
        <v>1215</v>
      </c>
      <c r="B300" s="103" t="s">
        <v>1216</v>
      </c>
      <c r="C300" s="82">
        <v>2</v>
      </c>
      <c r="D300" s="105">
        <v>0.0030455711207835624</v>
      </c>
      <c r="E300" s="105">
        <v>2.8228216453031045</v>
      </c>
      <c r="F300" s="82" t="s">
        <v>1224</v>
      </c>
      <c r="G300" s="82" t="b">
        <v>0</v>
      </c>
      <c r="H300" s="82" t="b">
        <v>0</v>
      </c>
      <c r="I300" s="82" t="b">
        <v>0</v>
      </c>
      <c r="J300" s="82" t="b">
        <v>0</v>
      </c>
      <c r="K300" s="82" t="b">
        <v>0</v>
      </c>
      <c r="L300" s="82" t="b">
        <v>0</v>
      </c>
    </row>
    <row r="301" spans="1:12" ht="15">
      <c r="A301" s="84" t="s">
        <v>1216</v>
      </c>
      <c r="B301" s="103" t="s">
        <v>1217</v>
      </c>
      <c r="C301" s="82">
        <v>2</v>
      </c>
      <c r="D301" s="105">
        <v>0.0030455711207835624</v>
      </c>
      <c r="E301" s="105">
        <v>2.8228216453031045</v>
      </c>
      <c r="F301" s="82" t="s">
        <v>1224</v>
      </c>
      <c r="G301" s="82" t="b">
        <v>0</v>
      </c>
      <c r="H301" s="82" t="b">
        <v>0</v>
      </c>
      <c r="I301" s="82" t="b">
        <v>0</v>
      </c>
      <c r="J301" s="82" t="b">
        <v>0</v>
      </c>
      <c r="K301" s="82" t="b">
        <v>0</v>
      </c>
      <c r="L301" s="82" t="b">
        <v>0</v>
      </c>
    </row>
    <row r="302" spans="1:12" ht="15">
      <c r="A302" s="84" t="s">
        <v>1218</v>
      </c>
      <c r="B302" s="103" t="s">
        <v>959</v>
      </c>
      <c r="C302" s="82">
        <v>2</v>
      </c>
      <c r="D302" s="105">
        <v>0.002679799558615906</v>
      </c>
      <c r="E302" s="105">
        <v>2.646730386247423</v>
      </c>
      <c r="F302" s="82" t="s">
        <v>1224</v>
      </c>
      <c r="G302" s="82" t="b">
        <v>0</v>
      </c>
      <c r="H302" s="82" t="b">
        <v>0</v>
      </c>
      <c r="I302" s="82" t="b">
        <v>0</v>
      </c>
      <c r="J302" s="82" t="b">
        <v>0</v>
      </c>
      <c r="K302" s="82" t="b">
        <v>0</v>
      </c>
      <c r="L302" s="82" t="b">
        <v>0</v>
      </c>
    </row>
    <row r="303" spans="1:12" ht="15">
      <c r="A303" s="84" t="s">
        <v>959</v>
      </c>
      <c r="B303" s="103" t="s">
        <v>900</v>
      </c>
      <c r="C303" s="82">
        <v>2</v>
      </c>
      <c r="D303" s="105">
        <v>0.002679799558615906</v>
      </c>
      <c r="E303" s="105">
        <v>2.2487903775753857</v>
      </c>
      <c r="F303" s="82" t="s">
        <v>1224</v>
      </c>
      <c r="G303" s="82" t="b">
        <v>0</v>
      </c>
      <c r="H303" s="82" t="b">
        <v>0</v>
      </c>
      <c r="I303" s="82" t="b">
        <v>0</v>
      </c>
      <c r="J303" s="82" t="b">
        <v>1</v>
      </c>
      <c r="K303" s="82" t="b">
        <v>0</v>
      </c>
      <c r="L303" s="82" t="b">
        <v>0</v>
      </c>
    </row>
    <row r="304" spans="1:12" ht="15">
      <c r="A304" s="84" t="s">
        <v>844</v>
      </c>
      <c r="B304" s="103" t="s">
        <v>843</v>
      </c>
      <c r="C304" s="82">
        <v>19</v>
      </c>
      <c r="D304" s="105">
        <v>0.0286685311261982</v>
      </c>
      <c r="E304" s="105">
        <v>1.1789769472931695</v>
      </c>
      <c r="F304" s="82" t="s">
        <v>807</v>
      </c>
      <c r="G304" s="82" t="b">
        <v>0</v>
      </c>
      <c r="H304" s="82" t="b">
        <v>0</v>
      </c>
      <c r="I304" s="82" t="b">
        <v>0</v>
      </c>
      <c r="J304" s="82" t="b">
        <v>0</v>
      </c>
      <c r="K304" s="82" t="b">
        <v>0</v>
      </c>
      <c r="L304" s="82" t="b">
        <v>0</v>
      </c>
    </row>
    <row r="305" spans="1:12" ht="15">
      <c r="A305" s="84" t="s">
        <v>843</v>
      </c>
      <c r="B305" s="103" t="s">
        <v>847</v>
      </c>
      <c r="C305" s="82">
        <v>4</v>
      </c>
      <c r="D305" s="105">
        <v>0.0134108874264662</v>
      </c>
      <c r="E305" s="105">
        <v>1.2247344378538445</v>
      </c>
      <c r="F305" s="82" t="s">
        <v>807</v>
      </c>
      <c r="G305" s="82" t="b">
        <v>0</v>
      </c>
      <c r="H305" s="82" t="b">
        <v>0</v>
      </c>
      <c r="I305" s="82" t="b">
        <v>0</v>
      </c>
      <c r="J305" s="82" t="b">
        <v>0</v>
      </c>
      <c r="K305" s="82" t="b">
        <v>0</v>
      </c>
      <c r="L305" s="82" t="b">
        <v>0</v>
      </c>
    </row>
    <row r="306" spans="1:12" ht="15">
      <c r="A306" s="84" t="s">
        <v>932</v>
      </c>
      <c r="B306" s="103" t="s">
        <v>933</v>
      </c>
      <c r="C306" s="82">
        <v>4</v>
      </c>
      <c r="D306" s="105">
        <v>0.016691868305637656</v>
      </c>
      <c r="E306" s="105">
        <v>1.8779469516291882</v>
      </c>
      <c r="F306" s="82" t="s">
        <v>807</v>
      </c>
      <c r="G306" s="82" t="b">
        <v>0</v>
      </c>
      <c r="H306" s="82" t="b">
        <v>0</v>
      </c>
      <c r="I306" s="82" t="b">
        <v>0</v>
      </c>
      <c r="J306" s="82" t="b">
        <v>0</v>
      </c>
      <c r="K306" s="82" t="b">
        <v>0</v>
      </c>
      <c r="L306" s="82" t="b">
        <v>0</v>
      </c>
    </row>
    <row r="307" spans="1:12" ht="15">
      <c r="A307" s="84" t="s">
        <v>1012</v>
      </c>
      <c r="B307" s="103" t="s">
        <v>900</v>
      </c>
      <c r="C307" s="82">
        <v>3</v>
      </c>
      <c r="D307" s="105">
        <v>0.011079463144304419</v>
      </c>
      <c r="E307" s="105">
        <v>2.0028856882374884</v>
      </c>
      <c r="F307" s="82" t="s">
        <v>807</v>
      </c>
      <c r="G307" s="82" t="b">
        <v>0</v>
      </c>
      <c r="H307" s="82" t="b">
        <v>0</v>
      </c>
      <c r="I307" s="82" t="b">
        <v>0</v>
      </c>
      <c r="J307" s="82" t="b">
        <v>1</v>
      </c>
      <c r="K307" s="82" t="b">
        <v>0</v>
      </c>
      <c r="L307" s="82" t="b">
        <v>0</v>
      </c>
    </row>
    <row r="308" spans="1:12" ht="15">
      <c r="A308" s="84" t="s">
        <v>900</v>
      </c>
      <c r="B308" s="103" t="s">
        <v>901</v>
      </c>
      <c r="C308" s="82">
        <v>3</v>
      </c>
      <c r="D308" s="105">
        <v>0.011079463144304419</v>
      </c>
      <c r="E308" s="105">
        <v>2.0028856882374884</v>
      </c>
      <c r="F308" s="82" t="s">
        <v>807</v>
      </c>
      <c r="G308" s="82" t="b">
        <v>1</v>
      </c>
      <c r="H308" s="82" t="b">
        <v>0</v>
      </c>
      <c r="I308" s="82" t="b">
        <v>0</v>
      </c>
      <c r="J308" s="82" t="b">
        <v>0</v>
      </c>
      <c r="K308" s="82" t="b">
        <v>0</v>
      </c>
      <c r="L308" s="82" t="b">
        <v>0</v>
      </c>
    </row>
    <row r="309" spans="1:12" ht="15">
      <c r="A309" s="84" t="s">
        <v>901</v>
      </c>
      <c r="B309" s="103" t="s">
        <v>902</v>
      </c>
      <c r="C309" s="82">
        <v>3</v>
      </c>
      <c r="D309" s="105">
        <v>0.011079463144304419</v>
      </c>
      <c r="E309" s="105">
        <v>2.0028856882374884</v>
      </c>
      <c r="F309" s="82" t="s">
        <v>807</v>
      </c>
      <c r="G309" s="82" t="b">
        <v>0</v>
      </c>
      <c r="H309" s="82" t="b">
        <v>0</v>
      </c>
      <c r="I309" s="82" t="b">
        <v>0</v>
      </c>
      <c r="J309" s="82" t="b">
        <v>0</v>
      </c>
      <c r="K309" s="82" t="b">
        <v>0</v>
      </c>
      <c r="L309" s="82" t="b">
        <v>0</v>
      </c>
    </row>
    <row r="310" spans="1:12" ht="15">
      <c r="A310" s="84" t="s">
        <v>902</v>
      </c>
      <c r="B310" s="103" t="s">
        <v>903</v>
      </c>
      <c r="C310" s="82">
        <v>3</v>
      </c>
      <c r="D310" s="105">
        <v>0.011079463144304419</v>
      </c>
      <c r="E310" s="105">
        <v>2.0028856882374884</v>
      </c>
      <c r="F310" s="82" t="s">
        <v>807</v>
      </c>
      <c r="G310" s="82" t="b">
        <v>0</v>
      </c>
      <c r="H310" s="82" t="b">
        <v>0</v>
      </c>
      <c r="I310" s="82" t="b">
        <v>0</v>
      </c>
      <c r="J310" s="82" t="b">
        <v>0</v>
      </c>
      <c r="K310" s="82" t="b">
        <v>0</v>
      </c>
      <c r="L310" s="82" t="b">
        <v>0</v>
      </c>
    </row>
    <row r="311" spans="1:12" ht="15">
      <c r="A311" s="84" t="s">
        <v>843</v>
      </c>
      <c r="B311" s="103" t="s">
        <v>882</v>
      </c>
      <c r="C311" s="82">
        <v>3</v>
      </c>
      <c r="D311" s="105">
        <v>0.011079463144304419</v>
      </c>
      <c r="E311" s="105">
        <v>1.5257644335178258</v>
      </c>
      <c r="F311" s="82" t="s">
        <v>807</v>
      </c>
      <c r="G311" s="82" t="b">
        <v>0</v>
      </c>
      <c r="H311" s="82" t="b">
        <v>0</v>
      </c>
      <c r="I311" s="82" t="b">
        <v>0</v>
      </c>
      <c r="J311" s="82" t="b">
        <v>0</v>
      </c>
      <c r="K311" s="82" t="b">
        <v>1</v>
      </c>
      <c r="L311" s="82" t="b">
        <v>0</v>
      </c>
    </row>
    <row r="312" spans="1:12" ht="15">
      <c r="A312" s="84" t="s">
        <v>940</v>
      </c>
      <c r="B312" s="103" t="s">
        <v>884</v>
      </c>
      <c r="C312" s="82">
        <v>3</v>
      </c>
      <c r="D312" s="105">
        <v>0.011079463144304419</v>
      </c>
      <c r="E312" s="105">
        <v>2.0028856882374884</v>
      </c>
      <c r="F312" s="82" t="s">
        <v>807</v>
      </c>
      <c r="G312" s="82" t="b">
        <v>0</v>
      </c>
      <c r="H312" s="82" t="b">
        <v>1</v>
      </c>
      <c r="I312" s="82" t="b">
        <v>0</v>
      </c>
      <c r="J312" s="82" t="b">
        <v>0</v>
      </c>
      <c r="K312" s="82" t="b">
        <v>1</v>
      </c>
      <c r="L312" s="82" t="b">
        <v>0</v>
      </c>
    </row>
    <row r="313" spans="1:12" ht="15">
      <c r="A313" s="84" t="s">
        <v>884</v>
      </c>
      <c r="B313" s="103" t="s">
        <v>866</v>
      </c>
      <c r="C313" s="82">
        <v>3</v>
      </c>
      <c r="D313" s="105">
        <v>0.011079463144304419</v>
      </c>
      <c r="E313" s="105">
        <v>2.0028856882374884</v>
      </c>
      <c r="F313" s="82" t="s">
        <v>807</v>
      </c>
      <c r="G313" s="82" t="b">
        <v>0</v>
      </c>
      <c r="H313" s="82" t="b">
        <v>1</v>
      </c>
      <c r="I313" s="82" t="b">
        <v>0</v>
      </c>
      <c r="J313" s="82" t="b">
        <v>0</v>
      </c>
      <c r="K313" s="82" t="b">
        <v>0</v>
      </c>
      <c r="L313" s="82" t="b">
        <v>0</v>
      </c>
    </row>
    <row r="314" spans="1:12" ht="15">
      <c r="A314" s="84" t="s">
        <v>866</v>
      </c>
      <c r="B314" s="103" t="s">
        <v>941</v>
      </c>
      <c r="C314" s="82">
        <v>3</v>
      </c>
      <c r="D314" s="105">
        <v>0.011079463144304419</v>
      </c>
      <c r="E314" s="105">
        <v>2.0028856882374884</v>
      </c>
      <c r="F314" s="82" t="s">
        <v>807</v>
      </c>
      <c r="G314" s="82" t="b">
        <v>0</v>
      </c>
      <c r="H314" s="82" t="b">
        <v>0</v>
      </c>
      <c r="I314" s="82" t="b">
        <v>0</v>
      </c>
      <c r="J314" s="82" t="b">
        <v>0</v>
      </c>
      <c r="K314" s="82" t="b">
        <v>0</v>
      </c>
      <c r="L314" s="82" t="b">
        <v>0</v>
      </c>
    </row>
    <row r="315" spans="1:12" ht="15">
      <c r="A315" s="84" t="s">
        <v>941</v>
      </c>
      <c r="B315" s="103" t="s">
        <v>844</v>
      </c>
      <c r="C315" s="82">
        <v>3</v>
      </c>
      <c r="D315" s="105">
        <v>0.011079463144304419</v>
      </c>
      <c r="E315" s="105">
        <v>1.2495580215788766</v>
      </c>
      <c r="F315" s="82" t="s">
        <v>807</v>
      </c>
      <c r="G315" s="82" t="b">
        <v>0</v>
      </c>
      <c r="H315" s="82" t="b">
        <v>0</v>
      </c>
      <c r="I315" s="82" t="b">
        <v>0</v>
      </c>
      <c r="J315" s="82" t="b">
        <v>0</v>
      </c>
      <c r="K315" s="82" t="b">
        <v>0</v>
      </c>
      <c r="L315" s="82" t="b">
        <v>0</v>
      </c>
    </row>
    <row r="316" spans="1:12" ht="15">
      <c r="A316" s="84" t="s">
        <v>935</v>
      </c>
      <c r="B316" s="103" t="s">
        <v>844</v>
      </c>
      <c r="C316" s="82">
        <v>3</v>
      </c>
      <c r="D316" s="105">
        <v>0.011079463144304419</v>
      </c>
      <c r="E316" s="105">
        <v>1.2495580215788766</v>
      </c>
      <c r="F316" s="82" t="s">
        <v>807</v>
      </c>
      <c r="G316" s="82" t="b">
        <v>0</v>
      </c>
      <c r="H316" s="82" t="b">
        <v>0</v>
      </c>
      <c r="I316" s="82" t="b">
        <v>0</v>
      </c>
      <c r="J316" s="82" t="b">
        <v>0</v>
      </c>
      <c r="K316" s="82" t="b">
        <v>0</v>
      </c>
      <c r="L316" s="82" t="b">
        <v>0</v>
      </c>
    </row>
    <row r="317" spans="1:12" ht="15">
      <c r="A317" s="84" t="s">
        <v>942</v>
      </c>
      <c r="B317" s="103" t="s">
        <v>943</v>
      </c>
      <c r="C317" s="82">
        <v>3</v>
      </c>
      <c r="D317" s="105">
        <v>0.011079463144304419</v>
      </c>
      <c r="E317" s="105">
        <v>2.0028856882374884</v>
      </c>
      <c r="F317" s="82" t="s">
        <v>807</v>
      </c>
      <c r="G317" s="82" t="b">
        <v>0</v>
      </c>
      <c r="H317" s="82" t="b">
        <v>1</v>
      </c>
      <c r="I317" s="82" t="b">
        <v>0</v>
      </c>
      <c r="J317" s="82" t="b">
        <v>0</v>
      </c>
      <c r="K317" s="82" t="b">
        <v>0</v>
      </c>
      <c r="L317" s="82" t="b">
        <v>0</v>
      </c>
    </row>
    <row r="318" spans="1:12" ht="15">
      <c r="A318" s="84" t="s">
        <v>943</v>
      </c>
      <c r="B318" s="103" t="s">
        <v>868</v>
      </c>
      <c r="C318" s="82">
        <v>3</v>
      </c>
      <c r="D318" s="105">
        <v>0.011079463144304419</v>
      </c>
      <c r="E318" s="105">
        <v>2.0028856882374884</v>
      </c>
      <c r="F318" s="82" t="s">
        <v>807</v>
      </c>
      <c r="G318" s="82" t="b">
        <v>0</v>
      </c>
      <c r="H318" s="82" t="b">
        <v>0</v>
      </c>
      <c r="I318" s="82" t="b">
        <v>0</v>
      </c>
      <c r="J318" s="82" t="b">
        <v>0</v>
      </c>
      <c r="K318" s="82" t="b">
        <v>0</v>
      </c>
      <c r="L318" s="82" t="b">
        <v>0</v>
      </c>
    </row>
    <row r="319" spans="1:12" ht="15">
      <c r="A319" s="84" t="s">
        <v>891</v>
      </c>
      <c r="B319" s="103" t="s">
        <v>876</v>
      </c>
      <c r="C319" s="82">
        <v>2</v>
      </c>
      <c r="D319" s="105">
        <v>0.009986424592404558</v>
      </c>
      <c r="E319" s="105">
        <v>1.7018556925735069</v>
      </c>
      <c r="F319" s="82" t="s">
        <v>807</v>
      </c>
      <c r="G319" s="82" t="b">
        <v>0</v>
      </c>
      <c r="H319" s="82" t="b">
        <v>0</v>
      </c>
      <c r="I319" s="82" t="b">
        <v>0</v>
      </c>
      <c r="J319" s="82" t="b">
        <v>0</v>
      </c>
      <c r="K319" s="82" t="b">
        <v>0</v>
      </c>
      <c r="L319" s="82" t="b">
        <v>0</v>
      </c>
    </row>
    <row r="320" spans="1:12" ht="15">
      <c r="A320" s="84" t="s">
        <v>876</v>
      </c>
      <c r="B320" s="103" t="s">
        <v>1024</v>
      </c>
      <c r="C320" s="82">
        <v>2</v>
      </c>
      <c r="D320" s="105">
        <v>0.009986424592404558</v>
      </c>
      <c r="E320" s="105">
        <v>1.7018556925735069</v>
      </c>
      <c r="F320" s="82" t="s">
        <v>807</v>
      </c>
      <c r="G320" s="82" t="b">
        <v>0</v>
      </c>
      <c r="H320" s="82" t="b">
        <v>0</v>
      </c>
      <c r="I320" s="82" t="b">
        <v>0</v>
      </c>
      <c r="J320" s="82" t="b">
        <v>0</v>
      </c>
      <c r="K320" s="82" t="b">
        <v>0</v>
      </c>
      <c r="L320" s="82" t="b">
        <v>0</v>
      </c>
    </row>
    <row r="321" spans="1:12" ht="15">
      <c r="A321" s="84" t="s">
        <v>1024</v>
      </c>
      <c r="B321" s="103" t="s">
        <v>877</v>
      </c>
      <c r="C321" s="82">
        <v>2</v>
      </c>
      <c r="D321" s="105">
        <v>0.009986424592404558</v>
      </c>
      <c r="E321" s="105">
        <v>1.7018556925735069</v>
      </c>
      <c r="F321" s="82" t="s">
        <v>807</v>
      </c>
      <c r="G321" s="82" t="b">
        <v>0</v>
      </c>
      <c r="H321" s="82" t="b">
        <v>0</v>
      </c>
      <c r="I321" s="82" t="b">
        <v>0</v>
      </c>
      <c r="J321" s="82" t="b">
        <v>0</v>
      </c>
      <c r="K321" s="82" t="b">
        <v>0</v>
      </c>
      <c r="L321" s="82" t="b">
        <v>0</v>
      </c>
    </row>
    <row r="322" spans="1:12" ht="15">
      <c r="A322" s="84" t="s">
        <v>1207</v>
      </c>
      <c r="B322" s="103" t="s">
        <v>1208</v>
      </c>
      <c r="C322" s="82">
        <v>2</v>
      </c>
      <c r="D322" s="105">
        <v>0.009986424592404558</v>
      </c>
      <c r="E322" s="105">
        <v>2.1789769472931693</v>
      </c>
      <c r="F322" s="82" t="s">
        <v>807</v>
      </c>
      <c r="G322" s="82" t="b">
        <v>0</v>
      </c>
      <c r="H322" s="82" t="b">
        <v>0</v>
      </c>
      <c r="I322" s="82" t="b">
        <v>0</v>
      </c>
      <c r="J322" s="82" t="b">
        <v>0</v>
      </c>
      <c r="K322" s="82" t="b">
        <v>0</v>
      </c>
      <c r="L322" s="82" t="b">
        <v>0</v>
      </c>
    </row>
    <row r="323" spans="1:12" ht="15">
      <c r="A323" s="84" t="s">
        <v>1208</v>
      </c>
      <c r="B323" s="103" t="s">
        <v>1209</v>
      </c>
      <c r="C323" s="82">
        <v>2</v>
      </c>
      <c r="D323" s="105">
        <v>0.009986424592404558</v>
      </c>
      <c r="E323" s="105">
        <v>2.1789769472931693</v>
      </c>
      <c r="F323" s="82" t="s">
        <v>807</v>
      </c>
      <c r="G323" s="82" t="b">
        <v>0</v>
      </c>
      <c r="H323" s="82" t="b">
        <v>0</v>
      </c>
      <c r="I323" s="82" t="b">
        <v>0</v>
      </c>
      <c r="J323" s="82" t="b">
        <v>0</v>
      </c>
      <c r="K323" s="82" t="b">
        <v>0</v>
      </c>
      <c r="L323" s="82" t="b">
        <v>0</v>
      </c>
    </row>
    <row r="324" spans="1:12" ht="15">
      <c r="A324" s="84" t="s">
        <v>1209</v>
      </c>
      <c r="B324" s="103" t="s">
        <v>1210</v>
      </c>
      <c r="C324" s="82">
        <v>2</v>
      </c>
      <c r="D324" s="105">
        <v>0.009986424592404558</v>
      </c>
      <c r="E324" s="105">
        <v>2.1789769472931693</v>
      </c>
      <c r="F324" s="82" t="s">
        <v>807</v>
      </c>
      <c r="G324" s="82" t="b">
        <v>0</v>
      </c>
      <c r="H324" s="82" t="b">
        <v>0</v>
      </c>
      <c r="I324" s="82" t="b">
        <v>0</v>
      </c>
      <c r="J324" s="82" t="b">
        <v>0</v>
      </c>
      <c r="K324" s="82" t="b">
        <v>0</v>
      </c>
      <c r="L324" s="82" t="b">
        <v>0</v>
      </c>
    </row>
    <row r="325" spans="1:12" ht="15">
      <c r="A325" s="84" t="s">
        <v>1198</v>
      </c>
      <c r="B325" s="103" t="s">
        <v>1199</v>
      </c>
      <c r="C325" s="82">
        <v>2</v>
      </c>
      <c r="D325" s="105">
        <v>0.009986424592404558</v>
      </c>
      <c r="E325" s="105">
        <v>2.1789769472931693</v>
      </c>
      <c r="F325" s="82" t="s">
        <v>807</v>
      </c>
      <c r="G325" s="82" t="b">
        <v>0</v>
      </c>
      <c r="H325" s="82" t="b">
        <v>0</v>
      </c>
      <c r="I325" s="82" t="b">
        <v>0</v>
      </c>
      <c r="J325" s="82" t="b">
        <v>0</v>
      </c>
      <c r="K325" s="82" t="b">
        <v>0</v>
      </c>
      <c r="L325" s="82" t="b">
        <v>0</v>
      </c>
    </row>
    <row r="326" spans="1:12" ht="15">
      <c r="A326" s="84" t="s">
        <v>1199</v>
      </c>
      <c r="B326" s="103" t="s">
        <v>1200</v>
      </c>
      <c r="C326" s="82">
        <v>2</v>
      </c>
      <c r="D326" s="105">
        <v>0.009986424592404558</v>
      </c>
      <c r="E326" s="105">
        <v>2.1789769472931693</v>
      </c>
      <c r="F326" s="82" t="s">
        <v>807</v>
      </c>
      <c r="G326" s="82" t="b">
        <v>0</v>
      </c>
      <c r="H326" s="82" t="b">
        <v>0</v>
      </c>
      <c r="I326" s="82" t="b">
        <v>0</v>
      </c>
      <c r="J326" s="82" t="b">
        <v>0</v>
      </c>
      <c r="K326" s="82" t="b">
        <v>0</v>
      </c>
      <c r="L326" s="82" t="b">
        <v>0</v>
      </c>
    </row>
    <row r="327" spans="1:12" ht="15">
      <c r="A327" s="84" t="s">
        <v>1200</v>
      </c>
      <c r="B327" s="103" t="s">
        <v>1201</v>
      </c>
      <c r="C327" s="82">
        <v>2</v>
      </c>
      <c r="D327" s="105">
        <v>0.009986424592404558</v>
      </c>
      <c r="E327" s="105">
        <v>2.1789769472931693</v>
      </c>
      <c r="F327" s="82" t="s">
        <v>807</v>
      </c>
      <c r="G327" s="82" t="b">
        <v>0</v>
      </c>
      <c r="H327" s="82" t="b">
        <v>0</v>
      </c>
      <c r="I327" s="82" t="b">
        <v>0</v>
      </c>
      <c r="J327" s="82" t="b">
        <v>0</v>
      </c>
      <c r="K327" s="82" t="b">
        <v>0</v>
      </c>
      <c r="L327" s="82" t="b">
        <v>0</v>
      </c>
    </row>
    <row r="328" spans="1:12" ht="15">
      <c r="A328" s="84" t="s">
        <v>1181</v>
      </c>
      <c r="B328" s="103" t="s">
        <v>1182</v>
      </c>
      <c r="C328" s="82">
        <v>2</v>
      </c>
      <c r="D328" s="105">
        <v>0.009986424592404558</v>
      </c>
      <c r="E328" s="105">
        <v>2.1789769472931693</v>
      </c>
      <c r="F328" s="82" t="s">
        <v>807</v>
      </c>
      <c r="G328" s="82" t="b">
        <v>0</v>
      </c>
      <c r="H328" s="82" t="b">
        <v>0</v>
      </c>
      <c r="I328" s="82" t="b">
        <v>0</v>
      </c>
      <c r="J328" s="82" t="b">
        <v>0</v>
      </c>
      <c r="K328" s="82" t="b">
        <v>0</v>
      </c>
      <c r="L328" s="82" t="b">
        <v>0</v>
      </c>
    </row>
    <row r="329" spans="1:12" ht="15">
      <c r="A329" s="84" t="s">
        <v>1183</v>
      </c>
      <c r="B329" s="103" t="s">
        <v>1184</v>
      </c>
      <c r="C329" s="82">
        <v>2</v>
      </c>
      <c r="D329" s="105">
        <v>0.008345934152818828</v>
      </c>
      <c r="E329" s="105">
        <v>2.1789769472931693</v>
      </c>
      <c r="F329" s="82" t="s">
        <v>807</v>
      </c>
      <c r="G329" s="82" t="b">
        <v>0</v>
      </c>
      <c r="H329" s="82" t="b">
        <v>0</v>
      </c>
      <c r="I329" s="82" t="b">
        <v>0</v>
      </c>
      <c r="J329" s="82" t="b">
        <v>0</v>
      </c>
      <c r="K329" s="82" t="b">
        <v>0</v>
      </c>
      <c r="L329" s="82" t="b">
        <v>0</v>
      </c>
    </row>
    <row r="330" spans="1:12" ht="15">
      <c r="A330" s="84" t="s">
        <v>1184</v>
      </c>
      <c r="B330" s="103" t="s">
        <v>995</v>
      </c>
      <c r="C330" s="82">
        <v>2</v>
      </c>
      <c r="D330" s="105">
        <v>0.008345934152818828</v>
      </c>
      <c r="E330" s="105">
        <v>2.1789769472931693</v>
      </c>
      <c r="F330" s="82" t="s">
        <v>807</v>
      </c>
      <c r="G330" s="82" t="b">
        <v>0</v>
      </c>
      <c r="H330" s="82" t="b">
        <v>0</v>
      </c>
      <c r="I330" s="82" t="b">
        <v>0</v>
      </c>
      <c r="J330" s="82" t="b">
        <v>0</v>
      </c>
      <c r="K330" s="82" t="b">
        <v>0</v>
      </c>
      <c r="L330" s="82" t="b">
        <v>0</v>
      </c>
    </row>
    <row r="331" spans="1:12" ht="15">
      <c r="A331" s="84" t="s">
        <v>1173</v>
      </c>
      <c r="B331" s="103" t="s">
        <v>1174</v>
      </c>
      <c r="C331" s="82">
        <v>2</v>
      </c>
      <c r="D331" s="105">
        <v>0.009986424592404558</v>
      </c>
      <c r="E331" s="105">
        <v>2.1789769472931693</v>
      </c>
      <c r="F331" s="82" t="s">
        <v>807</v>
      </c>
      <c r="G331" s="82" t="b">
        <v>0</v>
      </c>
      <c r="H331" s="82" t="b">
        <v>0</v>
      </c>
      <c r="I331" s="82" t="b">
        <v>0</v>
      </c>
      <c r="J331" s="82" t="b">
        <v>0</v>
      </c>
      <c r="K331" s="82" t="b">
        <v>0</v>
      </c>
      <c r="L331" s="82" t="b">
        <v>0</v>
      </c>
    </row>
    <row r="332" spans="1:12" ht="15">
      <c r="A332" s="84" t="s">
        <v>1174</v>
      </c>
      <c r="B332" s="103" t="s">
        <v>936</v>
      </c>
      <c r="C332" s="82">
        <v>2</v>
      </c>
      <c r="D332" s="105">
        <v>0.009986424592404558</v>
      </c>
      <c r="E332" s="105">
        <v>1.8779469516291882</v>
      </c>
      <c r="F332" s="82" t="s">
        <v>807</v>
      </c>
      <c r="G332" s="82" t="b">
        <v>0</v>
      </c>
      <c r="H332" s="82" t="b">
        <v>0</v>
      </c>
      <c r="I332" s="82" t="b">
        <v>0</v>
      </c>
      <c r="J332" s="82" t="b">
        <v>0</v>
      </c>
      <c r="K332" s="82" t="b">
        <v>0</v>
      </c>
      <c r="L332" s="82" t="b">
        <v>0</v>
      </c>
    </row>
    <row r="333" spans="1:12" ht="15">
      <c r="A333" s="84" t="s">
        <v>936</v>
      </c>
      <c r="B333" s="103" t="s">
        <v>876</v>
      </c>
      <c r="C333" s="82">
        <v>2</v>
      </c>
      <c r="D333" s="105">
        <v>0.009986424592404558</v>
      </c>
      <c r="E333" s="105">
        <v>1.4008256969095259</v>
      </c>
      <c r="F333" s="82" t="s">
        <v>807</v>
      </c>
      <c r="G333" s="82" t="b">
        <v>0</v>
      </c>
      <c r="H333" s="82" t="b">
        <v>0</v>
      </c>
      <c r="I333" s="82" t="b">
        <v>0</v>
      </c>
      <c r="J333" s="82" t="b">
        <v>0</v>
      </c>
      <c r="K333" s="82" t="b">
        <v>0</v>
      </c>
      <c r="L333" s="82" t="b">
        <v>0</v>
      </c>
    </row>
    <row r="334" spans="1:12" ht="15">
      <c r="A334" s="84" t="s">
        <v>1165</v>
      </c>
      <c r="B334" s="103" t="s">
        <v>1166</v>
      </c>
      <c r="C334" s="82">
        <v>2</v>
      </c>
      <c r="D334" s="105">
        <v>0.009986424592404558</v>
      </c>
      <c r="E334" s="105">
        <v>2.1789769472931693</v>
      </c>
      <c r="F334" s="82" t="s">
        <v>807</v>
      </c>
      <c r="G334" s="82" t="b">
        <v>0</v>
      </c>
      <c r="H334" s="82" t="b">
        <v>0</v>
      </c>
      <c r="I334" s="82" t="b">
        <v>0</v>
      </c>
      <c r="J334" s="82" t="b">
        <v>0</v>
      </c>
      <c r="K334" s="82" t="b">
        <v>0</v>
      </c>
      <c r="L334" s="82" t="b">
        <v>0</v>
      </c>
    </row>
    <row r="335" spans="1:12" ht="15">
      <c r="A335" s="84" t="s">
        <v>936</v>
      </c>
      <c r="B335" s="103" t="s">
        <v>1160</v>
      </c>
      <c r="C335" s="82">
        <v>2</v>
      </c>
      <c r="D335" s="105">
        <v>0.009986424592404558</v>
      </c>
      <c r="E335" s="105">
        <v>1.8779469516291882</v>
      </c>
      <c r="F335" s="82" t="s">
        <v>807</v>
      </c>
      <c r="G335" s="82" t="b">
        <v>0</v>
      </c>
      <c r="H335" s="82" t="b">
        <v>0</v>
      </c>
      <c r="I335" s="82" t="b">
        <v>0</v>
      </c>
      <c r="J335" s="82" t="b">
        <v>0</v>
      </c>
      <c r="K335" s="82" t="b">
        <v>0</v>
      </c>
      <c r="L335" s="82" t="b">
        <v>0</v>
      </c>
    </row>
    <row r="336" spans="1:12" ht="15">
      <c r="A336" s="84" t="s">
        <v>1160</v>
      </c>
      <c r="B336" s="103" t="s">
        <v>1161</v>
      </c>
      <c r="C336" s="82">
        <v>2</v>
      </c>
      <c r="D336" s="105">
        <v>0.009986424592404558</v>
      </c>
      <c r="E336" s="105">
        <v>2.1789769472931693</v>
      </c>
      <c r="F336" s="82" t="s">
        <v>807</v>
      </c>
      <c r="G336" s="82" t="b">
        <v>0</v>
      </c>
      <c r="H336" s="82" t="b">
        <v>0</v>
      </c>
      <c r="I336" s="82" t="b">
        <v>0</v>
      </c>
      <c r="J336" s="82" t="b">
        <v>0</v>
      </c>
      <c r="K336" s="82" t="b">
        <v>0</v>
      </c>
      <c r="L336" s="82" t="b">
        <v>0</v>
      </c>
    </row>
    <row r="337" spans="1:12" ht="15">
      <c r="A337" s="84" t="s">
        <v>1161</v>
      </c>
      <c r="B337" s="103" t="s">
        <v>899</v>
      </c>
      <c r="C337" s="82">
        <v>2</v>
      </c>
      <c r="D337" s="105">
        <v>0.009986424592404558</v>
      </c>
      <c r="E337" s="105">
        <v>2.1789769472931693</v>
      </c>
      <c r="F337" s="82" t="s">
        <v>807</v>
      </c>
      <c r="G337" s="82" t="b">
        <v>0</v>
      </c>
      <c r="H337" s="82" t="b">
        <v>0</v>
      </c>
      <c r="I337" s="82" t="b">
        <v>0</v>
      </c>
      <c r="J337" s="82" t="b">
        <v>0</v>
      </c>
      <c r="K337" s="82" t="b">
        <v>0</v>
      </c>
      <c r="L337" s="82" t="b">
        <v>0</v>
      </c>
    </row>
    <row r="338" spans="1:12" ht="15">
      <c r="A338" s="84" t="s">
        <v>1147</v>
      </c>
      <c r="B338" s="103" t="s">
        <v>1148</v>
      </c>
      <c r="C338" s="82">
        <v>2</v>
      </c>
      <c r="D338" s="105">
        <v>0.009986424592404558</v>
      </c>
      <c r="E338" s="105">
        <v>2.1789769472931693</v>
      </c>
      <c r="F338" s="82" t="s">
        <v>807</v>
      </c>
      <c r="G338" s="82" t="b">
        <v>0</v>
      </c>
      <c r="H338" s="82" t="b">
        <v>0</v>
      </c>
      <c r="I338" s="82" t="b">
        <v>0</v>
      </c>
      <c r="J338" s="82" t="b">
        <v>0</v>
      </c>
      <c r="K338" s="82" t="b">
        <v>0</v>
      </c>
      <c r="L338" s="82" t="b">
        <v>0</v>
      </c>
    </row>
    <row r="339" spans="1:12" ht="15">
      <c r="A339" s="84" t="s">
        <v>1148</v>
      </c>
      <c r="B339" s="103" t="s">
        <v>1149</v>
      </c>
      <c r="C339" s="82">
        <v>2</v>
      </c>
      <c r="D339" s="105">
        <v>0.009986424592404558</v>
      </c>
      <c r="E339" s="105">
        <v>2.1789769472931693</v>
      </c>
      <c r="F339" s="82" t="s">
        <v>807</v>
      </c>
      <c r="G339" s="82" t="b">
        <v>0</v>
      </c>
      <c r="H339" s="82" t="b">
        <v>0</v>
      </c>
      <c r="I339" s="82" t="b">
        <v>0</v>
      </c>
      <c r="J339" s="82" t="b">
        <v>0</v>
      </c>
      <c r="K339" s="82" t="b">
        <v>0</v>
      </c>
      <c r="L339" s="82" t="b">
        <v>0</v>
      </c>
    </row>
    <row r="340" spans="1:12" ht="15">
      <c r="A340" s="84" t="s">
        <v>1149</v>
      </c>
      <c r="B340" s="103" t="s">
        <v>1150</v>
      </c>
      <c r="C340" s="82">
        <v>2</v>
      </c>
      <c r="D340" s="105">
        <v>0.009986424592404558</v>
      </c>
      <c r="E340" s="105">
        <v>2.1789769472931693</v>
      </c>
      <c r="F340" s="82" t="s">
        <v>807</v>
      </c>
      <c r="G340" s="82" t="b">
        <v>0</v>
      </c>
      <c r="H340" s="82" t="b">
        <v>0</v>
      </c>
      <c r="I340" s="82" t="b">
        <v>0</v>
      </c>
      <c r="J340" s="82" t="b">
        <v>0</v>
      </c>
      <c r="K340" s="82" t="b">
        <v>0</v>
      </c>
      <c r="L340" s="82" t="b">
        <v>0</v>
      </c>
    </row>
    <row r="341" spans="1:12" ht="15">
      <c r="A341" s="84" t="s">
        <v>1150</v>
      </c>
      <c r="B341" s="103" t="s">
        <v>1151</v>
      </c>
      <c r="C341" s="82">
        <v>2</v>
      </c>
      <c r="D341" s="105">
        <v>0.009986424592404558</v>
      </c>
      <c r="E341" s="105">
        <v>2.1789769472931693</v>
      </c>
      <c r="F341" s="82" t="s">
        <v>807</v>
      </c>
      <c r="G341" s="82" t="b">
        <v>0</v>
      </c>
      <c r="H341" s="82" t="b">
        <v>0</v>
      </c>
      <c r="I341" s="82" t="b">
        <v>0</v>
      </c>
      <c r="J341" s="82" t="b">
        <v>0</v>
      </c>
      <c r="K341" s="82" t="b">
        <v>0</v>
      </c>
      <c r="L341" s="82" t="b">
        <v>0</v>
      </c>
    </row>
    <row r="342" spans="1:12" ht="15">
      <c r="A342" s="84" t="s">
        <v>1151</v>
      </c>
      <c r="B342" s="103" t="s">
        <v>1152</v>
      </c>
      <c r="C342" s="82">
        <v>2</v>
      </c>
      <c r="D342" s="105">
        <v>0.009986424592404558</v>
      </c>
      <c r="E342" s="105">
        <v>2.1789769472931693</v>
      </c>
      <c r="F342" s="82" t="s">
        <v>807</v>
      </c>
      <c r="G342" s="82" t="b">
        <v>0</v>
      </c>
      <c r="H342" s="82" t="b">
        <v>0</v>
      </c>
      <c r="I342" s="82" t="b">
        <v>0</v>
      </c>
      <c r="J342" s="82" t="b">
        <v>0</v>
      </c>
      <c r="K342" s="82" t="b">
        <v>0</v>
      </c>
      <c r="L342" s="82" t="b">
        <v>0</v>
      </c>
    </row>
    <row r="343" spans="1:12" ht="15">
      <c r="A343" s="84" t="s">
        <v>1152</v>
      </c>
      <c r="B343" s="103" t="s">
        <v>1153</v>
      </c>
      <c r="C343" s="82">
        <v>2</v>
      </c>
      <c r="D343" s="105">
        <v>0.009986424592404558</v>
      </c>
      <c r="E343" s="105">
        <v>2.1789769472931693</v>
      </c>
      <c r="F343" s="82" t="s">
        <v>807</v>
      </c>
      <c r="G343" s="82" t="b">
        <v>0</v>
      </c>
      <c r="H343" s="82" t="b">
        <v>0</v>
      </c>
      <c r="I343" s="82" t="b">
        <v>0</v>
      </c>
      <c r="J343" s="82" t="b">
        <v>0</v>
      </c>
      <c r="K343" s="82" t="b">
        <v>0</v>
      </c>
      <c r="L343" s="82" t="b">
        <v>0</v>
      </c>
    </row>
    <row r="344" spans="1:12" ht="15">
      <c r="A344" s="84" t="s">
        <v>1153</v>
      </c>
      <c r="B344" s="103" t="s">
        <v>1154</v>
      </c>
      <c r="C344" s="82">
        <v>2</v>
      </c>
      <c r="D344" s="105">
        <v>0.009986424592404558</v>
      </c>
      <c r="E344" s="105">
        <v>2.1789769472931693</v>
      </c>
      <c r="F344" s="82" t="s">
        <v>807</v>
      </c>
      <c r="G344" s="82" t="b">
        <v>0</v>
      </c>
      <c r="H344" s="82" t="b">
        <v>0</v>
      </c>
      <c r="I344" s="82" t="b">
        <v>0</v>
      </c>
      <c r="J344" s="82" t="b">
        <v>0</v>
      </c>
      <c r="K344" s="82" t="b">
        <v>0</v>
      </c>
      <c r="L344" s="82" t="b">
        <v>0</v>
      </c>
    </row>
    <row r="345" spans="1:12" ht="15">
      <c r="A345" s="84" t="s">
        <v>847</v>
      </c>
      <c r="B345" s="103" t="s">
        <v>1155</v>
      </c>
      <c r="C345" s="82">
        <v>2</v>
      </c>
      <c r="D345" s="105">
        <v>0.008345934152818828</v>
      </c>
      <c r="E345" s="105">
        <v>2.0028856882374884</v>
      </c>
      <c r="F345" s="82" t="s">
        <v>807</v>
      </c>
      <c r="G345" s="82" t="b">
        <v>0</v>
      </c>
      <c r="H345" s="82" t="b">
        <v>0</v>
      </c>
      <c r="I345" s="82" t="b">
        <v>0</v>
      </c>
      <c r="J345" s="82" t="b">
        <v>0</v>
      </c>
      <c r="K345" s="82" t="b">
        <v>0</v>
      </c>
      <c r="L345" s="82" t="b">
        <v>0</v>
      </c>
    </row>
    <row r="346" spans="1:12" ht="15">
      <c r="A346" s="84" t="s">
        <v>1155</v>
      </c>
      <c r="B346" s="103" t="s">
        <v>1156</v>
      </c>
      <c r="C346" s="82">
        <v>2</v>
      </c>
      <c r="D346" s="105">
        <v>0.008345934152818828</v>
      </c>
      <c r="E346" s="105">
        <v>2.1789769472931693</v>
      </c>
      <c r="F346" s="82" t="s">
        <v>807</v>
      </c>
      <c r="G346" s="82" t="b">
        <v>0</v>
      </c>
      <c r="H346" s="82" t="b">
        <v>0</v>
      </c>
      <c r="I346" s="82" t="b">
        <v>0</v>
      </c>
      <c r="J346" s="82" t="b">
        <v>0</v>
      </c>
      <c r="K346" s="82" t="b">
        <v>0</v>
      </c>
      <c r="L346" s="82" t="b">
        <v>0</v>
      </c>
    </row>
    <row r="347" spans="1:12" ht="15">
      <c r="A347" s="84" t="s">
        <v>1156</v>
      </c>
      <c r="B347" s="103" t="s">
        <v>1157</v>
      </c>
      <c r="C347" s="82">
        <v>2</v>
      </c>
      <c r="D347" s="105">
        <v>0.008345934152818828</v>
      </c>
      <c r="E347" s="105">
        <v>2.1789769472931693</v>
      </c>
      <c r="F347" s="82" t="s">
        <v>807</v>
      </c>
      <c r="G347" s="82" t="b">
        <v>0</v>
      </c>
      <c r="H347" s="82" t="b">
        <v>0</v>
      </c>
      <c r="I347" s="82" t="b">
        <v>0</v>
      </c>
      <c r="J347" s="82" t="b">
        <v>0</v>
      </c>
      <c r="K347" s="82" t="b">
        <v>0</v>
      </c>
      <c r="L347" s="82" t="b">
        <v>0</v>
      </c>
    </row>
    <row r="348" spans="1:12" ht="15">
      <c r="A348" s="84" t="s">
        <v>1157</v>
      </c>
      <c r="B348" s="103" t="s">
        <v>934</v>
      </c>
      <c r="C348" s="82">
        <v>2</v>
      </c>
      <c r="D348" s="105">
        <v>0.008345934152818828</v>
      </c>
      <c r="E348" s="105">
        <v>2.1789769472931693</v>
      </c>
      <c r="F348" s="82" t="s">
        <v>807</v>
      </c>
      <c r="G348" s="82" t="b">
        <v>0</v>
      </c>
      <c r="H348" s="82" t="b">
        <v>0</v>
      </c>
      <c r="I348" s="82" t="b">
        <v>0</v>
      </c>
      <c r="J348" s="82" t="b">
        <v>0</v>
      </c>
      <c r="K348" s="82" t="b">
        <v>0</v>
      </c>
      <c r="L348" s="82" t="b">
        <v>0</v>
      </c>
    </row>
    <row r="349" spans="1:12" ht="15">
      <c r="A349" s="84" t="s">
        <v>934</v>
      </c>
      <c r="B349" s="103" t="s">
        <v>847</v>
      </c>
      <c r="C349" s="82">
        <v>2</v>
      </c>
      <c r="D349" s="105">
        <v>0.008345934152818828</v>
      </c>
      <c r="E349" s="105">
        <v>1.576916955965207</v>
      </c>
      <c r="F349" s="82" t="s">
        <v>807</v>
      </c>
      <c r="G349" s="82" t="b">
        <v>0</v>
      </c>
      <c r="H349" s="82" t="b">
        <v>0</v>
      </c>
      <c r="I349" s="82" t="b">
        <v>0</v>
      </c>
      <c r="J349" s="82" t="b">
        <v>0</v>
      </c>
      <c r="K349" s="82" t="b">
        <v>0</v>
      </c>
      <c r="L349" s="82" t="b">
        <v>0</v>
      </c>
    </row>
    <row r="350" spans="1:12" ht="15">
      <c r="A350" s="84" t="s">
        <v>1143</v>
      </c>
      <c r="B350" s="103" t="s">
        <v>1144</v>
      </c>
      <c r="C350" s="82">
        <v>2</v>
      </c>
      <c r="D350" s="105">
        <v>0.009986424592404558</v>
      </c>
      <c r="E350" s="105">
        <v>2.1789769472931693</v>
      </c>
      <c r="F350" s="82" t="s">
        <v>807</v>
      </c>
      <c r="G350" s="82" t="b">
        <v>0</v>
      </c>
      <c r="H350" s="82" t="b">
        <v>0</v>
      </c>
      <c r="I350" s="82" t="b">
        <v>0</v>
      </c>
      <c r="J350" s="82" t="b">
        <v>0</v>
      </c>
      <c r="K350" s="82" t="b">
        <v>0</v>
      </c>
      <c r="L350" s="82" t="b">
        <v>0</v>
      </c>
    </row>
    <row r="351" spans="1:12" ht="15">
      <c r="A351" s="84" t="s">
        <v>1144</v>
      </c>
      <c r="B351" s="103" t="s">
        <v>1145</v>
      </c>
      <c r="C351" s="82">
        <v>2</v>
      </c>
      <c r="D351" s="105">
        <v>0.009986424592404558</v>
      </c>
      <c r="E351" s="105">
        <v>2.1789769472931693</v>
      </c>
      <c r="F351" s="82" t="s">
        <v>807</v>
      </c>
      <c r="G351" s="82" t="b">
        <v>0</v>
      </c>
      <c r="H351" s="82" t="b">
        <v>0</v>
      </c>
      <c r="I351" s="82" t="b">
        <v>0</v>
      </c>
      <c r="J351" s="82" t="b">
        <v>0</v>
      </c>
      <c r="K351" s="82" t="b">
        <v>0</v>
      </c>
      <c r="L351" s="82" t="b">
        <v>0</v>
      </c>
    </row>
    <row r="352" spans="1:12" ht="15">
      <c r="A352" s="84" t="s">
        <v>1145</v>
      </c>
      <c r="B352" s="103" t="s">
        <v>1146</v>
      </c>
      <c r="C352" s="82">
        <v>2</v>
      </c>
      <c r="D352" s="105">
        <v>0.009986424592404558</v>
      </c>
      <c r="E352" s="105">
        <v>2.1789769472931693</v>
      </c>
      <c r="F352" s="82" t="s">
        <v>807</v>
      </c>
      <c r="G352" s="82" t="b">
        <v>0</v>
      </c>
      <c r="H352" s="82" t="b">
        <v>0</v>
      </c>
      <c r="I352" s="82" t="b">
        <v>0</v>
      </c>
      <c r="J352" s="82" t="b">
        <v>0</v>
      </c>
      <c r="K352" s="82" t="b">
        <v>0</v>
      </c>
      <c r="L352" s="82" t="b">
        <v>0</v>
      </c>
    </row>
    <row r="353" spans="1:12" ht="15">
      <c r="A353" s="84" t="s">
        <v>845</v>
      </c>
      <c r="B353" s="103" t="s">
        <v>932</v>
      </c>
      <c r="C353" s="82">
        <v>2</v>
      </c>
      <c r="D353" s="105">
        <v>0.008345934152818828</v>
      </c>
      <c r="E353" s="105">
        <v>1.0650335949863325</v>
      </c>
      <c r="F353" s="82" t="s">
        <v>807</v>
      </c>
      <c r="G353" s="82" t="b">
        <v>0</v>
      </c>
      <c r="H353" s="82" t="b">
        <v>0</v>
      </c>
      <c r="I353" s="82" t="b">
        <v>0</v>
      </c>
      <c r="J353" s="82" t="b">
        <v>0</v>
      </c>
      <c r="K353" s="82" t="b">
        <v>0</v>
      </c>
      <c r="L353" s="82" t="b">
        <v>0</v>
      </c>
    </row>
    <row r="354" spans="1:12" ht="15">
      <c r="A354" s="84" t="s">
        <v>933</v>
      </c>
      <c r="B354" s="103" t="s">
        <v>1140</v>
      </c>
      <c r="C354" s="82">
        <v>2</v>
      </c>
      <c r="D354" s="105">
        <v>0.009986424592404558</v>
      </c>
      <c r="E354" s="105">
        <v>1.8779469516291882</v>
      </c>
      <c r="F354" s="82" t="s">
        <v>807</v>
      </c>
      <c r="G354" s="82" t="b">
        <v>0</v>
      </c>
      <c r="H354" s="82" t="b">
        <v>0</v>
      </c>
      <c r="I354" s="82" t="b">
        <v>0</v>
      </c>
      <c r="J354" s="82" t="b">
        <v>0</v>
      </c>
      <c r="K354" s="82" t="b">
        <v>0</v>
      </c>
      <c r="L354" s="82" t="b">
        <v>0</v>
      </c>
    </row>
    <row r="355" spans="1:12" ht="15">
      <c r="A355" s="84" t="s">
        <v>1140</v>
      </c>
      <c r="B355" s="103" t="s">
        <v>1141</v>
      </c>
      <c r="C355" s="82">
        <v>2</v>
      </c>
      <c r="D355" s="105">
        <v>0.009986424592404558</v>
      </c>
      <c r="E355" s="105">
        <v>2.1789769472931693</v>
      </c>
      <c r="F355" s="82" t="s">
        <v>807</v>
      </c>
      <c r="G355" s="82" t="b">
        <v>0</v>
      </c>
      <c r="H355" s="82" t="b">
        <v>0</v>
      </c>
      <c r="I355" s="82" t="b">
        <v>0</v>
      </c>
      <c r="J355" s="82" t="b">
        <v>0</v>
      </c>
      <c r="K355" s="82" t="b">
        <v>0</v>
      </c>
      <c r="L355" s="82" t="b">
        <v>0</v>
      </c>
    </row>
    <row r="356" spans="1:12" ht="15">
      <c r="A356" s="84" t="s">
        <v>933</v>
      </c>
      <c r="B356" s="103" t="s">
        <v>1138</v>
      </c>
      <c r="C356" s="82">
        <v>2</v>
      </c>
      <c r="D356" s="105">
        <v>0.009986424592404558</v>
      </c>
      <c r="E356" s="105">
        <v>1.8779469516291882</v>
      </c>
      <c r="F356" s="82" t="s">
        <v>807</v>
      </c>
      <c r="G356" s="82" t="b">
        <v>0</v>
      </c>
      <c r="H356" s="82" t="b">
        <v>0</v>
      </c>
      <c r="I356" s="82" t="b">
        <v>0</v>
      </c>
      <c r="J356" s="82" t="b">
        <v>0</v>
      </c>
      <c r="K356" s="82" t="b">
        <v>0</v>
      </c>
      <c r="L356" s="82" t="b">
        <v>0</v>
      </c>
    </row>
    <row r="357" spans="1:12" ht="15">
      <c r="A357" s="84" t="s">
        <v>1138</v>
      </c>
      <c r="B357" s="103" t="s">
        <v>1139</v>
      </c>
      <c r="C357" s="82">
        <v>2</v>
      </c>
      <c r="D357" s="105">
        <v>0.009986424592404558</v>
      </c>
      <c r="E357" s="105">
        <v>2.1789769472931693</v>
      </c>
      <c r="F357" s="82" t="s">
        <v>807</v>
      </c>
      <c r="G357" s="82" t="b">
        <v>0</v>
      </c>
      <c r="H357" s="82" t="b">
        <v>0</v>
      </c>
      <c r="I357" s="82" t="b">
        <v>0</v>
      </c>
      <c r="J357" s="82" t="b">
        <v>0</v>
      </c>
      <c r="K357" s="82" t="b">
        <v>0</v>
      </c>
      <c r="L357" s="82" t="b">
        <v>0</v>
      </c>
    </row>
    <row r="358" spans="1:12" ht="15">
      <c r="A358" s="84" t="s">
        <v>1130</v>
      </c>
      <c r="B358" s="103" t="s">
        <v>1131</v>
      </c>
      <c r="C358" s="82">
        <v>2</v>
      </c>
      <c r="D358" s="105">
        <v>0.009986424592404558</v>
      </c>
      <c r="E358" s="105">
        <v>2.1789769472931693</v>
      </c>
      <c r="F358" s="82" t="s">
        <v>807</v>
      </c>
      <c r="G358" s="82" t="b">
        <v>0</v>
      </c>
      <c r="H358" s="82" t="b">
        <v>0</v>
      </c>
      <c r="I358" s="82" t="b">
        <v>0</v>
      </c>
      <c r="J358" s="82" t="b">
        <v>0</v>
      </c>
      <c r="K358" s="82" t="b">
        <v>0</v>
      </c>
      <c r="L358" s="82" t="b">
        <v>0</v>
      </c>
    </row>
    <row r="359" spans="1:12" ht="15">
      <c r="A359" s="84" t="s">
        <v>1131</v>
      </c>
      <c r="B359" s="103" t="s">
        <v>1132</v>
      </c>
      <c r="C359" s="82">
        <v>2</v>
      </c>
      <c r="D359" s="105">
        <v>0.009986424592404558</v>
      </c>
      <c r="E359" s="105">
        <v>2.1789769472931693</v>
      </c>
      <c r="F359" s="82" t="s">
        <v>807</v>
      </c>
      <c r="G359" s="82" t="b">
        <v>0</v>
      </c>
      <c r="H359" s="82" t="b">
        <v>0</v>
      </c>
      <c r="I359" s="82" t="b">
        <v>0</v>
      </c>
      <c r="J359" s="82" t="b">
        <v>0</v>
      </c>
      <c r="K359" s="82" t="b">
        <v>0</v>
      </c>
      <c r="L359" s="82" t="b">
        <v>0</v>
      </c>
    </row>
    <row r="360" spans="1:12" ht="15">
      <c r="A360" s="84" t="s">
        <v>1132</v>
      </c>
      <c r="B360" s="103" t="s">
        <v>877</v>
      </c>
      <c r="C360" s="82">
        <v>2</v>
      </c>
      <c r="D360" s="105">
        <v>0.009986424592404558</v>
      </c>
      <c r="E360" s="105">
        <v>1.7018556925735069</v>
      </c>
      <c r="F360" s="82" t="s">
        <v>807</v>
      </c>
      <c r="G360" s="82" t="b">
        <v>0</v>
      </c>
      <c r="H360" s="82" t="b">
        <v>0</v>
      </c>
      <c r="I360" s="82" t="b">
        <v>0</v>
      </c>
      <c r="J360" s="82" t="b">
        <v>0</v>
      </c>
      <c r="K360" s="82" t="b">
        <v>0</v>
      </c>
      <c r="L360" s="82" t="b">
        <v>0</v>
      </c>
    </row>
    <row r="361" spans="1:12" ht="15">
      <c r="A361" s="84" t="s">
        <v>1126</v>
      </c>
      <c r="B361" s="103" t="s">
        <v>1127</v>
      </c>
      <c r="C361" s="82">
        <v>2</v>
      </c>
      <c r="D361" s="105">
        <v>0.009986424592404558</v>
      </c>
      <c r="E361" s="105">
        <v>2.1789769472931693</v>
      </c>
      <c r="F361" s="82" t="s">
        <v>807</v>
      </c>
      <c r="G361" s="82" t="b">
        <v>0</v>
      </c>
      <c r="H361" s="82" t="b">
        <v>0</v>
      </c>
      <c r="I361" s="82" t="b">
        <v>0</v>
      </c>
      <c r="J361" s="82" t="b">
        <v>0</v>
      </c>
      <c r="K361" s="82" t="b">
        <v>0</v>
      </c>
      <c r="L361" s="82" t="b">
        <v>0</v>
      </c>
    </row>
    <row r="362" spans="1:12" ht="15">
      <c r="A362" s="84" t="s">
        <v>1127</v>
      </c>
      <c r="B362" s="103" t="s">
        <v>1128</v>
      </c>
      <c r="C362" s="82">
        <v>2</v>
      </c>
      <c r="D362" s="105">
        <v>0.009986424592404558</v>
      </c>
      <c r="E362" s="105">
        <v>2.1789769472931693</v>
      </c>
      <c r="F362" s="82" t="s">
        <v>807</v>
      </c>
      <c r="G362" s="82" t="b">
        <v>0</v>
      </c>
      <c r="H362" s="82" t="b">
        <v>0</v>
      </c>
      <c r="I362" s="82" t="b">
        <v>0</v>
      </c>
      <c r="J362" s="82" t="b">
        <v>0</v>
      </c>
      <c r="K362" s="82" t="b">
        <v>0</v>
      </c>
      <c r="L362" s="82" t="b">
        <v>0</v>
      </c>
    </row>
    <row r="363" spans="1:12" ht="15">
      <c r="A363" s="84" t="s">
        <v>1128</v>
      </c>
      <c r="B363" s="103" t="s">
        <v>1129</v>
      </c>
      <c r="C363" s="82">
        <v>2</v>
      </c>
      <c r="D363" s="105">
        <v>0.009986424592404558</v>
      </c>
      <c r="E363" s="105">
        <v>2.1789769472931693</v>
      </c>
      <c r="F363" s="82" t="s">
        <v>807</v>
      </c>
      <c r="G363" s="82" t="b">
        <v>0</v>
      </c>
      <c r="H363" s="82" t="b">
        <v>0</v>
      </c>
      <c r="I363" s="82" t="b">
        <v>0</v>
      </c>
      <c r="J363" s="82" t="b">
        <v>0</v>
      </c>
      <c r="K363" s="82" t="b">
        <v>0</v>
      </c>
      <c r="L363" s="82" t="b">
        <v>0</v>
      </c>
    </row>
    <row r="364" spans="1:12" ht="15">
      <c r="A364" s="84" t="s">
        <v>1120</v>
      </c>
      <c r="B364" s="103" t="s">
        <v>1121</v>
      </c>
      <c r="C364" s="82">
        <v>2</v>
      </c>
      <c r="D364" s="105">
        <v>0.009986424592404558</v>
      </c>
      <c r="E364" s="105">
        <v>2.1789769472931693</v>
      </c>
      <c r="F364" s="82" t="s">
        <v>807</v>
      </c>
      <c r="G364" s="82" t="b">
        <v>0</v>
      </c>
      <c r="H364" s="82" t="b">
        <v>0</v>
      </c>
      <c r="I364" s="82" t="b">
        <v>0</v>
      </c>
      <c r="J364" s="82" t="b">
        <v>0</v>
      </c>
      <c r="K364" s="82" t="b">
        <v>0</v>
      </c>
      <c r="L364" s="82" t="b">
        <v>0</v>
      </c>
    </row>
    <row r="365" spans="1:12" ht="15">
      <c r="A365" s="84" t="s">
        <v>1121</v>
      </c>
      <c r="B365" s="103" t="s">
        <v>1122</v>
      </c>
      <c r="C365" s="82">
        <v>2</v>
      </c>
      <c r="D365" s="105">
        <v>0.009986424592404558</v>
      </c>
      <c r="E365" s="105">
        <v>2.1789769472931693</v>
      </c>
      <c r="F365" s="82" t="s">
        <v>807</v>
      </c>
      <c r="G365" s="82" t="b">
        <v>0</v>
      </c>
      <c r="H365" s="82" t="b">
        <v>0</v>
      </c>
      <c r="I365" s="82" t="b">
        <v>0</v>
      </c>
      <c r="J365" s="82" t="b">
        <v>0</v>
      </c>
      <c r="K365" s="82" t="b">
        <v>0</v>
      </c>
      <c r="L365" s="82" t="b">
        <v>0</v>
      </c>
    </row>
    <row r="366" spans="1:12" ht="15">
      <c r="A366" s="84" t="s">
        <v>1122</v>
      </c>
      <c r="B366" s="103" t="s">
        <v>1123</v>
      </c>
      <c r="C366" s="82">
        <v>2</v>
      </c>
      <c r="D366" s="105">
        <v>0.009986424592404558</v>
      </c>
      <c r="E366" s="105">
        <v>2.1789769472931693</v>
      </c>
      <c r="F366" s="82" t="s">
        <v>807</v>
      </c>
      <c r="G366" s="82" t="b">
        <v>0</v>
      </c>
      <c r="H366" s="82" t="b">
        <v>0</v>
      </c>
      <c r="I366" s="82" t="b">
        <v>0</v>
      </c>
      <c r="J366" s="82" t="b">
        <v>0</v>
      </c>
      <c r="K366" s="82" t="b">
        <v>0</v>
      </c>
      <c r="L366" s="82" t="b">
        <v>0</v>
      </c>
    </row>
    <row r="367" spans="1:12" ht="15">
      <c r="A367" s="84" t="s">
        <v>1106</v>
      </c>
      <c r="B367" s="103" t="s">
        <v>1107</v>
      </c>
      <c r="C367" s="82">
        <v>2</v>
      </c>
      <c r="D367" s="105">
        <v>0.009986424592404558</v>
      </c>
      <c r="E367" s="105">
        <v>2.1789769472931693</v>
      </c>
      <c r="F367" s="82" t="s">
        <v>807</v>
      </c>
      <c r="G367" s="82" t="b">
        <v>0</v>
      </c>
      <c r="H367" s="82" t="b">
        <v>0</v>
      </c>
      <c r="I367" s="82" t="b">
        <v>0</v>
      </c>
      <c r="J367" s="82" t="b">
        <v>0</v>
      </c>
      <c r="K367" s="82" t="b">
        <v>0</v>
      </c>
      <c r="L367" s="82" t="b">
        <v>0</v>
      </c>
    </row>
    <row r="368" spans="1:12" ht="15">
      <c r="A368" s="84" t="s">
        <v>1107</v>
      </c>
      <c r="B368" s="103" t="s">
        <v>1108</v>
      </c>
      <c r="C368" s="82">
        <v>2</v>
      </c>
      <c r="D368" s="105">
        <v>0.009986424592404558</v>
      </c>
      <c r="E368" s="105">
        <v>2.1789769472931693</v>
      </c>
      <c r="F368" s="82" t="s">
        <v>807</v>
      </c>
      <c r="G368" s="82" t="b">
        <v>0</v>
      </c>
      <c r="H368" s="82" t="b">
        <v>0</v>
      </c>
      <c r="I368" s="82" t="b">
        <v>0</v>
      </c>
      <c r="J368" s="82" t="b">
        <v>0</v>
      </c>
      <c r="K368" s="82" t="b">
        <v>0</v>
      </c>
      <c r="L368" s="82" t="b">
        <v>0</v>
      </c>
    </row>
    <row r="369" spans="1:12" ht="15">
      <c r="A369" s="84" t="s">
        <v>1108</v>
      </c>
      <c r="B369" s="103" t="s">
        <v>876</v>
      </c>
      <c r="C369" s="82">
        <v>2</v>
      </c>
      <c r="D369" s="105">
        <v>0.009986424592404558</v>
      </c>
      <c r="E369" s="105">
        <v>1.7018556925735069</v>
      </c>
      <c r="F369" s="82" t="s">
        <v>807</v>
      </c>
      <c r="G369" s="82" t="b">
        <v>0</v>
      </c>
      <c r="H369" s="82" t="b">
        <v>0</v>
      </c>
      <c r="I369" s="82" t="b">
        <v>0</v>
      </c>
      <c r="J369" s="82" t="b">
        <v>0</v>
      </c>
      <c r="K369" s="82" t="b">
        <v>0</v>
      </c>
      <c r="L369" s="82" t="b">
        <v>0</v>
      </c>
    </row>
    <row r="370" spans="1:12" ht="15">
      <c r="A370" s="84" t="s">
        <v>877</v>
      </c>
      <c r="B370" s="103" t="s">
        <v>1090</v>
      </c>
      <c r="C370" s="82">
        <v>2</v>
      </c>
      <c r="D370" s="105">
        <v>0.009986424592404558</v>
      </c>
      <c r="E370" s="105">
        <v>1.7018556925735069</v>
      </c>
      <c r="F370" s="82" t="s">
        <v>807</v>
      </c>
      <c r="G370" s="82" t="b">
        <v>0</v>
      </c>
      <c r="H370" s="82" t="b">
        <v>0</v>
      </c>
      <c r="I370" s="82" t="b">
        <v>0</v>
      </c>
      <c r="J370" s="82" t="b">
        <v>0</v>
      </c>
      <c r="K370" s="82" t="b">
        <v>0</v>
      </c>
      <c r="L370" s="82" t="b">
        <v>0</v>
      </c>
    </row>
    <row r="371" spans="1:12" ht="15">
      <c r="A371" s="84" t="s">
        <v>1090</v>
      </c>
      <c r="B371" s="103" t="s">
        <v>1091</v>
      </c>
      <c r="C371" s="82">
        <v>2</v>
      </c>
      <c r="D371" s="105">
        <v>0.009986424592404558</v>
      </c>
      <c r="E371" s="105">
        <v>2.1789769472931693</v>
      </c>
      <c r="F371" s="82" t="s">
        <v>807</v>
      </c>
      <c r="G371" s="82" t="b">
        <v>0</v>
      </c>
      <c r="H371" s="82" t="b">
        <v>0</v>
      </c>
      <c r="I371" s="82" t="b">
        <v>0</v>
      </c>
      <c r="J371" s="82" t="b">
        <v>0</v>
      </c>
      <c r="K371" s="82" t="b">
        <v>0</v>
      </c>
      <c r="L371" s="82" t="b">
        <v>0</v>
      </c>
    </row>
    <row r="372" spans="1:12" ht="15">
      <c r="A372" s="84" t="s">
        <v>1091</v>
      </c>
      <c r="B372" s="103" t="s">
        <v>1092</v>
      </c>
      <c r="C372" s="82">
        <v>2</v>
      </c>
      <c r="D372" s="105">
        <v>0.009986424592404558</v>
      </c>
      <c r="E372" s="105">
        <v>2.1789769472931693</v>
      </c>
      <c r="F372" s="82" t="s">
        <v>807</v>
      </c>
      <c r="G372" s="82" t="b">
        <v>0</v>
      </c>
      <c r="H372" s="82" t="b">
        <v>0</v>
      </c>
      <c r="I372" s="82" t="b">
        <v>0</v>
      </c>
      <c r="J372" s="82" t="b">
        <v>0</v>
      </c>
      <c r="K372" s="82" t="b">
        <v>0</v>
      </c>
      <c r="L372" s="82" t="b">
        <v>0</v>
      </c>
    </row>
    <row r="373" spans="1:12" ht="15">
      <c r="A373" s="84" t="s">
        <v>1080</v>
      </c>
      <c r="B373" s="103" t="s">
        <v>1081</v>
      </c>
      <c r="C373" s="82">
        <v>2</v>
      </c>
      <c r="D373" s="105">
        <v>0.009986424592404558</v>
      </c>
      <c r="E373" s="105">
        <v>2.1789769472931693</v>
      </c>
      <c r="F373" s="82" t="s">
        <v>807</v>
      </c>
      <c r="G373" s="82" t="b">
        <v>0</v>
      </c>
      <c r="H373" s="82" t="b">
        <v>0</v>
      </c>
      <c r="I373" s="82" t="b">
        <v>0</v>
      </c>
      <c r="J373" s="82" t="b">
        <v>0</v>
      </c>
      <c r="K373" s="82" t="b">
        <v>0</v>
      </c>
      <c r="L373" s="82" t="b">
        <v>0</v>
      </c>
    </row>
    <row r="374" spans="1:12" ht="15">
      <c r="A374" s="84" t="s">
        <v>937</v>
      </c>
      <c r="B374" s="103" t="s">
        <v>938</v>
      </c>
      <c r="C374" s="82">
        <v>2</v>
      </c>
      <c r="D374" s="105">
        <v>0.008345934152818828</v>
      </c>
      <c r="E374" s="105">
        <v>2.1789769472931693</v>
      </c>
      <c r="F374" s="82" t="s">
        <v>807</v>
      </c>
      <c r="G374" s="82" t="b">
        <v>0</v>
      </c>
      <c r="H374" s="82" t="b">
        <v>0</v>
      </c>
      <c r="I374" s="82" t="b">
        <v>0</v>
      </c>
      <c r="J374" s="82" t="b">
        <v>0</v>
      </c>
      <c r="K374" s="82" t="b">
        <v>0</v>
      </c>
      <c r="L374" s="82" t="b">
        <v>0</v>
      </c>
    </row>
    <row r="375" spans="1:12" ht="15">
      <c r="A375" s="84" t="s">
        <v>938</v>
      </c>
      <c r="B375" s="103" t="s">
        <v>939</v>
      </c>
      <c r="C375" s="82">
        <v>2</v>
      </c>
      <c r="D375" s="105">
        <v>0.008345934152818828</v>
      </c>
      <c r="E375" s="105">
        <v>2.1789769472931693</v>
      </c>
      <c r="F375" s="82" t="s">
        <v>807</v>
      </c>
      <c r="G375" s="82" t="b">
        <v>0</v>
      </c>
      <c r="H375" s="82" t="b">
        <v>0</v>
      </c>
      <c r="I375" s="82" t="b">
        <v>0</v>
      </c>
      <c r="J375" s="82" t="b">
        <v>0</v>
      </c>
      <c r="K375" s="82" t="b">
        <v>1</v>
      </c>
      <c r="L375" s="82" t="b">
        <v>0</v>
      </c>
    </row>
    <row r="376" spans="1:12" ht="15">
      <c r="A376" s="84" t="s">
        <v>844</v>
      </c>
      <c r="B376" s="103" t="s">
        <v>843</v>
      </c>
      <c r="C376" s="82">
        <v>5</v>
      </c>
      <c r="D376" s="105">
        <v>0.031765268819452276</v>
      </c>
      <c r="E376" s="105">
        <v>1.2041199826559248</v>
      </c>
      <c r="F376" s="82" t="s">
        <v>808</v>
      </c>
      <c r="G376" s="82" t="b">
        <v>0</v>
      </c>
      <c r="H376" s="82" t="b">
        <v>0</v>
      </c>
      <c r="I376" s="82" t="b">
        <v>0</v>
      </c>
      <c r="J376" s="82" t="b">
        <v>0</v>
      </c>
      <c r="K376" s="82" t="b">
        <v>0</v>
      </c>
      <c r="L376" s="82" t="b">
        <v>0</v>
      </c>
    </row>
    <row r="377" spans="1:12" ht="15">
      <c r="A377" s="84" t="s">
        <v>1019</v>
      </c>
      <c r="B377" s="103" t="s">
        <v>905</v>
      </c>
      <c r="C377" s="82">
        <v>3</v>
      </c>
      <c r="D377" s="105">
        <v>0.024218434538563375</v>
      </c>
      <c r="E377" s="105">
        <v>1.2833012287035497</v>
      </c>
      <c r="F377" s="82" t="s">
        <v>808</v>
      </c>
      <c r="G377" s="82" t="b">
        <v>0</v>
      </c>
      <c r="H377" s="82" t="b">
        <v>0</v>
      </c>
      <c r="I377" s="82" t="b">
        <v>0</v>
      </c>
      <c r="J377" s="82" t="b">
        <v>0</v>
      </c>
      <c r="K377" s="82" t="b">
        <v>0</v>
      </c>
      <c r="L377" s="82" t="b">
        <v>0</v>
      </c>
    </row>
    <row r="378" spans="1:12" ht="15">
      <c r="A378" s="84" t="s">
        <v>1016</v>
      </c>
      <c r="B378" s="103" t="s">
        <v>1203</v>
      </c>
      <c r="C378" s="82">
        <v>2</v>
      </c>
      <c r="D378" s="105">
        <v>0.01887572006533188</v>
      </c>
      <c r="E378" s="105">
        <v>1.6812412373755872</v>
      </c>
      <c r="F378" s="82" t="s">
        <v>808</v>
      </c>
      <c r="G378" s="82" t="b">
        <v>0</v>
      </c>
      <c r="H378" s="82" t="b">
        <v>0</v>
      </c>
      <c r="I378" s="82" t="b">
        <v>0</v>
      </c>
      <c r="J378" s="82" t="b">
        <v>0</v>
      </c>
      <c r="K378" s="82" t="b">
        <v>0</v>
      </c>
      <c r="L378" s="82" t="b">
        <v>0</v>
      </c>
    </row>
    <row r="379" spans="1:12" ht="15">
      <c r="A379" s="84" t="s">
        <v>1203</v>
      </c>
      <c r="B379" s="103" t="s">
        <v>1204</v>
      </c>
      <c r="C379" s="82">
        <v>2</v>
      </c>
      <c r="D379" s="105">
        <v>0.01887572006533188</v>
      </c>
      <c r="E379" s="105">
        <v>1.6812412373755872</v>
      </c>
      <c r="F379" s="82" t="s">
        <v>808</v>
      </c>
      <c r="G379" s="82" t="b">
        <v>0</v>
      </c>
      <c r="H379" s="82" t="b">
        <v>0</v>
      </c>
      <c r="I379" s="82" t="b">
        <v>0</v>
      </c>
      <c r="J379" s="82" t="b">
        <v>0</v>
      </c>
      <c r="K379" s="82" t="b">
        <v>0</v>
      </c>
      <c r="L379" s="82" t="b">
        <v>0</v>
      </c>
    </row>
    <row r="380" spans="1:12" ht="15">
      <c r="A380" s="84" t="s">
        <v>1204</v>
      </c>
      <c r="B380" s="103" t="s">
        <v>905</v>
      </c>
      <c r="C380" s="82">
        <v>2</v>
      </c>
      <c r="D380" s="105">
        <v>0.01887572006533188</v>
      </c>
      <c r="E380" s="105">
        <v>1.2833012287035497</v>
      </c>
      <c r="F380" s="82" t="s">
        <v>808</v>
      </c>
      <c r="G380" s="82" t="b">
        <v>0</v>
      </c>
      <c r="H380" s="82" t="b">
        <v>0</v>
      </c>
      <c r="I380" s="82" t="b">
        <v>0</v>
      </c>
      <c r="J380" s="82" t="b">
        <v>0</v>
      </c>
      <c r="K380" s="82" t="b">
        <v>0</v>
      </c>
      <c r="L380" s="82" t="b">
        <v>0</v>
      </c>
    </row>
    <row r="381" spans="1:12" ht="15">
      <c r="A381" s="84" t="s">
        <v>905</v>
      </c>
      <c r="B381" s="103" t="s">
        <v>1015</v>
      </c>
      <c r="C381" s="82">
        <v>2</v>
      </c>
      <c r="D381" s="105">
        <v>0.01887572006533188</v>
      </c>
      <c r="E381" s="105">
        <v>1.6812412373755872</v>
      </c>
      <c r="F381" s="82" t="s">
        <v>808</v>
      </c>
      <c r="G381" s="82" t="b">
        <v>0</v>
      </c>
      <c r="H381" s="82" t="b">
        <v>0</v>
      </c>
      <c r="I381" s="82" t="b">
        <v>0</v>
      </c>
      <c r="J381" s="82" t="b">
        <v>0</v>
      </c>
      <c r="K381" s="82" t="b">
        <v>0</v>
      </c>
      <c r="L381" s="82" t="b">
        <v>0</v>
      </c>
    </row>
    <row r="382" spans="1:12" ht="15">
      <c r="A382" s="84" t="s">
        <v>1015</v>
      </c>
      <c r="B382" s="103" t="s">
        <v>850</v>
      </c>
      <c r="C382" s="82">
        <v>2</v>
      </c>
      <c r="D382" s="105">
        <v>0.01887572006533188</v>
      </c>
      <c r="E382" s="105">
        <v>1.6812412373755872</v>
      </c>
      <c r="F382" s="82" t="s">
        <v>808</v>
      </c>
      <c r="G382" s="82" t="b">
        <v>0</v>
      </c>
      <c r="H382" s="82" t="b">
        <v>0</v>
      </c>
      <c r="I382" s="82" t="b">
        <v>0</v>
      </c>
      <c r="J382" s="82" t="b">
        <v>0</v>
      </c>
      <c r="K382" s="82" t="b">
        <v>0</v>
      </c>
      <c r="L382" s="82" t="b">
        <v>0</v>
      </c>
    </row>
    <row r="383" spans="1:12" ht="15">
      <c r="A383" s="84" t="s">
        <v>850</v>
      </c>
      <c r="B383" s="103" t="s">
        <v>1205</v>
      </c>
      <c r="C383" s="82">
        <v>2</v>
      </c>
      <c r="D383" s="105">
        <v>0.01887572006533188</v>
      </c>
      <c r="E383" s="105">
        <v>1.6812412373755872</v>
      </c>
      <c r="F383" s="82" t="s">
        <v>808</v>
      </c>
      <c r="G383" s="82" t="b">
        <v>0</v>
      </c>
      <c r="H383" s="82" t="b">
        <v>0</v>
      </c>
      <c r="I383" s="82" t="b">
        <v>0</v>
      </c>
      <c r="J383" s="82" t="b">
        <v>0</v>
      </c>
      <c r="K383" s="82" t="b">
        <v>0</v>
      </c>
      <c r="L383" s="82" t="b">
        <v>0</v>
      </c>
    </row>
    <row r="384" spans="1:12" ht="15">
      <c r="A384" s="84" t="s">
        <v>867</v>
      </c>
      <c r="B384" s="103" t="s">
        <v>931</v>
      </c>
      <c r="C384" s="82">
        <v>2</v>
      </c>
      <c r="D384" s="105">
        <v>0.01887572006533188</v>
      </c>
      <c r="E384" s="105">
        <v>1.6812412373755872</v>
      </c>
      <c r="F384" s="82" t="s">
        <v>808</v>
      </c>
      <c r="G384" s="82" t="b">
        <v>0</v>
      </c>
      <c r="H384" s="82" t="b">
        <v>0</v>
      </c>
      <c r="I384" s="82" t="b">
        <v>0</v>
      </c>
      <c r="J384" s="82" t="b">
        <v>0</v>
      </c>
      <c r="K384" s="82" t="b">
        <v>0</v>
      </c>
      <c r="L384" s="82" t="b">
        <v>0</v>
      </c>
    </row>
    <row r="385" spans="1:12" ht="15">
      <c r="A385" s="84" t="s">
        <v>931</v>
      </c>
      <c r="B385" s="103" t="s">
        <v>849</v>
      </c>
      <c r="C385" s="82">
        <v>2</v>
      </c>
      <c r="D385" s="105">
        <v>0.01887572006533188</v>
      </c>
      <c r="E385" s="105">
        <v>1.6812412373755872</v>
      </c>
      <c r="F385" s="82" t="s">
        <v>808</v>
      </c>
      <c r="G385" s="82" t="b">
        <v>0</v>
      </c>
      <c r="H385" s="82" t="b">
        <v>0</v>
      </c>
      <c r="I385" s="82" t="b">
        <v>0</v>
      </c>
      <c r="J385" s="82" t="b">
        <v>0</v>
      </c>
      <c r="K385" s="82" t="b">
        <v>0</v>
      </c>
      <c r="L385" s="82" t="b">
        <v>0</v>
      </c>
    </row>
    <row r="386" spans="1:12" ht="15">
      <c r="A386" s="84" t="s">
        <v>849</v>
      </c>
      <c r="B386" s="103" t="s">
        <v>1010</v>
      </c>
      <c r="C386" s="82">
        <v>2</v>
      </c>
      <c r="D386" s="105">
        <v>0.01887572006533188</v>
      </c>
      <c r="E386" s="105">
        <v>1.6812412373755872</v>
      </c>
      <c r="F386" s="82" t="s">
        <v>808</v>
      </c>
      <c r="G386" s="82" t="b">
        <v>0</v>
      </c>
      <c r="H386" s="82" t="b">
        <v>0</v>
      </c>
      <c r="I386" s="82" t="b">
        <v>0</v>
      </c>
      <c r="J386" s="82" t="b">
        <v>0</v>
      </c>
      <c r="K386" s="82" t="b">
        <v>0</v>
      </c>
      <c r="L386" s="82" t="b">
        <v>0</v>
      </c>
    </row>
    <row r="387" spans="1:12" ht="15">
      <c r="A387" s="84" t="s">
        <v>1010</v>
      </c>
      <c r="B387" s="103" t="s">
        <v>1011</v>
      </c>
      <c r="C387" s="82">
        <v>2</v>
      </c>
      <c r="D387" s="105">
        <v>0.01887572006533188</v>
      </c>
      <c r="E387" s="105">
        <v>1.6812412373755872</v>
      </c>
      <c r="F387" s="82" t="s">
        <v>808</v>
      </c>
      <c r="G387" s="82" t="b">
        <v>0</v>
      </c>
      <c r="H387" s="82" t="b">
        <v>0</v>
      </c>
      <c r="I387" s="82" t="b">
        <v>0</v>
      </c>
      <c r="J387" s="82" t="b">
        <v>0</v>
      </c>
      <c r="K387" s="82" t="b">
        <v>0</v>
      </c>
      <c r="L387" s="82" t="b">
        <v>0</v>
      </c>
    </row>
    <row r="388" spans="1:12" ht="15">
      <c r="A388" s="84" t="s">
        <v>1218</v>
      </c>
      <c r="B388" s="103" t="s">
        <v>959</v>
      </c>
      <c r="C388" s="82">
        <v>2</v>
      </c>
      <c r="D388" s="105">
        <v>0.01887572006533188</v>
      </c>
      <c r="E388" s="105">
        <v>1.6812412373755872</v>
      </c>
      <c r="F388" s="82" t="s">
        <v>808</v>
      </c>
      <c r="G388" s="82" t="b">
        <v>0</v>
      </c>
      <c r="H388" s="82" t="b">
        <v>0</v>
      </c>
      <c r="I388" s="82" t="b">
        <v>0</v>
      </c>
      <c r="J388" s="82" t="b">
        <v>0</v>
      </c>
      <c r="K388" s="82" t="b">
        <v>0</v>
      </c>
      <c r="L388" s="82" t="b">
        <v>0</v>
      </c>
    </row>
    <row r="389" spans="1:12" ht="15">
      <c r="A389" s="84" t="s">
        <v>959</v>
      </c>
      <c r="B389" s="103" t="s">
        <v>900</v>
      </c>
      <c r="C389" s="82">
        <v>2</v>
      </c>
      <c r="D389" s="105">
        <v>0.01887572006533188</v>
      </c>
      <c r="E389" s="105">
        <v>1.6812412373755872</v>
      </c>
      <c r="F389" s="82" t="s">
        <v>808</v>
      </c>
      <c r="G389" s="82" t="b">
        <v>0</v>
      </c>
      <c r="H389" s="82" t="b">
        <v>0</v>
      </c>
      <c r="I389" s="82" t="b">
        <v>0</v>
      </c>
      <c r="J389" s="82" t="b">
        <v>1</v>
      </c>
      <c r="K389" s="82" t="b">
        <v>0</v>
      </c>
      <c r="L389" s="82" t="b">
        <v>0</v>
      </c>
    </row>
    <row r="390" spans="1:12" ht="15">
      <c r="A390" s="84" t="s">
        <v>900</v>
      </c>
      <c r="B390" s="103" t="s">
        <v>901</v>
      </c>
      <c r="C390" s="82">
        <v>2</v>
      </c>
      <c r="D390" s="105">
        <v>0.01887572006533188</v>
      </c>
      <c r="E390" s="105">
        <v>1.6812412373755872</v>
      </c>
      <c r="F390" s="82" t="s">
        <v>808</v>
      </c>
      <c r="G390" s="82" t="b">
        <v>1</v>
      </c>
      <c r="H390" s="82" t="b">
        <v>0</v>
      </c>
      <c r="I390" s="82" t="b">
        <v>0</v>
      </c>
      <c r="J390" s="82" t="b">
        <v>0</v>
      </c>
      <c r="K390" s="82" t="b">
        <v>0</v>
      </c>
      <c r="L390" s="82" t="b">
        <v>0</v>
      </c>
    </row>
    <row r="391" spans="1:12" ht="15">
      <c r="A391" s="84" t="s">
        <v>901</v>
      </c>
      <c r="B391" s="103" t="s">
        <v>902</v>
      </c>
      <c r="C391" s="82">
        <v>2</v>
      </c>
      <c r="D391" s="105">
        <v>0.01887572006533188</v>
      </c>
      <c r="E391" s="105">
        <v>1.6812412373755872</v>
      </c>
      <c r="F391" s="82" t="s">
        <v>808</v>
      </c>
      <c r="G391" s="82" t="b">
        <v>0</v>
      </c>
      <c r="H391" s="82" t="b">
        <v>0</v>
      </c>
      <c r="I391" s="82" t="b">
        <v>0</v>
      </c>
      <c r="J391" s="82" t="b">
        <v>0</v>
      </c>
      <c r="K391" s="82" t="b">
        <v>0</v>
      </c>
      <c r="L391" s="82" t="b">
        <v>0</v>
      </c>
    </row>
    <row r="392" spans="1:12" ht="15">
      <c r="A392" s="84" t="s">
        <v>902</v>
      </c>
      <c r="B392" s="103" t="s">
        <v>903</v>
      </c>
      <c r="C392" s="82">
        <v>2</v>
      </c>
      <c r="D392" s="105">
        <v>0.01887572006533188</v>
      </c>
      <c r="E392" s="105">
        <v>1.6812412373755872</v>
      </c>
      <c r="F392" s="82" t="s">
        <v>808</v>
      </c>
      <c r="G392" s="82" t="b">
        <v>0</v>
      </c>
      <c r="H392" s="82" t="b">
        <v>0</v>
      </c>
      <c r="I392" s="82" t="b">
        <v>0</v>
      </c>
      <c r="J392" s="82" t="b">
        <v>0</v>
      </c>
      <c r="K392" s="82" t="b">
        <v>0</v>
      </c>
      <c r="L392" s="82" t="b">
        <v>0</v>
      </c>
    </row>
    <row r="393" spans="1:12" ht="15">
      <c r="A393" s="84" t="s">
        <v>1214</v>
      </c>
      <c r="B393" s="103" t="s">
        <v>1215</v>
      </c>
      <c r="C393" s="82">
        <v>2</v>
      </c>
      <c r="D393" s="105">
        <v>0.023542851781052518</v>
      </c>
      <c r="E393" s="105">
        <v>1.6812412373755872</v>
      </c>
      <c r="F393" s="82" t="s">
        <v>808</v>
      </c>
      <c r="G393" s="82" t="b">
        <v>0</v>
      </c>
      <c r="H393" s="82" t="b">
        <v>0</v>
      </c>
      <c r="I393" s="82" t="b">
        <v>0</v>
      </c>
      <c r="J393" s="82" t="b">
        <v>0</v>
      </c>
      <c r="K393" s="82" t="b">
        <v>0</v>
      </c>
      <c r="L393" s="82" t="b">
        <v>0</v>
      </c>
    </row>
    <row r="394" spans="1:12" ht="15">
      <c r="A394" s="84" t="s">
        <v>1215</v>
      </c>
      <c r="B394" s="103" t="s">
        <v>1216</v>
      </c>
      <c r="C394" s="82">
        <v>2</v>
      </c>
      <c r="D394" s="105">
        <v>0.023542851781052518</v>
      </c>
      <c r="E394" s="105">
        <v>1.6812412373755872</v>
      </c>
      <c r="F394" s="82" t="s">
        <v>808</v>
      </c>
      <c r="G394" s="82" t="b">
        <v>0</v>
      </c>
      <c r="H394" s="82" t="b">
        <v>0</v>
      </c>
      <c r="I394" s="82" t="b">
        <v>0</v>
      </c>
      <c r="J394" s="82" t="b">
        <v>0</v>
      </c>
      <c r="K394" s="82" t="b">
        <v>0</v>
      </c>
      <c r="L394" s="82" t="b">
        <v>0</v>
      </c>
    </row>
    <row r="395" spans="1:12" ht="15">
      <c r="A395" s="84" t="s">
        <v>1216</v>
      </c>
      <c r="B395" s="103" t="s">
        <v>1217</v>
      </c>
      <c r="C395" s="82">
        <v>2</v>
      </c>
      <c r="D395" s="105">
        <v>0.023542851781052518</v>
      </c>
      <c r="E395" s="105">
        <v>1.6812412373755872</v>
      </c>
      <c r="F395" s="82" t="s">
        <v>808</v>
      </c>
      <c r="G395" s="82" t="b">
        <v>0</v>
      </c>
      <c r="H395" s="82" t="b">
        <v>0</v>
      </c>
      <c r="I395" s="82" t="b">
        <v>0</v>
      </c>
      <c r="J395" s="82" t="b">
        <v>0</v>
      </c>
      <c r="K395" s="82" t="b">
        <v>0</v>
      </c>
      <c r="L395" s="82" t="b">
        <v>0</v>
      </c>
    </row>
    <row r="396" spans="1:12" ht="15">
      <c r="A396" s="84" t="s">
        <v>912</v>
      </c>
      <c r="B396" s="103" t="s">
        <v>913</v>
      </c>
      <c r="C396" s="82">
        <v>4</v>
      </c>
      <c r="D396" s="105">
        <v>0.01686937267786262</v>
      </c>
      <c r="E396" s="105">
        <v>1.6434526764861874</v>
      </c>
      <c r="F396" s="82" t="s">
        <v>809</v>
      </c>
      <c r="G396" s="82" t="b">
        <v>0</v>
      </c>
      <c r="H396" s="82" t="b">
        <v>0</v>
      </c>
      <c r="I396" s="82" t="b">
        <v>0</v>
      </c>
      <c r="J396" s="82" t="b">
        <v>0</v>
      </c>
      <c r="K396" s="82" t="b">
        <v>0</v>
      </c>
      <c r="L396" s="82" t="b">
        <v>0</v>
      </c>
    </row>
    <row r="397" spans="1:12" ht="15">
      <c r="A397" s="84" t="s">
        <v>913</v>
      </c>
      <c r="B397" s="103" t="s">
        <v>914</v>
      </c>
      <c r="C397" s="82">
        <v>4</v>
      </c>
      <c r="D397" s="105">
        <v>0.01686937267786262</v>
      </c>
      <c r="E397" s="105">
        <v>1.6434526764861874</v>
      </c>
      <c r="F397" s="82" t="s">
        <v>809</v>
      </c>
      <c r="G397" s="82" t="b">
        <v>0</v>
      </c>
      <c r="H397" s="82" t="b">
        <v>0</v>
      </c>
      <c r="I397" s="82" t="b">
        <v>0</v>
      </c>
      <c r="J397" s="82" t="b">
        <v>0</v>
      </c>
      <c r="K397" s="82" t="b">
        <v>0</v>
      </c>
      <c r="L397" s="82" t="b">
        <v>0</v>
      </c>
    </row>
    <row r="398" spans="1:12" ht="15">
      <c r="A398" s="84" t="s">
        <v>914</v>
      </c>
      <c r="B398" s="103" t="s">
        <v>915</v>
      </c>
      <c r="C398" s="82">
        <v>4</v>
      </c>
      <c r="D398" s="105">
        <v>0.01686937267786262</v>
      </c>
      <c r="E398" s="105">
        <v>1.6434526764861874</v>
      </c>
      <c r="F398" s="82" t="s">
        <v>809</v>
      </c>
      <c r="G398" s="82" t="b">
        <v>0</v>
      </c>
      <c r="H398" s="82" t="b">
        <v>0</v>
      </c>
      <c r="I398" s="82" t="b">
        <v>0</v>
      </c>
      <c r="J398" s="82" t="b">
        <v>0</v>
      </c>
      <c r="K398" s="82" t="b">
        <v>0</v>
      </c>
      <c r="L398" s="82" t="b">
        <v>0</v>
      </c>
    </row>
    <row r="399" spans="1:12" ht="15">
      <c r="A399" s="84" t="s">
        <v>915</v>
      </c>
      <c r="B399" s="103" t="s">
        <v>860</v>
      </c>
      <c r="C399" s="82">
        <v>4</v>
      </c>
      <c r="D399" s="105">
        <v>0.01686937267786262</v>
      </c>
      <c r="E399" s="105">
        <v>1.3424226808222062</v>
      </c>
      <c r="F399" s="82" t="s">
        <v>809</v>
      </c>
      <c r="G399" s="82" t="b">
        <v>0</v>
      </c>
      <c r="H399" s="82" t="b">
        <v>0</v>
      </c>
      <c r="I399" s="82" t="b">
        <v>0</v>
      </c>
      <c r="J399" s="82" t="b">
        <v>0</v>
      </c>
      <c r="K399" s="82" t="b">
        <v>0</v>
      </c>
      <c r="L399" s="82" t="b">
        <v>0</v>
      </c>
    </row>
    <row r="400" spans="1:12" ht="15">
      <c r="A400" s="84" t="s">
        <v>860</v>
      </c>
      <c r="B400" s="103" t="s">
        <v>916</v>
      </c>
      <c r="C400" s="82">
        <v>4</v>
      </c>
      <c r="D400" s="105">
        <v>0.01686937267786262</v>
      </c>
      <c r="E400" s="105">
        <v>1.3424226808222062</v>
      </c>
      <c r="F400" s="82" t="s">
        <v>809</v>
      </c>
      <c r="G400" s="82" t="b">
        <v>0</v>
      </c>
      <c r="H400" s="82" t="b">
        <v>0</v>
      </c>
      <c r="I400" s="82" t="b">
        <v>0</v>
      </c>
      <c r="J400" s="82" t="b">
        <v>0</v>
      </c>
      <c r="K400" s="82" t="b">
        <v>0</v>
      </c>
      <c r="L400" s="82" t="b">
        <v>0</v>
      </c>
    </row>
    <row r="401" spans="1:12" ht="15">
      <c r="A401" s="84" t="s">
        <v>916</v>
      </c>
      <c r="B401" s="103" t="s">
        <v>917</v>
      </c>
      <c r="C401" s="82">
        <v>4</v>
      </c>
      <c r="D401" s="105">
        <v>0.01686937267786262</v>
      </c>
      <c r="E401" s="105">
        <v>1.6434526764861874</v>
      </c>
      <c r="F401" s="82" t="s">
        <v>809</v>
      </c>
      <c r="G401" s="82" t="b">
        <v>0</v>
      </c>
      <c r="H401" s="82" t="b">
        <v>0</v>
      </c>
      <c r="I401" s="82" t="b">
        <v>0</v>
      </c>
      <c r="J401" s="82" t="b">
        <v>0</v>
      </c>
      <c r="K401" s="82" t="b">
        <v>0</v>
      </c>
      <c r="L401" s="82" t="b">
        <v>0</v>
      </c>
    </row>
    <row r="402" spans="1:12" ht="15">
      <c r="A402" s="84" t="s">
        <v>917</v>
      </c>
      <c r="B402" s="103" t="s">
        <v>848</v>
      </c>
      <c r="C402" s="82">
        <v>4</v>
      </c>
      <c r="D402" s="105">
        <v>0.01686937267786262</v>
      </c>
      <c r="E402" s="105">
        <v>1.400414627799893</v>
      </c>
      <c r="F402" s="82" t="s">
        <v>809</v>
      </c>
      <c r="G402" s="82" t="b">
        <v>0</v>
      </c>
      <c r="H402" s="82" t="b">
        <v>0</v>
      </c>
      <c r="I402" s="82" t="b">
        <v>0</v>
      </c>
      <c r="J402" s="82" t="b">
        <v>0</v>
      </c>
      <c r="K402" s="82" t="b">
        <v>0</v>
      </c>
      <c r="L402" s="82" t="b">
        <v>0</v>
      </c>
    </row>
    <row r="403" spans="1:12" ht="15">
      <c r="A403" s="84" t="s">
        <v>848</v>
      </c>
      <c r="B403" s="103" t="s">
        <v>881</v>
      </c>
      <c r="C403" s="82">
        <v>4</v>
      </c>
      <c r="D403" s="105">
        <v>0.01686937267786262</v>
      </c>
      <c r="E403" s="105">
        <v>1.3035046147918365</v>
      </c>
      <c r="F403" s="82" t="s">
        <v>809</v>
      </c>
      <c r="G403" s="82" t="b">
        <v>0</v>
      </c>
      <c r="H403" s="82" t="b">
        <v>0</v>
      </c>
      <c r="I403" s="82" t="b">
        <v>0</v>
      </c>
      <c r="J403" s="82" t="b">
        <v>0</v>
      </c>
      <c r="K403" s="82" t="b">
        <v>0</v>
      </c>
      <c r="L403" s="82" t="b">
        <v>0</v>
      </c>
    </row>
    <row r="404" spans="1:12" ht="15">
      <c r="A404" s="84" t="s">
        <v>855</v>
      </c>
      <c r="B404" s="103" t="s">
        <v>858</v>
      </c>
      <c r="C404" s="82">
        <v>3</v>
      </c>
      <c r="D404" s="105">
        <v>0.014489363870283729</v>
      </c>
      <c r="E404" s="105">
        <v>1.6434526764861874</v>
      </c>
      <c r="F404" s="82" t="s">
        <v>809</v>
      </c>
      <c r="G404" s="82" t="b">
        <v>0</v>
      </c>
      <c r="H404" s="82" t="b">
        <v>0</v>
      </c>
      <c r="I404" s="82" t="b">
        <v>0</v>
      </c>
      <c r="J404" s="82" t="b">
        <v>0</v>
      </c>
      <c r="K404" s="82" t="b">
        <v>0</v>
      </c>
      <c r="L404" s="82" t="b">
        <v>0</v>
      </c>
    </row>
    <row r="405" spans="1:12" ht="15">
      <c r="A405" s="84" t="s">
        <v>858</v>
      </c>
      <c r="B405" s="103" t="s">
        <v>910</v>
      </c>
      <c r="C405" s="82">
        <v>3</v>
      </c>
      <c r="D405" s="105">
        <v>0.014489363870283729</v>
      </c>
      <c r="E405" s="105">
        <v>1.6434526764861874</v>
      </c>
      <c r="F405" s="82" t="s">
        <v>809</v>
      </c>
      <c r="G405" s="82" t="b">
        <v>0</v>
      </c>
      <c r="H405" s="82" t="b">
        <v>0</v>
      </c>
      <c r="I405" s="82" t="b">
        <v>0</v>
      </c>
      <c r="J405" s="82" t="b">
        <v>0</v>
      </c>
      <c r="K405" s="82" t="b">
        <v>0</v>
      </c>
      <c r="L405" s="82" t="b">
        <v>0</v>
      </c>
    </row>
    <row r="406" spans="1:12" ht="15">
      <c r="A406" s="84" t="s">
        <v>910</v>
      </c>
      <c r="B406" s="103" t="s">
        <v>911</v>
      </c>
      <c r="C406" s="82">
        <v>3</v>
      </c>
      <c r="D406" s="105">
        <v>0.014489363870283729</v>
      </c>
      <c r="E406" s="105">
        <v>1.7683914130944873</v>
      </c>
      <c r="F406" s="82" t="s">
        <v>809</v>
      </c>
      <c r="G406" s="82" t="b">
        <v>0</v>
      </c>
      <c r="H406" s="82" t="b">
        <v>0</v>
      </c>
      <c r="I406" s="82" t="b">
        <v>0</v>
      </c>
      <c r="J406" s="82" t="b">
        <v>0</v>
      </c>
      <c r="K406" s="82" t="b">
        <v>0</v>
      </c>
      <c r="L406" s="82" t="b">
        <v>0</v>
      </c>
    </row>
    <row r="407" spans="1:12" ht="15">
      <c r="A407" s="84" t="s">
        <v>911</v>
      </c>
      <c r="B407" s="103" t="s">
        <v>880</v>
      </c>
      <c r="C407" s="82">
        <v>3</v>
      </c>
      <c r="D407" s="105">
        <v>0.014489363870283729</v>
      </c>
      <c r="E407" s="105">
        <v>1.7683914130944873</v>
      </c>
      <c r="F407" s="82" t="s">
        <v>809</v>
      </c>
      <c r="G407" s="82" t="b">
        <v>0</v>
      </c>
      <c r="H407" s="82" t="b">
        <v>0</v>
      </c>
      <c r="I407" s="82" t="b">
        <v>0</v>
      </c>
      <c r="J407" s="82" t="b">
        <v>0</v>
      </c>
      <c r="K407" s="82" t="b">
        <v>0</v>
      </c>
      <c r="L407" s="82" t="b">
        <v>0</v>
      </c>
    </row>
    <row r="408" spans="1:12" ht="15">
      <c r="A408" s="84" t="s">
        <v>859</v>
      </c>
      <c r="B408" s="103" t="s">
        <v>895</v>
      </c>
      <c r="C408" s="82">
        <v>3</v>
      </c>
      <c r="D408" s="105">
        <v>0.014489363870283729</v>
      </c>
      <c r="E408" s="105">
        <v>1.7683914130944873</v>
      </c>
      <c r="F408" s="82" t="s">
        <v>809</v>
      </c>
      <c r="G408" s="82" t="b">
        <v>0</v>
      </c>
      <c r="H408" s="82" t="b">
        <v>0</v>
      </c>
      <c r="I408" s="82" t="b">
        <v>0</v>
      </c>
      <c r="J408" s="82" t="b">
        <v>0</v>
      </c>
      <c r="K408" s="82" t="b">
        <v>0</v>
      </c>
      <c r="L408" s="82" t="b">
        <v>0</v>
      </c>
    </row>
    <row r="409" spans="1:12" ht="15">
      <c r="A409" s="84" t="s">
        <v>895</v>
      </c>
      <c r="B409" s="103" t="s">
        <v>960</v>
      </c>
      <c r="C409" s="82">
        <v>3</v>
      </c>
      <c r="D409" s="105">
        <v>0.014489363870283729</v>
      </c>
      <c r="E409" s="105">
        <v>1.7683914130944873</v>
      </c>
      <c r="F409" s="82" t="s">
        <v>809</v>
      </c>
      <c r="G409" s="82" t="b">
        <v>0</v>
      </c>
      <c r="H409" s="82" t="b">
        <v>0</v>
      </c>
      <c r="I409" s="82" t="b">
        <v>0</v>
      </c>
      <c r="J409" s="82" t="b">
        <v>0</v>
      </c>
      <c r="K409" s="82" t="b">
        <v>0</v>
      </c>
      <c r="L409" s="82" t="b">
        <v>0</v>
      </c>
    </row>
    <row r="410" spans="1:12" ht="15">
      <c r="A410" s="84" t="s">
        <v>960</v>
      </c>
      <c r="B410" s="103" t="s">
        <v>879</v>
      </c>
      <c r="C410" s="82">
        <v>3</v>
      </c>
      <c r="D410" s="105">
        <v>0.014489363870283729</v>
      </c>
      <c r="E410" s="105">
        <v>1.7683914130944873</v>
      </c>
      <c r="F410" s="82" t="s">
        <v>809</v>
      </c>
      <c r="G410" s="82" t="b">
        <v>0</v>
      </c>
      <c r="H410" s="82" t="b">
        <v>0</v>
      </c>
      <c r="I410" s="82" t="b">
        <v>0</v>
      </c>
      <c r="J410" s="82" t="b">
        <v>0</v>
      </c>
      <c r="K410" s="82" t="b">
        <v>0</v>
      </c>
      <c r="L410" s="82" t="b">
        <v>0</v>
      </c>
    </row>
    <row r="411" spans="1:12" ht="15">
      <c r="A411" s="84" t="s">
        <v>962</v>
      </c>
      <c r="B411" s="103" t="s">
        <v>963</v>
      </c>
      <c r="C411" s="82">
        <v>3</v>
      </c>
      <c r="D411" s="105">
        <v>0.014489363870283729</v>
      </c>
      <c r="E411" s="105">
        <v>1.7683914130944873</v>
      </c>
      <c r="F411" s="82" t="s">
        <v>809</v>
      </c>
      <c r="G411" s="82" t="b">
        <v>0</v>
      </c>
      <c r="H411" s="82" t="b">
        <v>0</v>
      </c>
      <c r="I411" s="82" t="b">
        <v>0</v>
      </c>
      <c r="J411" s="82" t="b">
        <v>0</v>
      </c>
      <c r="K411" s="82" t="b">
        <v>0</v>
      </c>
      <c r="L411" s="82" t="b">
        <v>0</v>
      </c>
    </row>
    <row r="412" spans="1:12" ht="15">
      <c r="A412" s="84" t="s">
        <v>848</v>
      </c>
      <c r="B412" s="103" t="s">
        <v>964</v>
      </c>
      <c r="C412" s="82">
        <v>3</v>
      </c>
      <c r="D412" s="105">
        <v>0.014489363870283729</v>
      </c>
      <c r="E412" s="105">
        <v>1.400414627799893</v>
      </c>
      <c r="F412" s="82" t="s">
        <v>809</v>
      </c>
      <c r="G412" s="82" t="b">
        <v>0</v>
      </c>
      <c r="H412" s="82" t="b">
        <v>0</v>
      </c>
      <c r="I412" s="82" t="b">
        <v>0</v>
      </c>
      <c r="J412" s="82" t="b">
        <v>0</v>
      </c>
      <c r="K412" s="82" t="b">
        <v>0</v>
      </c>
      <c r="L412" s="82" t="b">
        <v>0</v>
      </c>
    </row>
    <row r="413" spans="1:12" ht="15">
      <c r="A413" s="84" t="s">
        <v>964</v>
      </c>
      <c r="B413" s="103" t="s">
        <v>965</v>
      </c>
      <c r="C413" s="82">
        <v>3</v>
      </c>
      <c r="D413" s="105">
        <v>0.014489363870283729</v>
      </c>
      <c r="E413" s="105">
        <v>1.7683914130944873</v>
      </c>
      <c r="F413" s="82" t="s">
        <v>809</v>
      </c>
      <c r="G413" s="82" t="b">
        <v>0</v>
      </c>
      <c r="H413" s="82" t="b">
        <v>0</v>
      </c>
      <c r="I413" s="82" t="b">
        <v>0</v>
      </c>
      <c r="J413" s="82" t="b">
        <v>0</v>
      </c>
      <c r="K413" s="82" t="b">
        <v>0</v>
      </c>
      <c r="L413" s="82" t="b">
        <v>0</v>
      </c>
    </row>
    <row r="414" spans="1:12" ht="15">
      <c r="A414" s="84" t="s">
        <v>965</v>
      </c>
      <c r="B414" s="103" t="s">
        <v>966</v>
      </c>
      <c r="C414" s="82">
        <v>3</v>
      </c>
      <c r="D414" s="105">
        <v>0.014489363870283729</v>
      </c>
      <c r="E414" s="105">
        <v>1.7683914130944873</v>
      </c>
      <c r="F414" s="82" t="s">
        <v>809</v>
      </c>
      <c r="G414" s="82" t="b">
        <v>0</v>
      </c>
      <c r="H414" s="82" t="b">
        <v>0</v>
      </c>
      <c r="I414" s="82" t="b">
        <v>0</v>
      </c>
      <c r="J414" s="82" t="b">
        <v>0</v>
      </c>
      <c r="K414" s="82" t="b">
        <v>0</v>
      </c>
      <c r="L414" s="82" t="b">
        <v>0</v>
      </c>
    </row>
    <row r="415" spans="1:12" ht="15">
      <c r="A415" s="84" t="s">
        <v>966</v>
      </c>
      <c r="B415" s="103" t="s">
        <v>967</v>
      </c>
      <c r="C415" s="82">
        <v>3</v>
      </c>
      <c r="D415" s="105">
        <v>0.014489363870283729</v>
      </c>
      <c r="E415" s="105">
        <v>1.7683914130944873</v>
      </c>
      <c r="F415" s="82" t="s">
        <v>809</v>
      </c>
      <c r="G415" s="82" t="b">
        <v>0</v>
      </c>
      <c r="H415" s="82" t="b">
        <v>0</v>
      </c>
      <c r="I415" s="82" t="b">
        <v>0</v>
      </c>
      <c r="J415" s="82" t="b">
        <v>0</v>
      </c>
      <c r="K415" s="82" t="b">
        <v>0</v>
      </c>
      <c r="L415" s="82" t="b">
        <v>0</v>
      </c>
    </row>
    <row r="416" spans="1:12" ht="15">
      <c r="A416" s="84" t="s">
        <v>967</v>
      </c>
      <c r="B416" s="103" t="s">
        <v>968</v>
      </c>
      <c r="C416" s="82">
        <v>3</v>
      </c>
      <c r="D416" s="105">
        <v>0.014489363870283729</v>
      </c>
      <c r="E416" s="105">
        <v>1.7683914130944873</v>
      </c>
      <c r="F416" s="82" t="s">
        <v>809</v>
      </c>
      <c r="G416" s="82" t="b">
        <v>0</v>
      </c>
      <c r="H416" s="82" t="b">
        <v>0</v>
      </c>
      <c r="I416" s="82" t="b">
        <v>0</v>
      </c>
      <c r="J416" s="82" t="b">
        <v>0</v>
      </c>
      <c r="K416" s="82" t="b">
        <v>0</v>
      </c>
      <c r="L416" s="82" t="b">
        <v>0</v>
      </c>
    </row>
    <row r="417" spans="1:12" ht="15">
      <c r="A417" s="84" t="s">
        <v>1029</v>
      </c>
      <c r="B417" s="103" t="s">
        <v>1030</v>
      </c>
      <c r="C417" s="82">
        <v>2</v>
      </c>
      <c r="D417" s="105">
        <v>0.011385960806225243</v>
      </c>
      <c r="E417" s="105">
        <v>1.9444826721501687</v>
      </c>
      <c r="F417" s="82" t="s">
        <v>809</v>
      </c>
      <c r="G417" s="82" t="b">
        <v>0</v>
      </c>
      <c r="H417" s="82" t="b">
        <v>0</v>
      </c>
      <c r="I417" s="82" t="b">
        <v>0</v>
      </c>
      <c r="J417" s="82" t="b">
        <v>0</v>
      </c>
      <c r="K417" s="82" t="b">
        <v>0</v>
      </c>
      <c r="L417" s="82" t="b">
        <v>0</v>
      </c>
    </row>
    <row r="418" spans="1:12" ht="15">
      <c r="A418" s="84" t="s">
        <v>1030</v>
      </c>
      <c r="B418" s="103" t="s">
        <v>1031</v>
      </c>
      <c r="C418" s="82">
        <v>2</v>
      </c>
      <c r="D418" s="105">
        <v>0.011385960806225243</v>
      </c>
      <c r="E418" s="105">
        <v>1.9444826721501687</v>
      </c>
      <c r="F418" s="82" t="s">
        <v>809</v>
      </c>
      <c r="G418" s="82" t="b">
        <v>0</v>
      </c>
      <c r="H418" s="82" t="b">
        <v>0</v>
      </c>
      <c r="I418" s="82" t="b">
        <v>0</v>
      </c>
      <c r="J418" s="82" t="b">
        <v>0</v>
      </c>
      <c r="K418" s="82" t="b">
        <v>0</v>
      </c>
      <c r="L418" s="82" t="b">
        <v>0</v>
      </c>
    </row>
    <row r="419" spans="1:12" ht="15">
      <c r="A419" s="84" t="s">
        <v>1031</v>
      </c>
      <c r="B419" s="103" t="s">
        <v>1032</v>
      </c>
      <c r="C419" s="82">
        <v>2</v>
      </c>
      <c r="D419" s="105">
        <v>0.011385960806225243</v>
      </c>
      <c r="E419" s="105">
        <v>1.9444826721501687</v>
      </c>
      <c r="F419" s="82" t="s">
        <v>809</v>
      </c>
      <c r="G419" s="82" t="b">
        <v>0</v>
      </c>
      <c r="H419" s="82" t="b">
        <v>0</v>
      </c>
      <c r="I419" s="82" t="b">
        <v>0</v>
      </c>
      <c r="J419" s="82" t="b">
        <v>0</v>
      </c>
      <c r="K419" s="82" t="b">
        <v>0</v>
      </c>
      <c r="L419" s="82" t="b">
        <v>0</v>
      </c>
    </row>
    <row r="420" spans="1:12" ht="15">
      <c r="A420" s="84" t="s">
        <v>1032</v>
      </c>
      <c r="B420" s="103" t="s">
        <v>860</v>
      </c>
      <c r="C420" s="82">
        <v>2</v>
      </c>
      <c r="D420" s="105">
        <v>0.011385960806225243</v>
      </c>
      <c r="E420" s="105">
        <v>1.3424226808222062</v>
      </c>
      <c r="F420" s="82" t="s">
        <v>809</v>
      </c>
      <c r="G420" s="82" t="b">
        <v>0</v>
      </c>
      <c r="H420" s="82" t="b">
        <v>0</v>
      </c>
      <c r="I420" s="82" t="b">
        <v>0</v>
      </c>
      <c r="J420" s="82" t="b">
        <v>0</v>
      </c>
      <c r="K420" s="82" t="b">
        <v>0</v>
      </c>
      <c r="L420" s="82" t="b">
        <v>0</v>
      </c>
    </row>
    <row r="421" spans="1:12" ht="15">
      <c r="A421" s="84" t="s">
        <v>860</v>
      </c>
      <c r="B421" s="103" t="s">
        <v>1033</v>
      </c>
      <c r="C421" s="82">
        <v>2</v>
      </c>
      <c r="D421" s="105">
        <v>0.011385960806225243</v>
      </c>
      <c r="E421" s="105">
        <v>1.3424226808222062</v>
      </c>
      <c r="F421" s="82" t="s">
        <v>809</v>
      </c>
      <c r="G421" s="82" t="b">
        <v>0</v>
      </c>
      <c r="H421" s="82" t="b">
        <v>0</v>
      </c>
      <c r="I421" s="82" t="b">
        <v>0</v>
      </c>
      <c r="J421" s="82" t="b">
        <v>0</v>
      </c>
      <c r="K421" s="82" t="b">
        <v>1</v>
      </c>
      <c r="L421" s="82" t="b">
        <v>0</v>
      </c>
    </row>
    <row r="422" spans="1:12" ht="15">
      <c r="A422" s="84" t="s">
        <v>1033</v>
      </c>
      <c r="B422" s="103" t="s">
        <v>1034</v>
      </c>
      <c r="C422" s="82">
        <v>2</v>
      </c>
      <c r="D422" s="105">
        <v>0.011385960806225243</v>
      </c>
      <c r="E422" s="105">
        <v>1.9444826721501687</v>
      </c>
      <c r="F422" s="82" t="s">
        <v>809</v>
      </c>
      <c r="G422" s="82" t="b">
        <v>0</v>
      </c>
      <c r="H422" s="82" t="b">
        <v>1</v>
      </c>
      <c r="I422" s="82" t="b">
        <v>0</v>
      </c>
      <c r="J422" s="82" t="b">
        <v>0</v>
      </c>
      <c r="K422" s="82" t="b">
        <v>0</v>
      </c>
      <c r="L422" s="82" t="b">
        <v>0</v>
      </c>
    </row>
    <row r="423" spans="1:12" ht="15">
      <c r="A423" s="84" t="s">
        <v>1034</v>
      </c>
      <c r="B423" s="103" t="s">
        <v>1035</v>
      </c>
      <c r="C423" s="82">
        <v>2</v>
      </c>
      <c r="D423" s="105">
        <v>0.011385960806225243</v>
      </c>
      <c r="E423" s="105">
        <v>1.9444826721501687</v>
      </c>
      <c r="F423" s="82" t="s">
        <v>809</v>
      </c>
      <c r="G423" s="82" t="b">
        <v>0</v>
      </c>
      <c r="H423" s="82" t="b">
        <v>0</v>
      </c>
      <c r="I423" s="82" t="b">
        <v>0</v>
      </c>
      <c r="J423" s="82" t="b">
        <v>0</v>
      </c>
      <c r="K423" s="82" t="b">
        <v>0</v>
      </c>
      <c r="L423" s="82" t="b">
        <v>0</v>
      </c>
    </row>
    <row r="424" spans="1:12" ht="15">
      <c r="A424" s="84" t="s">
        <v>1035</v>
      </c>
      <c r="B424" s="103" t="s">
        <v>1036</v>
      </c>
      <c r="C424" s="82">
        <v>2</v>
      </c>
      <c r="D424" s="105">
        <v>0.011385960806225243</v>
      </c>
      <c r="E424" s="105">
        <v>1.9444826721501687</v>
      </c>
      <c r="F424" s="82" t="s">
        <v>809</v>
      </c>
      <c r="G424" s="82" t="b">
        <v>0</v>
      </c>
      <c r="H424" s="82" t="b">
        <v>0</v>
      </c>
      <c r="I424" s="82" t="b">
        <v>0</v>
      </c>
      <c r="J424" s="82" t="b">
        <v>0</v>
      </c>
      <c r="K424" s="82" t="b">
        <v>0</v>
      </c>
      <c r="L424" s="82" t="b">
        <v>0</v>
      </c>
    </row>
    <row r="425" spans="1:12" ht="15">
      <c r="A425" s="84" t="s">
        <v>1040</v>
      </c>
      <c r="B425" s="103" t="s">
        <v>1041</v>
      </c>
      <c r="C425" s="82">
        <v>2</v>
      </c>
      <c r="D425" s="105">
        <v>0.011385960806225243</v>
      </c>
      <c r="E425" s="105">
        <v>1.9444826721501687</v>
      </c>
      <c r="F425" s="82" t="s">
        <v>809</v>
      </c>
      <c r="G425" s="82" t="b">
        <v>0</v>
      </c>
      <c r="H425" s="82" t="b">
        <v>0</v>
      </c>
      <c r="I425" s="82" t="b">
        <v>0</v>
      </c>
      <c r="J425" s="82" t="b">
        <v>0</v>
      </c>
      <c r="K425" s="82" t="b">
        <v>0</v>
      </c>
      <c r="L425" s="82" t="b">
        <v>0</v>
      </c>
    </row>
    <row r="426" spans="1:12" ht="15">
      <c r="A426" s="84" t="s">
        <v>1041</v>
      </c>
      <c r="B426" s="103" t="s">
        <v>860</v>
      </c>
      <c r="C426" s="82">
        <v>2</v>
      </c>
      <c r="D426" s="105">
        <v>0.011385960806225243</v>
      </c>
      <c r="E426" s="105">
        <v>1.3424226808222062</v>
      </c>
      <c r="F426" s="82" t="s">
        <v>809</v>
      </c>
      <c r="G426" s="82" t="b">
        <v>0</v>
      </c>
      <c r="H426" s="82" t="b">
        <v>0</v>
      </c>
      <c r="I426" s="82" t="b">
        <v>0</v>
      </c>
      <c r="J426" s="82" t="b">
        <v>0</v>
      </c>
      <c r="K426" s="82" t="b">
        <v>0</v>
      </c>
      <c r="L426" s="82" t="b">
        <v>0</v>
      </c>
    </row>
    <row r="427" spans="1:12" ht="15">
      <c r="A427" s="84" t="s">
        <v>860</v>
      </c>
      <c r="B427" s="103" t="s">
        <v>845</v>
      </c>
      <c r="C427" s="82">
        <v>2</v>
      </c>
      <c r="D427" s="105">
        <v>0.011385960806225243</v>
      </c>
      <c r="E427" s="105">
        <v>1.166331421766525</v>
      </c>
      <c r="F427" s="82" t="s">
        <v>809</v>
      </c>
      <c r="G427" s="82" t="b">
        <v>0</v>
      </c>
      <c r="H427" s="82" t="b">
        <v>0</v>
      </c>
      <c r="I427" s="82" t="b">
        <v>0</v>
      </c>
      <c r="J427" s="82" t="b">
        <v>0</v>
      </c>
      <c r="K427" s="82" t="b">
        <v>0</v>
      </c>
      <c r="L427" s="82" t="b">
        <v>0</v>
      </c>
    </row>
    <row r="428" spans="1:12" ht="15">
      <c r="A428" s="84" t="s">
        <v>845</v>
      </c>
      <c r="B428" s="103" t="s">
        <v>857</v>
      </c>
      <c r="C428" s="82">
        <v>2</v>
      </c>
      <c r="D428" s="105">
        <v>0.011385960806225243</v>
      </c>
      <c r="E428" s="105">
        <v>1.7683914130944873</v>
      </c>
      <c r="F428" s="82" t="s">
        <v>809</v>
      </c>
      <c r="G428" s="82" t="b">
        <v>0</v>
      </c>
      <c r="H428" s="82" t="b">
        <v>0</v>
      </c>
      <c r="I428" s="82" t="b">
        <v>0</v>
      </c>
      <c r="J428" s="82" t="b">
        <v>0</v>
      </c>
      <c r="K428" s="82" t="b">
        <v>0</v>
      </c>
      <c r="L428" s="82" t="b">
        <v>0</v>
      </c>
    </row>
    <row r="429" spans="1:12" ht="15">
      <c r="A429" s="84" t="s">
        <v>857</v>
      </c>
      <c r="B429" s="103" t="s">
        <v>1042</v>
      </c>
      <c r="C429" s="82">
        <v>2</v>
      </c>
      <c r="D429" s="105">
        <v>0.011385960806225243</v>
      </c>
      <c r="E429" s="105">
        <v>1.9444826721501687</v>
      </c>
      <c r="F429" s="82" t="s">
        <v>809</v>
      </c>
      <c r="G429" s="82" t="b">
        <v>0</v>
      </c>
      <c r="H429" s="82" t="b">
        <v>0</v>
      </c>
      <c r="I429" s="82" t="b">
        <v>0</v>
      </c>
      <c r="J429" s="82" t="b">
        <v>0</v>
      </c>
      <c r="K429" s="82" t="b">
        <v>0</v>
      </c>
      <c r="L429" s="82" t="b">
        <v>0</v>
      </c>
    </row>
    <row r="430" spans="1:12" ht="15">
      <c r="A430" s="84" t="s">
        <v>1042</v>
      </c>
      <c r="B430" s="103" t="s">
        <v>866</v>
      </c>
      <c r="C430" s="82">
        <v>2</v>
      </c>
      <c r="D430" s="105">
        <v>0.011385960806225243</v>
      </c>
      <c r="E430" s="105">
        <v>1.9444826721501687</v>
      </c>
      <c r="F430" s="82" t="s">
        <v>809</v>
      </c>
      <c r="G430" s="82" t="b">
        <v>0</v>
      </c>
      <c r="H430" s="82" t="b">
        <v>0</v>
      </c>
      <c r="I430" s="82" t="b">
        <v>0</v>
      </c>
      <c r="J430" s="82" t="b">
        <v>0</v>
      </c>
      <c r="K430" s="82" t="b">
        <v>0</v>
      </c>
      <c r="L430" s="82" t="b">
        <v>0</v>
      </c>
    </row>
    <row r="431" spans="1:12" ht="15">
      <c r="A431" s="84" t="s">
        <v>866</v>
      </c>
      <c r="B431" s="103" t="s">
        <v>1043</v>
      </c>
      <c r="C431" s="82">
        <v>2</v>
      </c>
      <c r="D431" s="105">
        <v>0.011385960806225243</v>
      </c>
      <c r="E431" s="105">
        <v>1.9444826721501687</v>
      </c>
      <c r="F431" s="82" t="s">
        <v>809</v>
      </c>
      <c r="G431" s="82" t="b">
        <v>0</v>
      </c>
      <c r="H431" s="82" t="b">
        <v>0</v>
      </c>
      <c r="I431" s="82" t="b">
        <v>0</v>
      </c>
      <c r="J431" s="82" t="b">
        <v>0</v>
      </c>
      <c r="K431" s="82" t="b">
        <v>0</v>
      </c>
      <c r="L431" s="82" t="b">
        <v>0</v>
      </c>
    </row>
    <row r="432" spans="1:12" ht="15">
      <c r="A432" s="84" t="s">
        <v>1045</v>
      </c>
      <c r="B432" s="103" t="s">
        <v>908</v>
      </c>
      <c r="C432" s="82">
        <v>2</v>
      </c>
      <c r="D432" s="105">
        <v>0.014337235273519176</v>
      </c>
      <c r="E432" s="105">
        <v>1.9444826721501687</v>
      </c>
      <c r="F432" s="82" t="s">
        <v>809</v>
      </c>
      <c r="G432" s="82" t="b">
        <v>0</v>
      </c>
      <c r="H432" s="82" t="b">
        <v>0</v>
      </c>
      <c r="I432" s="82" t="b">
        <v>0</v>
      </c>
      <c r="J432" s="82" t="b">
        <v>0</v>
      </c>
      <c r="K432" s="82" t="b">
        <v>0</v>
      </c>
      <c r="L432" s="82" t="b">
        <v>0</v>
      </c>
    </row>
    <row r="433" spans="1:12" ht="15">
      <c r="A433" s="84" t="s">
        <v>1047</v>
      </c>
      <c r="B433" s="103" t="s">
        <v>1048</v>
      </c>
      <c r="C433" s="82">
        <v>2</v>
      </c>
      <c r="D433" s="105">
        <v>0.014337235273519176</v>
      </c>
      <c r="E433" s="105">
        <v>1.9444826721501687</v>
      </c>
      <c r="F433" s="82" t="s">
        <v>809</v>
      </c>
      <c r="G433" s="82" t="b">
        <v>0</v>
      </c>
      <c r="H433" s="82" t="b">
        <v>0</v>
      </c>
      <c r="I433" s="82" t="b">
        <v>0</v>
      </c>
      <c r="J433" s="82" t="b">
        <v>0</v>
      </c>
      <c r="K433" s="82" t="b">
        <v>0</v>
      </c>
      <c r="L433" s="82" t="b">
        <v>0</v>
      </c>
    </row>
    <row r="434" spans="1:12" ht="15">
      <c r="A434" s="84" t="s">
        <v>1049</v>
      </c>
      <c r="B434" s="103" t="s">
        <v>861</v>
      </c>
      <c r="C434" s="82">
        <v>2</v>
      </c>
      <c r="D434" s="105">
        <v>0.011385960806225243</v>
      </c>
      <c r="E434" s="105">
        <v>1.6434526764861874</v>
      </c>
      <c r="F434" s="82" t="s">
        <v>809</v>
      </c>
      <c r="G434" s="82" t="b">
        <v>0</v>
      </c>
      <c r="H434" s="82" t="b">
        <v>0</v>
      </c>
      <c r="I434" s="82" t="b">
        <v>0</v>
      </c>
      <c r="J434" s="82" t="b">
        <v>0</v>
      </c>
      <c r="K434" s="82" t="b">
        <v>0</v>
      </c>
      <c r="L434" s="82" t="b">
        <v>0</v>
      </c>
    </row>
    <row r="435" spans="1:12" ht="15">
      <c r="A435" s="84" t="s">
        <v>861</v>
      </c>
      <c r="B435" s="103" t="s">
        <v>1050</v>
      </c>
      <c r="C435" s="82">
        <v>2</v>
      </c>
      <c r="D435" s="105">
        <v>0.011385960806225243</v>
      </c>
      <c r="E435" s="105">
        <v>1.6434526764861874</v>
      </c>
      <c r="F435" s="82" t="s">
        <v>809</v>
      </c>
      <c r="G435" s="82" t="b">
        <v>0</v>
      </c>
      <c r="H435" s="82" t="b">
        <v>0</v>
      </c>
      <c r="I435" s="82" t="b">
        <v>0</v>
      </c>
      <c r="J435" s="82" t="b">
        <v>0</v>
      </c>
      <c r="K435" s="82" t="b">
        <v>0</v>
      </c>
      <c r="L435" s="82" t="b">
        <v>0</v>
      </c>
    </row>
    <row r="436" spans="1:12" ht="15">
      <c r="A436" s="84" t="s">
        <v>1050</v>
      </c>
      <c r="B436" s="103" t="s">
        <v>1051</v>
      </c>
      <c r="C436" s="82">
        <v>2</v>
      </c>
      <c r="D436" s="105">
        <v>0.011385960806225243</v>
      </c>
      <c r="E436" s="105">
        <v>1.9444826721501687</v>
      </c>
      <c r="F436" s="82" t="s">
        <v>809</v>
      </c>
      <c r="G436" s="82" t="b">
        <v>0</v>
      </c>
      <c r="H436" s="82" t="b">
        <v>0</v>
      </c>
      <c r="I436" s="82" t="b">
        <v>0</v>
      </c>
      <c r="J436" s="82" t="b">
        <v>0</v>
      </c>
      <c r="K436" s="82" t="b">
        <v>0</v>
      </c>
      <c r="L436" s="82" t="b">
        <v>0</v>
      </c>
    </row>
    <row r="437" spans="1:12" ht="15">
      <c r="A437" s="84" t="s">
        <v>1051</v>
      </c>
      <c r="B437" s="103" t="s">
        <v>1052</v>
      </c>
      <c r="C437" s="82">
        <v>2</v>
      </c>
      <c r="D437" s="105">
        <v>0.011385960806225243</v>
      </c>
      <c r="E437" s="105">
        <v>1.9444826721501687</v>
      </c>
      <c r="F437" s="82" t="s">
        <v>809</v>
      </c>
      <c r="G437" s="82" t="b">
        <v>0</v>
      </c>
      <c r="H437" s="82" t="b">
        <v>0</v>
      </c>
      <c r="I437" s="82" t="b">
        <v>0</v>
      </c>
      <c r="J437" s="82" t="b">
        <v>0</v>
      </c>
      <c r="K437" s="82" t="b">
        <v>0</v>
      </c>
      <c r="L437" s="82" t="b">
        <v>0</v>
      </c>
    </row>
    <row r="438" spans="1:12" ht="15">
      <c r="A438" s="84" t="s">
        <v>1052</v>
      </c>
      <c r="B438" s="103" t="s">
        <v>861</v>
      </c>
      <c r="C438" s="82">
        <v>2</v>
      </c>
      <c r="D438" s="105">
        <v>0.011385960806225243</v>
      </c>
      <c r="E438" s="105">
        <v>1.6434526764861874</v>
      </c>
      <c r="F438" s="82" t="s">
        <v>809</v>
      </c>
      <c r="G438" s="82" t="b">
        <v>0</v>
      </c>
      <c r="H438" s="82" t="b">
        <v>0</v>
      </c>
      <c r="I438" s="82" t="b">
        <v>0</v>
      </c>
      <c r="J438" s="82" t="b">
        <v>0</v>
      </c>
      <c r="K438" s="82" t="b">
        <v>0</v>
      </c>
      <c r="L438" s="82" t="b">
        <v>0</v>
      </c>
    </row>
    <row r="439" spans="1:12" ht="15">
      <c r="A439" s="84" t="s">
        <v>861</v>
      </c>
      <c r="B439" s="103" t="s">
        <v>1053</v>
      </c>
      <c r="C439" s="82">
        <v>2</v>
      </c>
      <c r="D439" s="105">
        <v>0.011385960806225243</v>
      </c>
      <c r="E439" s="105">
        <v>1.6434526764861874</v>
      </c>
      <c r="F439" s="82" t="s">
        <v>809</v>
      </c>
      <c r="G439" s="82" t="b">
        <v>0</v>
      </c>
      <c r="H439" s="82" t="b">
        <v>0</v>
      </c>
      <c r="I439" s="82" t="b">
        <v>0</v>
      </c>
      <c r="J439" s="82" t="b">
        <v>0</v>
      </c>
      <c r="K439" s="82" t="b">
        <v>0</v>
      </c>
      <c r="L439" s="82" t="b">
        <v>0</v>
      </c>
    </row>
    <row r="440" spans="1:12" ht="15">
      <c r="A440" s="84" t="s">
        <v>1053</v>
      </c>
      <c r="B440" s="103" t="s">
        <v>1054</v>
      </c>
      <c r="C440" s="82">
        <v>2</v>
      </c>
      <c r="D440" s="105">
        <v>0.011385960806225243</v>
      </c>
      <c r="E440" s="105">
        <v>1.9444826721501687</v>
      </c>
      <c r="F440" s="82" t="s">
        <v>809</v>
      </c>
      <c r="G440" s="82" t="b">
        <v>0</v>
      </c>
      <c r="H440" s="82" t="b">
        <v>0</v>
      </c>
      <c r="I440" s="82" t="b">
        <v>0</v>
      </c>
      <c r="J440" s="82" t="b">
        <v>0</v>
      </c>
      <c r="K440" s="82" t="b">
        <v>0</v>
      </c>
      <c r="L440" s="82" t="b">
        <v>0</v>
      </c>
    </row>
    <row r="441" spans="1:12" ht="15">
      <c r="A441" s="84" t="s">
        <v>963</v>
      </c>
      <c r="B441" s="103" t="s">
        <v>1055</v>
      </c>
      <c r="C441" s="82">
        <v>2</v>
      </c>
      <c r="D441" s="105">
        <v>0.011385960806225243</v>
      </c>
      <c r="E441" s="105">
        <v>1.7683914130944873</v>
      </c>
      <c r="F441" s="82" t="s">
        <v>809</v>
      </c>
      <c r="G441" s="82" t="b">
        <v>0</v>
      </c>
      <c r="H441" s="82" t="b">
        <v>0</v>
      </c>
      <c r="I441" s="82" t="b">
        <v>0</v>
      </c>
      <c r="J441" s="82" t="b">
        <v>0</v>
      </c>
      <c r="K441" s="82" t="b">
        <v>0</v>
      </c>
      <c r="L441" s="82" t="b">
        <v>0</v>
      </c>
    </row>
    <row r="442" spans="1:12" ht="15">
      <c r="A442" s="84" t="s">
        <v>1055</v>
      </c>
      <c r="B442" s="103" t="s">
        <v>1056</v>
      </c>
      <c r="C442" s="82">
        <v>2</v>
      </c>
      <c r="D442" s="105">
        <v>0.011385960806225243</v>
      </c>
      <c r="E442" s="105">
        <v>1.9444826721501687</v>
      </c>
      <c r="F442" s="82" t="s">
        <v>809</v>
      </c>
      <c r="G442" s="82" t="b">
        <v>0</v>
      </c>
      <c r="H442" s="82" t="b">
        <v>0</v>
      </c>
      <c r="I442" s="82" t="b">
        <v>0</v>
      </c>
      <c r="J442" s="82" t="b">
        <v>0</v>
      </c>
      <c r="K442" s="82" t="b">
        <v>0</v>
      </c>
      <c r="L442" s="82" t="b">
        <v>0</v>
      </c>
    </row>
    <row r="443" spans="1:12" ht="15">
      <c r="A443" s="84" t="s">
        <v>1056</v>
      </c>
      <c r="B443" s="103" t="s">
        <v>848</v>
      </c>
      <c r="C443" s="82">
        <v>2</v>
      </c>
      <c r="D443" s="105">
        <v>0.011385960806225243</v>
      </c>
      <c r="E443" s="105">
        <v>1.400414627799893</v>
      </c>
      <c r="F443" s="82" t="s">
        <v>809</v>
      </c>
      <c r="G443" s="82" t="b">
        <v>0</v>
      </c>
      <c r="H443" s="82" t="b">
        <v>0</v>
      </c>
      <c r="I443" s="82" t="b">
        <v>0</v>
      </c>
      <c r="J443" s="82" t="b">
        <v>0</v>
      </c>
      <c r="K443" s="82" t="b">
        <v>0</v>
      </c>
      <c r="L443" s="82" t="b">
        <v>0</v>
      </c>
    </row>
    <row r="444" spans="1:12" ht="15">
      <c r="A444" s="84" t="s">
        <v>969</v>
      </c>
      <c r="B444" s="103" t="s">
        <v>969</v>
      </c>
      <c r="C444" s="82">
        <v>2</v>
      </c>
      <c r="D444" s="105">
        <v>0.014337235273519176</v>
      </c>
      <c r="E444" s="105">
        <v>1.7683914130944873</v>
      </c>
      <c r="F444" s="82" t="s">
        <v>809</v>
      </c>
      <c r="G444" s="82" t="b">
        <v>0</v>
      </c>
      <c r="H444" s="82" t="b">
        <v>0</v>
      </c>
      <c r="I444" s="82" t="b">
        <v>0</v>
      </c>
      <c r="J444" s="82" t="b">
        <v>0</v>
      </c>
      <c r="K444" s="82" t="b">
        <v>0</v>
      </c>
      <c r="L444" s="82" t="b">
        <v>0</v>
      </c>
    </row>
    <row r="445" spans="1:12" ht="15">
      <c r="A445" s="84" t="s">
        <v>844</v>
      </c>
      <c r="B445" s="103" t="s">
        <v>843</v>
      </c>
      <c r="C445" s="82">
        <v>2</v>
      </c>
      <c r="D445" s="105">
        <v>0.011385960806225243</v>
      </c>
      <c r="E445" s="105">
        <v>1.9444826721501687</v>
      </c>
      <c r="F445" s="82" t="s">
        <v>809</v>
      </c>
      <c r="G445" s="82" t="b">
        <v>0</v>
      </c>
      <c r="H445" s="82" t="b">
        <v>0</v>
      </c>
      <c r="I445" s="82" t="b">
        <v>0</v>
      </c>
      <c r="J445" s="82" t="b">
        <v>0</v>
      </c>
      <c r="K445" s="82" t="b">
        <v>0</v>
      </c>
      <c r="L445" s="82" t="b">
        <v>0</v>
      </c>
    </row>
    <row r="446" spans="1:12" ht="15">
      <c r="A446" s="84" t="s">
        <v>843</v>
      </c>
      <c r="B446" s="103" t="s">
        <v>1057</v>
      </c>
      <c r="C446" s="82">
        <v>2</v>
      </c>
      <c r="D446" s="105">
        <v>0.011385960806225243</v>
      </c>
      <c r="E446" s="105">
        <v>1.9444826721501687</v>
      </c>
      <c r="F446" s="82" t="s">
        <v>809</v>
      </c>
      <c r="G446" s="82" t="b">
        <v>0</v>
      </c>
      <c r="H446" s="82" t="b">
        <v>0</v>
      </c>
      <c r="I446" s="82" t="b">
        <v>0</v>
      </c>
      <c r="J446" s="82" t="b">
        <v>0</v>
      </c>
      <c r="K446" s="82" t="b">
        <v>0</v>
      </c>
      <c r="L446" s="82" t="b">
        <v>0</v>
      </c>
    </row>
    <row r="447" spans="1:12" ht="15">
      <c r="A447" s="84" t="s">
        <v>850</v>
      </c>
      <c r="B447" s="103" t="s">
        <v>845</v>
      </c>
      <c r="C447" s="82">
        <v>3</v>
      </c>
      <c r="D447" s="105">
        <v>0.018539974911792788</v>
      </c>
      <c r="E447" s="105">
        <v>1.1726029312098598</v>
      </c>
      <c r="F447" s="82" t="s">
        <v>810</v>
      </c>
      <c r="G447" s="82" t="b">
        <v>0</v>
      </c>
      <c r="H447" s="82" t="b">
        <v>0</v>
      </c>
      <c r="I447" s="82" t="b">
        <v>0</v>
      </c>
      <c r="J447" s="82" t="b">
        <v>0</v>
      </c>
      <c r="K447" s="82" t="b">
        <v>0</v>
      </c>
      <c r="L447" s="82" t="b">
        <v>0</v>
      </c>
    </row>
    <row r="448" spans="1:12" ht="15">
      <c r="A448" s="84" t="s">
        <v>883</v>
      </c>
      <c r="B448" s="103" t="s">
        <v>992</v>
      </c>
      <c r="C448" s="82">
        <v>3</v>
      </c>
      <c r="D448" s="105">
        <v>0.028146443127624918</v>
      </c>
      <c r="E448" s="105">
        <v>1.3152704347785915</v>
      </c>
      <c r="F448" s="82" t="s">
        <v>810</v>
      </c>
      <c r="G448" s="82" t="b">
        <v>0</v>
      </c>
      <c r="H448" s="82" t="b">
        <v>0</v>
      </c>
      <c r="I448" s="82" t="b">
        <v>0</v>
      </c>
      <c r="J448" s="82" t="b">
        <v>0</v>
      </c>
      <c r="K448" s="82" t="b">
        <v>0</v>
      </c>
      <c r="L448" s="82" t="b">
        <v>0</v>
      </c>
    </row>
    <row r="449" spans="1:12" ht="15">
      <c r="A449" s="84" t="s">
        <v>992</v>
      </c>
      <c r="B449" s="103" t="s">
        <v>993</v>
      </c>
      <c r="C449" s="82">
        <v>3</v>
      </c>
      <c r="D449" s="105">
        <v>0.028146443127624918</v>
      </c>
      <c r="E449" s="105">
        <v>1.6163004304425728</v>
      </c>
      <c r="F449" s="82" t="s">
        <v>810</v>
      </c>
      <c r="G449" s="82" t="b">
        <v>0</v>
      </c>
      <c r="H449" s="82" t="b">
        <v>0</v>
      </c>
      <c r="I449" s="82" t="b">
        <v>0</v>
      </c>
      <c r="J449" s="82" t="b">
        <v>0</v>
      </c>
      <c r="K449" s="82" t="b">
        <v>0</v>
      </c>
      <c r="L449" s="82" t="b">
        <v>0</v>
      </c>
    </row>
    <row r="450" spans="1:12" ht="15">
      <c r="A450" s="84" t="s">
        <v>993</v>
      </c>
      <c r="B450" s="103" t="s">
        <v>994</v>
      </c>
      <c r="C450" s="82">
        <v>3</v>
      </c>
      <c r="D450" s="105">
        <v>0.028146443127624918</v>
      </c>
      <c r="E450" s="105">
        <v>1.6163004304425728</v>
      </c>
      <c r="F450" s="82" t="s">
        <v>810</v>
      </c>
      <c r="G450" s="82" t="b">
        <v>0</v>
      </c>
      <c r="H450" s="82" t="b">
        <v>0</v>
      </c>
      <c r="I450" s="82" t="b">
        <v>0</v>
      </c>
      <c r="J450" s="82" t="b">
        <v>0</v>
      </c>
      <c r="K450" s="82" t="b">
        <v>0</v>
      </c>
      <c r="L450" s="82" t="b">
        <v>0</v>
      </c>
    </row>
    <row r="451" spans="1:12" ht="15">
      <c r="A451" s="84" t="s">
        <v>899</v>
      </c>
      <c r="B451" s="103" t="s">
        <v>1001</v>
      </c>
      <c r="C451" s="82">
        <v>3</v>
      </c>
      <c r="D451" s="105">
        <v>0.028146443127624918</v>
      </c>
      <c r="E451" s="105">
        <v>1.6163004304425728</v>
      </c>
      <c r="F451" s="82" t="s">
        <v>810</v>
      </c>
      <c r="G451" s="82" t="b">
        <v>0</v>
      </c>
      <c r="H451" s="82" t="b">
        <v>0</v>
      </c>
      <c r="I451" s="82" t="b">
        <v>0</v>
      </c>
      <c r="J451" s="82" t="b">
        <v>0</v>
      </c>
      <c r="K451" s="82" t="b">
        <v>0</v>
      </c>
      <c r="L451" s="82" t="b">
        <v>0</v>
      </c>
    </row>
    <row r="452" spans="1:12" ht="15">
      <c r="A452" s="84" t="s">
        <v>1001</v>
      </c>
      <c r="B452" s="103" t="s">
        <v>1002</v>
      </c>
      <c r="C452" s="82">
        <v>3</v>
      </c>
      <c r="D452" s="105">
        <v>0.028146443127624918</v>
      </c>
      <c r="E452" s="105">
        <v>1.6163004304425728</v>
      </c>
      <c r="F452" s="82" t="s">
        <v>810</v>
      </c>
      <c r="G452" s="82" t="b">
        <v>0</v>
      </c>
      <c r="H452" s="82" t="b">
        <v>0</v>
      </c>
      <c r="I452" s="82" t="b">
        <v>0</v>
      </c>
      <c r="J452" s="82" t="b">
        <v>0</v>
      </c>
      <c r="K452" s="82" t="b">
        <v>0</v>
      </c>
      <c r="L452" s="82" t="b">
        <v>0</v>
      </c>
    </row>
    <row r="453" spans="1:12" ht="15">
      <c r="A453" s="84" t="s">
        <v>1002</v>
      </c>
      <c r="B453" s="103" t="s">
        <v>1003</v>
      </c>
      <c r="C453" s="82">
        <v>3</v>
      </c>
      <c r="D453" s="105">
        <v>0.028146443127624918</v>
      </c>
      <c r="E453" s="105">
        <v>1.6163004304425728</v>
      </c>
      <c r="F453" s="82" t="s">
        <v>810</v>
      </c>
      <c r="G453" s="82" t="b">
        <v>0</v>
      </c>
      <c r="H453" s="82" t="b">
        <v>0</v>
      </c>
      <c r="I453" s="82" t="b">
        <v>0</v>
      </c>
      <c r="J453" s="82" t="b">
        <v>0</v>
      </c>
      <c r="K453" s="82" t="b">
        <v>0</v>
      </c>
      <c r="L453" s="82" t="b">
        <v>0</v>
      </c>
    </row>
    <row r="454" spans="1:12" ht="15">
      <c r="A454" s="84" t="s">
        <v>999</v>
      </c>
      <c r="B454" s="103" t="s">
        <v>1000</v>
      </c>
      <c r="C454" s="82">
        <v>3</v>
      </c>
      <c r="D454" s="105">
        <v>0.028146443127624918</v>
      </c>
      <c r="E454" s="105">
        <v>1.6163004304425728</v>
      </c>
      <c r="F454" s="82" t="s">
        <v>810</v>
      </c>
      <c r="G454" s="82" t="b">
        <v>0</v>
      </c>
      <c r="H454" s="82" t="b">
        <v>0</v>
      </c>
      <c r="I454" s="82" t="b">
        <v>0</v>
      </c>
      <c r="J454" s="82" t="b">
        <v>0</v>
      </c>
      <c r="K454" s="82" t="b">
        <v>0</v>
      </c>
      <c r="L454" s="82" t="b">
        <v>0</v>
      </c>
    </row>
    <row r="455" spans="1:12" ht="15">
      <c r="A455" s="84" t="s">
        <v>1000</v>
      </c>
      <c r="B455" s="103" t="s">
        <v>883</v>
      </c>
      <c r="C455" s="82">
        <v>3</v>
      </c>
      <c r="D455" s="105">
        <v>0.028146443127624918</v>
      </c>
      <c r="E455" s="105">
        <v>1.3152704347785915</v>
      </c>
      <c r="F455" s="82" t="s">
        <v>810</v>
      </c>
      <c r="G455" s="82" t="b">
        <v>0</v>
      </c>
      <c r="H455" s="82" t="b">
        <v>0</v>
      </c>
      <c r="I455" s="82" t="b">
        <v>0</v>
      </c>
      <c r="J455" s="82" t="b">
        <v>0</v>
      </c>
      <c r="K455" s="82" t="b">
        <v>0</v>
      </c>
      <c r="L455" s="82" t="b">
        <v>0</v>
      </c>
    </row>
    <row r="456" spans="1:12" ht="15">
      <c r="A456" s="84" t="s">
        <v>996</v>
      </c>
      <c r="B456" s="103" t="s">
        <v>997</v>
      </c>
      <c r="C456" s="82">
        <v>3</v>
      </c>
      <c r="D456" s="105">
        <v>0.028146443127624918</v>
      </c>
      <c r="E456" s="105">
        <v>1.6163004304425728</v>
      </c>
      <c r="F456" s="82" t="s">
        <v>810</v>
      </c>
      <c r="G456" s="82" t="b">
        <v>0</v>
      </c>
      <c r="H456" s="82" t="b">
        <v>0</v>
      </c>
      <c r="I456" s="82" t="b">
        <v>0</v>
      </c>
      <c r="J456" s="82" t="b">
        <v>0</v>
      </c>
      <c r="K456" s="82" t="b">
        <v>0</v>
      </c>
      <c r="L456" s="82" t="b">
        <v>0</v>
      </c>
    </row>
    <row r="457" spans="1:12" ht="15">
      <c r="A457" s="84" t="s">
        <v>997</v>
      </c>
      <c r="B457" s="103" t="s">
        <v>998</v>
      </c>
      <c r="C457" s="82">
        <v>3</v>
      </c>
      <c r="D457" s="105">
        <v>0.028146443127624918</v>
      </c>
      <c r="E457" s="105">
        <v>1.6163004304425728</v>
      </c>
      <c r="F457" s="82" t="s">
        <v>810</v>
      </c>
      <c r="G457" s="82" t="b">
        <v>0</v>
      </c>
      <c r="H457" s="82" t="b">
        <v>0</v>
      </c>
      <c r="I457" s="82" t="b">
        <v>0</v>
      </c>
      <c r="J457" s="82" t="b">
        <v>0</v>
      </c>
      <c r="K457" s="82" t="b">
        <v>0</v>
      </c>
      <c r="L457" s="82" t="b">
        <v>0</v>
      </c>
    </row>
    <row r="458" spans="1:12" ht="15">
      <c r="A458" s="84" t="s">
        <v>998</v>
      </c>
      <c r="B458" s="103" t="s">
        <v>892</v>
      </c>
      <c r="C458" s="82">
        <v>3</v>
      </c>
      <c r="D458" s="105">
        <v>0.028146443127624918</v>
      </c>
      <c r="E458" s="105">
        <v>1.6163004304425728</v>
      </c>
      <c r="F458" s="82" t="s">
        <v>810</v>
      </c>
      <c r="G458" s="82" t="b">
        <v>0</v>
      </c>
      <c r="H458" s="82" t="b">
        <v>0</v>
      </c>
      <c r="I458" s="82" t="b">
        <v>0</v>
      </c>
      <c r="J458" s="82" t="b">
        <v>0</v>
      </c>
      <c r="K458" s="82" t="b">
        <v>0</v>
      </c>
      <c r="L458" s="82" t="b">
        <v>0</v>
      </c>
    </row>
    <row r="459" spans="1:12" ht="15">
      <c r="A459" s="84" t="s">
        <v>994</v>
      </c>
      <c r="B459" s="103" t="s">
        <v>883</v>
      </c>
      <c r="C459" s="82">
        <v>2</v>
      </c>
      <c r="D459" s="105">
        <v>0.018764295418416614</v>
      </c>
      <c r="E459" s="105">
        <v>1.1391791757229102</v>
      </c>
      <c r="F459" s="82" t="s">
        <v>810</v>
      </c>
      <c r="G459" s="82" t="b">
        <v>0</v>
      </c>
      <c r="H459" s="82" t="b">
        <v>0</v>
      </c>
      <c r="I459" s="82" t="b">
        <v>0</v>
      </c>
      <c r="J459" s="82" t="b">
        <v>0</v>
      </c>
      <c r="K459" s="82" t="b">
        <v>0</v>
      </c>
      <c r="L459" s="82" t="b">
        <v>0</v>
      </c>
    </row>
    <row r="460" spans="1:12" ht="15">
      <c r="A460" s="84" t="s">
        <v>937</v>
      </c>
      <c r="B460" s="103" t="s">
        <v>938</v>
      </c>
      <c r="C460" s="82">
        <v>2</v>
      </c>
      <c r="D460" s="105">
        <v>0.01472362433567861</v>
      </c>
      <c r="E460" s="105">
        <v>1.792391689498254</v>
      </c>
      <c r="F460" s="82" t="s">
        <v>810</v>
      </c>
      <c r="G460" s="82" t="b">
        <v>0</v>
      </c>
      <c r="H460" s="82" t="b">
        <v>0</v>
      </c>
      <c r="I460" s="82" t="b">
        <v>0</v>
      </c>
      <c r="J460" s="82" t="b">
        <v>0</v>
      </c>
      <c r="K460" s="82" t="b">
        <v>0</v>
      </c>
      <c r="L460" s="82" t="b">
        <v>0</v>
      </c>
    </row>
    <row r="461" spans="1:12" ht="15">
      <c r="A461" s="84" t="s">
        <v>938</v>
      </c>
      <c r="B461" s="103" t="s">
        <v>939</v>
      </c>
      <c r="C461" s="82">
        <v>2</v>
      </c>
      <c r="D461" s="105">
        <v>0.01472362433567861</v>
      </c>
      <c r="E461" s="105">
        <v>1.792391689498254</v>
      </c>
      <c r="F461" s="82" t="s">
        <v>810</v>
      </c>
      <c r="G461" s="82" t="b">
        <v>0</v>
      </c>
      <c r="H461" s="82" t="b">
        <v>0</v>
      </c>
      <c r="I461" s="82" t="b">
        <v>0</v>
      </c>
      <c r="J461" s="82" t="b">
        <v>0</v>
      </c>
      <c r="K461" s="82" t="b">
        <v>1</v>
      </c>
      <c r="L461" s="82" t="b">
        <v>0</v>
      </c>
    </row>
    <row r="462" spans="1:12" ht="15">
      <c r="A462" s="84" t="s">
        <v>1004</v>
      </c>
      <c r="B462" s="103" t="s">
        <v>1004</v>
      </c>
      <c r="C462" s="82">
        <v>2</v>
      </c>
      <c r="D462" s="105">
        <v>0.018764295418416614</v>
      </c>
      <c r="E462" s="105">
        <v>1.4402091713868914</v>
      </c>
      <c r="F462" s="82" t="s">
        <v>810</v>
      </c>
      <c r="G462" s="82" t="b">
        <v>0</v>
      </c>
      <c r="H462" s="82" t="b">
        <v>0</v>
      </c>
      <c r="I462" s="82" t="b">
        <v>0</v>
      </c>
      <c r="J462" s="82" t="b">
        <v>0</v>
      </c>
      <c r="K462" s="82" t="b">
        <v>0</v>
      </c>
      <c r="L462" s="82" t="b">
        <v>0</v>
      </c>
    </row>
    <row r="463" spans="1:12" ht="15">
      <c r="A463" s="84" t="s">
        <v>1003</v>
      </c>
      <c r="B463" s="103" t="s">
        <v>899</v>
      </c>
      <c r="C463" s="82">
        <v>2</v>
      </c>
      <c r="D463" s="105">
        <v>0.018764295418416614</v>
      </c>
      <c r="E463" s="105">
        <v>1.4402091713868914</v>
      </c>
      <c r="F463" s="82" t="s">
        <v>810</v>
      </c>
      <c r="G463" s="82" t="b">
        <v>0</v>
      </c>
      <c r="H463" s="82" t="b">
        <v>0</v>
      </c>
      <c r="I463" s="82" t="b">
        <v>0</v>
      </c>
      <c r="J463" s="82" t="b">
        <v>0</v>
      </c>
      <c r="K463" s="82" t="b">
        <v>0</v>
      </c>
      <c r="L463" s="82" t="b">
        <v>0</v>
      </c>
    </row>
    <row r="464" spans="1:12" ht="15">
      <c r="A464" s="84" t="s">
        <v>883</v>
      </c>
      <c r="B464" s="103" t="s">
        <v>999</v>
      </c>
      <c r="C464" s="82">
        <v>2</v>
      </c>
      <c r="D464" s="105">
        <v>0.018764295418416614</v>
      </c>
      <c r="E464" s="105">
        <v>1.1391791757229102</v>
      </c>
      <c r="F464" s="82" t="s">
        <v>810</v>
      </c>
      <c r="G464" s="82" t="b">
        <v>0</v>
      </c>
      <c r="H464" s="82" t="b">
        <v>0</v>
      </c>
      <c r="I464" s="82" t="b">
        <v>0</v>
      </c>
      <c r="J464" s="82" t="b">
        <v>0</v>
      </c>
      <c r="K464" s="82" t="b">
        <v>0</v>
      </c>
      <c r="L464" s="82" t="b">
        <v>0</v>
      </c>
    </row>
    <row r="465" spans="1:12" ht="15">
      <c r="A465" s="84" t="s">
        <v>892</v>
      </c>
      <c r="B465" s="103" t="s">
        <v>996</v>
      </c>
      <c r="C465" s="82">
        <v>2</v>
      </c>
      <c r="D465" s="105">
        <v>0.018764295418416614</v>
      </c>
      <c r="E465" s="105">
        <v>1.6163004304425728</v>
      </c>
      <c r="F465" s="82" t="s">
        <v>810</v>
      </c>
      <c r="G465" s="82" t="b">
        <v>0</v>
      </c>
      <c r="H465" s="82" t="b">
        <v>0</v>
      </c>
      <c r="I465" s="82" t="b">
        <v>0</v>
      </c>
      <c r="J465" s="82" t="b">
        <v>0</v>
      </c>
      <c r="K465" s="82" t="b">
        <v>0</v>
      </c>
      <c r="L465" s="82" t="b">
        <v>0</v>
      </c>
    </row>
    <row r="466" spans="1:12" ht="15">
      <c r="A466" s="84" t="s">
        <v>893</v>
      </c>
      <c r="B466" s="103" t="s">
        <v>865</v>
      </c>
      <c r="C466" s="82">
        <v>2</v>
      </c>
      <c r="D466" s="105">
        <v>0.01472362433567861</v>
      </c>
      <c r="E466" s="105">
        <v>1.792391689498254</v>
      </c>
      <c r="F466" s="82" t="s">
        <v>810</v>
      </c>
      <c r="G466" s="82" t="b">
        <v>0</v>
      </c>
      <c r="H466" s="82" t="b">
        <v>0</v>
      </c>
      <c r="I466" s="82" t="b">
        <v>0</v>
      </c>
      <c r="J466" s="82" t="b">
        <v>0</v>
      </c>
      <c r="K466" s="82" t="b">
        <v>0</v>
      </c>
      <c r="L466" s="82" t="b">
        <v>0</v>
      </c>
    </row>
    <row r="467" spans="1:12" ht="15">
      <c r="A467" s="84" t="s">
        <v>865</v>
      </c>
      <c r="B467" s="103" t="s">
        <v>894</v>
      </c>
      <c r="C467" s="82">
        <v>2</v>
      </c>
      <c r="D467" s="105">
        <v>0.01472362433567861</v>
      </c>
      <c r="E467" s="105">
        <v>1.792391689498254</v>
      </c>
      <c r="F467" s="82" t="s">
        <v>810</v>
      </c>
      <c r="G467" s="82" t="b">
        <v>0</v>
      </c>
      <c r="H467" s="82" t="b">
        <v>0</v>
      </c>
      <c r="I467" s="82" t="b">
        <v>0</v>
      </c>
      <c r="J467" s="82" t="b">
        <v>0</v>
      </c>
      <c r="K467" s="82" t="b">
        <v>0</v>
      </c>
      <c r="L467" s="82" t="b">
        <v>0</v>
      </c>
    </row>
    <row r="468" spans="1:12" ht="15">
      <c r="A468" s="84" t="s">
        <v>844</v>
      </c>
      <c r="B468" s="103" t="s">
        <v>843</v>
      </c>
      <c r="C468" s="82">
        <v>2</v>
      </c>
      <c r="D468" s="105">
        <v>0.01472362433567861</v>
      </c>
      <c r="E468" s="105">
        <v>1.792391689498254</v>
      </c>
      <c r="F468" s="82" t="s">
        <v>810</v>
      </c>
      <c r="G468" s="82" t="b">
        <v>0</v>
      </c>
      <c r="H468" s="82" t="b">
        <v>0</v>
      </c>
      <c r="I468" s="82" t="b">
        <v>0</v>
      </c>
      <c r="J468" s="82" t="b">
        <v>0</v>
      </c>
      <c r="K468" s="82" t="b">
        <v>0</v>
      </c>
      <c r="L468" s="82" t="b">
        <v>0</v>
      </c>
    </row>
    <row r="469" spans="1:12" ht="15">
      <c r="A469" s="84" t="s">
        <v>846</v>
      </c>
      <c r="B469" s="103" t="s">
        <v>846</v>
      </c>
      <c r="C469" s="82">
        <v>17</v>
      </c>
      <c r="D469" s="105">
        <v>0.10130405287828147</v>
      </c>
      <c r="E469" s="105">
        <v>0.8387578619832379</v>
      </c>
      <c r="F469" s="82" t="s">
        <v>811</v>
      </c>
      <c r="G469" s="82" t="b">
        <v>0</v>
      </c>
      <c r="H469" s="82" t="b">
        <v>0</v>
      </c>
      <c r="I469" s="82" t="b">
        <v>0</v>
      </c>
      <c r="J469" s="82" t="b">
        <v>0</v>
      </c>
      <c r="K469" s="82" t="b">
        <v>0</v>
      </c>
      <c r="L469" s="82" t="b">
        <v>0</v>
      </c>
    </row>
    <row r="470" spans="1:12" ht="15">
      <c r="A470" s="84" t="s">
        <v>844</v>
      </c>
      <c r="B470" s="103" t="s">
        <v>843</v>
      </c>
      <c r="C470" s="82">
        <v>11</v>
      </c>
      <c r="D470" s="105">
        <v>0.022748124853948663</v>
      </c>
      <c r="E470" s="105">
        <v>1.0735773685296262</v>
      </c>
      <c r="F470" s="82" t="s">
        <v>811</v>
      </c>
      <c r="G470" s="82" t="b">
        <v>0</v>
      </c>
      <c r="H470" s="82" t="b">
        <v>0</v>
      </c>
      <c r="I470" s="82" t="b">
        <v>0</v>
      </c>
      <c r="J470" s="82" t="b">
        <v>0</v>
      </c>
      <c r="K470" s="82" t="b">
        <v>0</v>
      </c>
      <c r="L470" s="82" t="b">
        <v>0</v>
      </c>
    </row>
    <row r="471" spans="1:12" ht="15">
      <c r="A471" s="84" t="s">
        <v>871</v>
      </c>
      <c r="B471" s="103" t="s">
        <v>872</v>
      </c>
      <c r="C471" s="82">
        <v>6</v>
      </c>
      <c r="D471" s="105">
        <v>0.017587416342224393</v>
      </c>
      <c r="E471" s="105">
        <v>1.5720967679505191</v>
      </c>
      <c r="F471" s="82" t="s">
        <v>811</v>
      </c>
      <c r="G471" s="82" t="b">
        <v>0</v>
      </c>
      <c r="H471" s="82" t="b">
        <v>0</v>
      </c>
      <c r="I471" s="82" t="b">
        <v>0</v>
      </c>
      <c r="J471" s="82" t="b">
        <v>0</v>
      </c>
      <c r="K471" s="82" t="b">
        <v>0</v>
      </c>
      <c r="L471" s="82" t="b">
        <v>0</v>
      </c>
    </row>
    <row r="472" spans="1:12" ht="15">
      <c r="A472" s="84" t="s">
        <v>872</v>
      </c>
      <c r="B472" s="103" t="s">
        <v>873</v>
      </c>
      <c r="C472" s="82">
        <v>6</v>
      </c>
      <c r="D472" s="105">
        <v>0.017587416342224393</v>
      </c>
      <c r="E472" s="105">
        <v>1.5720967679505191</v>
      </c>
      <c r="F472" s="82" t="s">
        <v>811</v>
      </c>
      <c r="G472" s="82" t="b">
        <v>0</v>
      </c>
      <c r="H472" s="82" t="b">
        <v>0</v>
      </c>
      <c r="I472" s="82" t="b">
        <v>0</v>
      </c>
      <c r="J472" s="82" t="b">
        <v>0</v>
      </c>
      <c r="K472" s="82" t="b">
        <v>0</v>
      </c>
      <c r="L472" s="82" t="b">
        <v>0</v>
      </c>
    </row>
    <row r="473" spans="1:12" ht="15">
      <c r="A473" s="84" t="s">
        <v>873</v>
      </c>
      <c r="B473" s="103" t="s">
        <v>874</v>
      </c>
      <c r="C473" s="82">
        <v>6</v>
      </c>
      <c r="D473" s="105">
        <v>0.017587416342224393</v>
      </c>
      <c r="E473" s="105">
        <v>1.5720967679505191</v>
      </c>
      <c r="F473" s="82" t="s">
        <v>811</v>
      </c>
      <c r="G473" s="82" t="b">
        <v>0</v>
      </c>
      <c r="H473" s="82" t="b">
        <v>0</v>
      </c>
      <c r="I473" s="82" t="b">
        <v>0</v>
      </c>
      <c r="J473" s="82" t="b">
        <v>0</v>
      </c>
      <c r="K473" s="82" t="b">
        <v>0</v>
      </c>
      <c r="L473" s="82" t="b">
        <v>0</v>
      </c>
    </row>
    <row r="474" spans="1:12" ht="15">
      <c r="A474" s="84" t="s">
        <v>874</v>
      </c>
      <c r="B474" s="103" t="s">
        <v>848</v>
      </c>
      <c r="C474" s="82">
        <v>6</v>
      </c>
      <c r="D474" s="105">
        <v>0.017587416342224393</v>
      </c>
      <c r="E474" s="105">
        <v>1.5720967679505191</v>
      </c>
      <c r="F474" s="82" t="s">
        <v>811</v>
      </c>
      <c r="G474" s="82" t="b">
        <v>0</v>
      </c>
      <c r="H474" s="82" t="b">
        <v>0</v>
      </c>
      <c r="I474" s="82" t="b">
        <v>0</v>
      </c>
      <c r="J474" s="82" t="b">
        <v>0</v>
      </c>
      <c r="K474" s="82" t="b">
        <v>0</v>
      </c>
      <c r="L474" s="82" t="b">
        <v>0</v>
      </c>
    </row>
    <row r="475" spans="1:12" ht="15">
      <c r="A475" s="84" t="s">
        <v>848</v>
      </c>
      <c r="B475" s="103" t="s">
        <v>875</v>
      </c>
      <c r="C475" s="82">
        <v>6</v>
      </c>
      <c r="D475" s="105">
        <v>0.017587416342224393</v>
      </c>
      <c r="E475" s="105">
        <v>1.5720967679505191</v>
      </c>
      <c r="F475" s="82" t="s">
        <v>811</v>
      </c>
      <c r="G475" s="82" t="b">
        <v>0</v>
      </c>
      <c r="H475" s="82" t="b">
        <v>0</v>
      </c>
      <c r="I475" s="82" t="b">
        <v>0</v>
      </c>
      <c r="J475" s="82" t="b">
        <v>1</v>
      </c>
      <c r="K475" s="82" t="b">
        <v>0</v>
      </c>
      <c r="L475" s="82" t="b">
        <v>0</v>
      </c>
    </row>
    <row r="476" spans="1:12" ht="15">
      <c r="A476" s="84" t="s">
        <v>875</v>
      </c>
      <c r="B476" s="103" t="s">
        <v>857</v>
      </c>
      <c r="C476" s="82">
        <v>6</v>
      </c>
      <c r="D476" s="105">
        <v>0.017587416342224393</v>
      </c>
      <c r="E476" s="105">
        <v>1.5720967679505191</v>
      </c>
      <c r="F476" s="82" t="s">
        <v>811</v>
      </c>
      <c r="G476" s="82" t="b">
        <v>1</v>
      </c>
      <c r="H476" s="82" t="b">
        <v>0</v>
      </c>
      <c r="I476" s="82" t="b">
        <v>0</v>
      </c>
      <c r="J476" s="82" t="b">
        <v>0</v>
      </c>
      <c r="K476" s="82" t="b">
        <v>0</v>
      </c>
      <c r="L476" s="82" t="b">
        <v>0</v>
      </c>
    </row>
    <row r="477" spans="1:12" ht="15">
      <c r="A477" s="84" t="s">
        <v>886</v>
      </c>
      <c r="B477" s="103" t="s">
        <v>887</v>
      </c>
      <c r="C477" s="82">
        <v>5</v>
      </c>
      <c r="D477" s="105">
        <v>0.01619667145342872</v>
      </c>
      <c r="E477" s="105">
        <v>1.651278013998144</v>
      </c>
      <c r="F477" s="82" t="s">
        <v>811</v>
      </c>
      <c r="G477" s="82" t="b">
        <v>0</v>
      </c>
      <c r="H477" s="82" t="b">
        <v>0</v>
      </c>
      <c r="I477" s="82" t="b">
        <v>0</v>
      </c>
      <c r="J477" s="82" t="b">
        <v>0</v>
      </c>
      <c r="K477" s="82" t="b">
        <v>0</v>
      </c>
      <c r="L477" s="82" t="b">
        <v>0</v>
      </c>
    </row>
    <row r="478" spans="1:12" ht="15">
      <c r="A478" s="84" t="s">
        <v>887</v>
      </c>
      <c r="B478" s="103" t="s">
        <v>888</v>
      </c>
      <c r="C478" s="82">
        <v>5</v>
      </c>
      <c r="D478" s="105">
        <v>0.01619667145342872</v>
      </c>
      <c r="E478" s="105">
        <v>1.651278013998144</v>
      </c>
      <c r="F478" s="82" t="s">
        <v>811</v>
      </c>
      <c r="G478" s="82" t="b">
        <v>0</v>
      </c>
      <c r="H478" s="82" t="b">
        <v>0</v>
      </c>
      <c r="I478" s="82" t="b">
        <v>0</v>
      </c>
      <c r="J478" s="82" t="b">
        <v>0</v>
      </c>
      <c r="K478" s="82" t="b">
        <v>0</v>
      </c>
      <c r="L478" s="82" t="b">
        <v>0</v>
      </c>
    </row>
    <row r="479" spans="1:12" ht="15">
      <c r="A479" s="84" t="s">
        <v>888</v>
      </c>
      <c r="B479" s="103" t="s">
        <v>870</v>
      </c>
      <c r="C479" s="82">
        <v>5</v>
      </c>
      <c r="D479" s="105">
        <v>0.01619667145342872</v>
      </c>
      <c r="E479" s="105">
        <v>1.651278013998144</v>
      </c>
      <c r="F479" s="82" t="s">
        <v>811</v>
      </c>
      <c r="G479" s="82" t="b">
        <v>0</v>
      </c>
      <c r="H479" s="82" t="b">
        <v>0</v>
      </c>
      <c r="I479" s="82" t="b">
        <v>0</v>
      </c>
      <c r="J479" s="82" t="b">
        <v>0</v>
      </c>
      <c r="K479" s="82" t="b">
        <v>0</v>
      </c>
      <c r="L479" s="82" t="b">
        <v>0</v>
      </c>
    </row>
    <row r="480" spans="1:12" ht="15">
      <c r="A480" s="84" t="s">
        <v>870</v>
      </c>
      <c r="B480" s="103" t="s">
        <v>889</v>
      </c>
      <c r="C480" s="82">
        <v>5</v>
      </c>
      <c r="D480" s="105">
        <v>0.01619667145342872</v>
      </c>
      <c r="E480" s="105">
        <v>1.651278013998144</v>
      </c>
      <c r="F480" s="82" t="s">
        <v>811</v>
      </c>
      <c r="G480" s="82" t="b">
        <v>0</v>
      </c>
      <c r="H480" s="82" t="b">
        <v>0</v>
      </c>
      <c r="I480" s="82" t="b">
        <v>0</v>
      </c>
      <c r="J480" s="82" t="b">
        <v>0</v>
      </c>
      <c r="K480" s="82" t="b">
        <v>0</v>
      </c>
      <c r="L480" s="82" t="b">
        <v>0</v>
      </c>
    </row>
    <row r="481" spans="1:12" ht="15">
      <c r="A481" s="84" t="s">
        <v>889</v>
      </c>
      <c r="B481" s="103" t="s">
        <v>843</v>
      </c>
      <c r="C481" s="82">
        <v>5</v>
      </c>
      <c r="D481" s="105">
        <v>0.01619667145342872</v>
      </c>
      <c r="E481" s="105">
        <v>1.146128035678238</v>
      </c>
      <c r="F481" s="82" t="s">
        <v>811</v>
      </c>
      <c r="G481" s="82" t="b">
        <v>0</v>
      </c>
      <c r="H481" s="82" t="b">
        <v>0</v>
      </c>
      <c r="I481" s="82" t="b">
        <v>0</v>
      </c>
      <c r="J481" s="82" t="b">
        <v>0</v>
      </c>
      <c r="K481" s="82" t="b">
        <v>0</v>
      </c>
      <c r="L481" s="82" t="b">
        <v>0</v>
      </c>
    </row>
    <row r="482" spans="1:12" ht="15">
      <c r="A482" s="84" t="s">
        <v>843</v>
      </c>
      <c r="B482" s="103" t="s">
        <v>864</v>
      </c>
      <c r="C482" s="82">
        <v>5</v>
      </c>
      <c r="D482" s="105">
        <v>0.01619667145342872</v>
      </c>
      <c r="E482" s="105">
        <v>1.3088553331759378</v>
      </c>
      <c r="F482" s="82" t="s">
        <v>811</v>
      </c>
      <c r="G482" s="82" t="b">
        <v>0</v>
      </c>
      <c r="H482" s="82" t="b">
        <v>0</v>
      </c>
      <c r="I482" s="82" t="b">
        <v>0</v>
      </c>
      <c r="J482" s="82" t="b">
        <v>0</v>
      </c>
      <c r="K482" s="82" t="b">
        <v>0</v>
      </c>
      <c r="L482" s="82" t="b">
        <v>0</v>
      </c>
    </row>
    <row r="483" spans="1:12" ht="15">
      <c r="A483" s="84" t="s">
        <v>864</v>
      </c>
      <c r="B483" s="103" t="s">
        <v>890</v>
      </c>
      <c r="C483" s="82">
        <v>5</v>
      </c>
      <c r="D483" s="105">
        <v>0.01619667145342872</v>
      </c>
      <c r="E483" s="105">
        <v>1.651278013998144</v>
      </c>
      <c r="F483" s="82" t="s">
        <v>811</v>
      </c>
      <c r="G483" s="82" t="b">
        <v>0</v>
      </c>
      <c r="H483" s="82" t="b">
        <v>0</v>
      </c>
      <c r="I483" s="82" t="b">
        <v>0</v>
      </c>
      <c r="J483" s="82" t="b">
        <v>0</v>
      </c>
      <c r="K483" s="82" t="b">
        <v>0</v>
      </c>
      <c r="L483" s="82" t="b">
        <v>0</v>
      </c>
    </row>
    <row r="484" spans="1:12" ht="15">
      <c r="A484" s="84" t="s">
        <v>843</v>
      </c>
      <c r="B484" s="103" t="s">
        <v>869</v>
      </c>
      <c r="C484" s="82">
        <v>3</v>
      </c>
      <c r="D484" s="105">
        <v>0.012307676992092523</v>
      </c>
      <c r="E484" s="105">
        <v>1.0078253375119566</v>
      </c>
      <c r="F484" s="82" t="s">
        <v>811</v>
      </c>
      <c r="G484" s="82" t="b">
        <v>0</v>
      </c>
      <c r="H484" s="82" t="b">
        <v>0</v>
      </c>
      <c r="I484" s="82" t="b">
        <v>0</v>
      </c>
      <c r="J484" s="82" t="b">
        <v>0</v>
      </c>
      <c r="K484" s="82" t="b">
        <v>0</v>
      </c>
      <c r="L484" s="82" t="b">
        <v>0</v>
      </c>
    </row>
    <row r="485" spans="1:12" ht="15">
      <c r="A485" s="84" t="s">
        <v>948</v>
      </c>
      <c r="B485" s="103" t="s">
        <v>949</v>
      </c>
      <c r="C485" s="82">
        <v>3</v>
      </c>
      <c r="D485" s="105">
        <v>0.01787718580204967</v>
      </c>
      <c r="E485" s="105">
        <v>1.8731267636145004</v>
      </c>
      <c r="F485" s="82" t="s">
        <v>811</v>
      </c>
      <c r="G485" s="82" t="b">
        <v>0</v>
      </c>
      <c r="H485" s="82" t="b">
        <v>0</v>
      </c>
      <c r="I485" s="82" t="b">
        <v>0</v>
      </c>
      <c r="J485" s="82" t="b">
        <v>0</v>
      </c>
      <c r="K485" s="82" t="b">
        <v>0</v>
      </c>
      <c r="L485" s="82" t="b">
        <v>0</v>
      </c>
    </row>
    <row r="486" spans="1:12" ht="15">
      <c r="A486" s="84" t="s">
        <v>949</v>
      </c>
      <c r="B486" s="103" t="s">
        <v>950</v>
      </c>
      <c r="C486" s="82">
        <v>3</v>
      </c>
      <c r="D486" s="105">
        <v>0.01787718580204967</v>
      </c>
      <c r="E486" s="105">
        <v>1.8731267636145004</v>
      </c>
      <c r="F486" s="82" t="s">
        <v>811</v>
      </c>
      <c r="G486" s="82" t="b">
        <v>0</v>
      </c>
      <c r="H486" s="82" t="b">
        <v>0</v>
      </c>
      <c r="I486" s="82" t="b">
        <v>0</v>
      </c>
      <c r="J486" s="82" t="b">
        <v>0</v>
      </c>
      <c r="K486" s="82" t="b">
        <v>0</v>
      </c>
      <c r="L486" s="82" t="b">
        <v>0</v>
      </c>
    </row>
    <row r="487" spans="1:12" ht="15">
      <c r="A487" s="84" t="s">
        <v>950</v>
      </c>
      <c r="B487" s="103" t="s">
        <v>951</v>
      </c>
      <c r="C487" s="82">
        <v>3</v>
      </c>
      <c r="D487" s="105">
        <v>0.01787718580204967</v>
      </c>
      <c r="E487" s="105">
        <v>1.8731267636145004</v>
      </c>
      <c r="F487" s="82" t="s">
        <v>811</v>
      </c>
      <c r="G487" s="82" t="b">
        <v>0</v>
      </c>
      <c r="H487" s="82" t="b">
        <v>0</v>
      </c>
      <c r="I487" s="82" t="b">
        <v>0</v>
      </c>
      <c r="J487" s="82" t="b">
        <v>0</v>
      </c>
      <c r="K487" s="82" t="b">
        <v>0</v>
      </c>
      <c r="L487" s="82" t="b">
        <v>0</v>
      </c>
    </row>
    <row r="488" spans="1:12" ht="15">
      <c r="A488" s="84" t="s">
        <v>951</v>
      </c>
      <c r="B488" s="103" t="s">
        <v>952</v>
      </c>
      <c r="C488" s="82">
        <v>3</v>
      </c>
      <c r="D488" s="105">
        <v>0.01787718580204967</v>
      </c>
      <c r="E488" s="105">
        <v>1.8731267636145004</v>
      </c>
      <c r="F488" s="82" t="s">
        <v>811</v>
      </c>
      <c r="G488" s="82" t="b">
        <v>0</v>
      </c>
      <c r="H488" s="82" t="b">
        <v>0</v>
      </c>
      <c r="I488" s="82" t="b">
        <v>0</v>
      </c>
      <c r="J488" s="82" t="b">
        <v>0</v>
      </c>
      <c r="K488" s="82" t="b">
        <v>0</v>
      </c>
      <c r="L488" s="82" t="b">
        <v>0</v>
      </c>
    </row>
    <row r="489" spans="1:12" ht="15">
      <c r="A489" s="84" t="s">
        <v>952</v>
      </c>
      <c r="B489" s="103" t="s">
        <v>953</v>
      </c>
      <c r="C489" s="82">
        <v>3</v>
      </c>
      <c r="D489" s="105">
        <v>0.01787718580204967</v>
      </c>
      <c r="E489" s="105">
        <v>1.8731267636145004</v>
      </c>
      <c r="F489" s="82" t="s">
        <v>811</v>
      </c>
      <c r="G489" s="82" t="b">
        <v>0</v>
      </c>
      <c r="H489" s="82" t="b">
        <v>0</v>
      </c>
      <c r="I489" s="82" t="b">
        <v>0</v>
      </c>
      <c r="J489" s="82" t="b">
        <v>0</v>
      </c>
      <c r="K489" s="82" t="b">
        <v>0</v>
      </c>
      <c r="L489" s="82" t="b">
        <v>0</v>
      </c>
    </row>
    <row r="490" spans="1:12" ht="15">
      <c r="A490" s="84" t="s">
        <v>953</v>
      </c>
      <c r="B490" s="103" t="s">
        <v>954</v>
      </c>
      <c r="C490" s="82">
        <v>3</v>
      </c>
      <c r="D490" s="105">
        <v>0.01787718580204967</v>
      </c>
      <c r="E490" s="105">
        <v>1.8731267636145004</v>
      </c>
      <c r="F490" s="82" t="s">
        <v>811</v>
      </c>
      <c r="G490" s="82" t="b">
        <v>0</v>
      </c>
      <c r="H490" s="82" t="b">
        <v>0</v>
      </c>
      <c r="I490" s="82" t="b">
        <v>0</v>
      </c>
      <c r="J490" s="82" t="b">
        <v>0</v>
      </c>
      <c r="K490" s="82" t="b">
        <v>0</v>
      </c>
      <c r="L490" s="82" t="b">
        <v>0</v>
      </c>
    </row>
    <row r="491" spans="1:12" ht="15">
      <c r="A491" s="84" t="s">
        <v>954</v>
      </c>
      <c r="B491" s="103" t="s">
        <v>955</v>
      </c>
      <c r="C491" s="82">
        <v>3</v>
      </c>
      <c r="D491" s="105">
        <v>0.01787718580204967</v>
      </c>
      <c r="E491" s="105">
        <v>1.8731267636145004</v>
      </c>
      <c r="F491" s="82" t="s">
        <v>811</v>
      </c>
      <c r="G491" s="82" t="b">
        <v>0</v>
      </c>
      <c r="H491" s="82" t="b">
        <v>0</v>
      </c>
      <c r="I491" s="82" t="b">
        <v>0</v>
      </c>
      <c r="J491" s="82" t="b">
        <v>0</v>
      </c>
      <c r="K491" s="82" t="b">
        <v>0</v>
      </c>
      <c r="L491" s="82" t="b">
        <v>0</v>
      </c>
    </row>
    <row r="492" spans="1:12" ht="15">
      <c r="A492" s="84" t="s">
        <v>956</v>
      </c>
      <c r="B492" s="103" t="s">
        <v>957</v>
      </c>
      <c r="C492" s="82">
        <v>3</v>
      </c>
      <c r="D492" s="105">
        <v>0.01787718580204967</v>
      </c>
      <c r="E492" s="105">
        <v>1.8731267636145004</v>
      </c>
      <c r="F492" s="82" t="s">
        <v>811</v>
      </c>
      <c r="G492" s="82" t="b">
        <v>0</v>
      </c>
      <c r="H492" s="82" t="b">
        <v>0</v>
      </c>
      <c r="I492" s="82" t="b">
        <v>0</v>
      </c>
      <c r="J492" s="82" t="b">
        <v>0</v>
      </c>
      <c r="K492" s="82" t="b">
        <v>0</v>
      </c>
      <c r="L492" s="82" t="b">
        <v>0</v>
      </c>
    </row>
    <row r="493" spans="1:12" ht="15">
      <c r="A493" s="84" t="s">
        <v>957</v>
      </c>
      <c r="B493" s="103" t="s">
        <v>958</v>
      </c>
      <c r="C493" s="82">
        <v>3</v>
      </c>
      <c r="D493" s="105">
        <v>0.01787718580204967</v>
      </c>
      <c r="E493" s="105">
        <v>1.8731267636145004</v>
      </c>
      <c r="F493" s="82" t="s">
        <v>811</v>
      </c>
      <c r="G493" s="82" t="b">
        <v>0</v>
      </c>
      <c r="H493" s="82" t="b">
        <v>0</v>
      </c>
      <c r="I493" s="82" t="b">
        <v>0</v>
      </c>
      <c r="J493" s="82" t="b">
        <v>0</v>
      </c>
      <c r="K493" s="82" t="b">
        <v>0</v>
      </c>
      <c r="L493" s="82" t="b">
        <v>0</v>
      </c>
    </row>
    <row r="494" spans="1:12" ht="15">
      <c r="A494" s="84" t="s">
        <v>893</v>
      </c>
      <c r="B494" s="103" t="s">
        <v>865</v>
      </c>
      <c r="C494" s="82">
        <v>3</v>
      </c>
      <c r="D494" s="105">
        <v>0.014363216981069345</v>
      </c>
      <c r="E494" s="105">
        <v>1.8731267636145004</v>
      </c>
      <c r="F494" s="82" t="s">
        <v>811</v>
      </c>
      <c r="G494" s="82" t="b">
        <v>0</v>
      </c>
      <c r="H494" s="82" t="b">
        <v>0</v>
      </c>
      <c r="I494" s="82" t="b">
        <v>0</v>
      </c>
      <c r="J494" s="82" t="b">
        <v>0</v>
      </c>
      <c r="K494" s="82" t="b">
        <v>0</v>
      </c>
      <c r="L494" s="82" t="b">
        <v>0</v>
      </c>
    </row>
    <row r="495" spans="1:12" ht="15">
      <c r="A495" s="84" t="s">
        <v>865</v>
      </c>
      <c r="B495" s="103" t="s">
        <v>894</v>
      </c>
      <c r="C495" s="82">
        <v>3</v>
      </c>
      <c r="D495" s="105">
        <v>0.014363216981069345</v>
      </c>
      <c r="E495" s="105">
        <v>1.8731267636145004</v>
      </c>
      <c r="F495" s="82" t="s">
        <v>811</v>
      </c>
      <c r="G495" s="82" t="b">
        <v>0</v>
      </c>
      <c r="H495" s="82" t="b">
        <v>0</v>
      </c>
      <c r="I495" s="82" t="b">
        <v>0</v>
      </c>
      <c r="J495" s="82" t="b">
        <v>0</v>
      </c>
      <c r="K495" s="82" t="b">
        <v>0</v>
      </c>
      <c r="L495" s="82" t="b">
        <v>0</v>
      </c>
    </row>
    <row r="496" spans="1:12" ht="15">
      <c r="A496" s="84" t="s">
        <v>844</v>
      </c>
      <c r="B496" s="103" t="s">
        <v>1020</v>
      </c>
      <c r="C496" s="82">
        <v>2</v>
      </c>
      <c r="D496" s="105">
        <v>0.009575477987379564</v>
      </c>
      <c r="E496" s="105">
        <v>1.236304666027326</v>
      </c>
      <c r="F496" s="82" t="s">
        <v>811</v>
      </c>
      <c r="G496" s="82" t="b">
        <v>0</v>
      </c>
      <c r="H496" s="82" t="b">
        <v>0</v>
      </c>
      <c r="I496" s="82" t="b">
        <v>0</v>
      </c>
      <c r="J496" s="82" t="b">
        <v>0</v>
      </c>
      <c r="K496" s="82" t="b">
        <v>0</v>
      </c>
      <c r="L496" s="82" t="b">
        <v>0</v>
      </c>
    </row>
    <row r="497" spans="1:12" ht="15">
      <c r="A497" s="84" t="s">
        <v>946</v>
      </c>
      <c r="B497" s="103" t="s">
        <v>947</v>
      </c>
      <c r="C497" s="82">
        <v>2</v>
      </c>
      <c r="D497" s="105">
        <v>0.009575477987379564</v>
      </c>
      <c r="E497" s="105">
        <v>2.0492180226701815</v>
      </c>
      <c r="F497" s="82" t="s">
        <v>811</v>
      </c>
      <c r="G497" s="82" t="b">
        <v>0</v>
      </c>
      <c r="H497" s="82" t="b">
        <v>0</v>
      </c>
      <c r="I497" s="82" t="b">
        <v>0</v>
      </c>
      <c r="J497" s="82" t="b">
        <v>0</v>
      </c>
      <c r="K497" s="82" t="b">
        <v>0</v>
      </c>
      <c r="L497" s="82" t="b">
        <v>0</v>
      </c>
    </row>
    <row r="498" spans="1:12" ht="15">
      <c r="A498" s="84" t="s">
        <v>947</v>
      </c>
      <c r="B498" s="103" t="s">
        <v>844</v>
      </c>
      <c r="C498" s="82">
        <v>2</v>
      </c>
      <c r="D498" s="105">
        <v>0.009575477987379564</v>
      </c>
      <c r="E498" s="105">
        <v>1.396005508894838</v>
      </c>
      <c r="F498" s="82" t="s">
        <v>811</v>
      </c>
      <c r="G498" s="82" t="b">
        <v>0</v>
      </c>
      <c r="H498" s="82" t="b">
        <v>0</v>
      </c>
      <c r="I498" s="82" t="b">
        <v>0</v>
      </c>
      <c r="J498" s="82" t="b">
        <v>0</v>
      </c>
      <c r="K498" s="82" t="b">
        <v>0</v>
      </c>
      <c r="L498" s="82" t="b">
        <v>0</v>
      </c>
    </row>
    <row r="499" spans="1:12" ht="15">
      <c r="A499" s="84" t="s">
        <v>885</v>
      </c>
      <c r="B499" s="103" t="s">
        <v>844</v>
      </c>
      <c r="C499" s="82">
        <v>2</v>
      </c>
      <c r="D499" s="105">
        <v>0.009575477987379564</v>
      </c>
      <c r="E499" s="105">
        <v>1.396005508894838</v>
      </c>
      <c r="F499" s="82" t="s">
        <v>811</v>
      </c>
      <c r="G499" s="82" t="b">
        <v>0</v>
      </c>
      <c r="H499" s="82" t="b">
        <v>0</v>
      </c>
      <c r="I499" s="82" t="b">
        <v>0</v>
      </c>
      <c r="J499" s="82" t="b">
        <v>0</v>
      </c>
      <c r="K499" s="82" t="b">
        <v>0</v>
      </c>
      <c r="L499" s="82" t="b">
        <v>0</v>
      </c>
    </row>
    <row r="500" spans="1:12" ht="15">
      <c r="A500" s="84" t="s">
        <v>955</v>
      </c>
      <c r="B500" s="103" t="s">
        <v>948</v>
      </c>
      <c r="C500" s="82">
        <v>2</v>
      </c>
      <c r="D500" s="105">
        <v>0.011918123868033113</v>
      </c>
      <c r="E500" s="105">
        <v>1.6970355045588192</v>
      </c>
      <c r="F500" s="82" t="s">
        <v>811</v>
      </c>
      <c r="G500" s="82" t="b">
        <v>0</v>
      </c>
      <c r="H500" s="82" t="b">
        <v>0</v>
      </c>
      <c r="I500" s="82" t="b">
        <v>0</v>
      </c>
      <c r="J500" s="82" t="b">
        <v>0</v>
      </c>
      <c r="K500" s="82" t="b">
        <v>0</v>
      </c>
      <c r="L500" s="82" t="b">
        <v>0</v>
      </c>
    </row>
    <row r="501" spans="1:12" ht="15">
      <c r="A501" s="84" t="s">
        <v>958</v>
      </c>
      <c r="B501" s="103" t="s">
        <v>1023</v>
      </c>
      <c r="C501" s="82">
        <v>2</v>
      </c>
      <c r="D501" s="105">
        <v>0.011918123868033113</v>
      </c>
      <c r="E501" s="105">
        <v>1.8731267636145004</v>
      </c>
      <c r="F501" s="82" t="s">
        <v>811</v>
      </c>
      <c r="G501" s="82" t="b">
        <v>0</v>
      </c>
      <c r="H501" s="82" t="b">
        <v>0</v>
      </c>
      <c r="I501" s="82" t="b">
        <v>0</v>
      </c>
      <c r="J501" s="82" t="b">
        <v>0</v>
      </c>
      <c r="K501" s="82" t="b">
        <v>0</v>
      </c>
      <c r="L501" s="82" t="b">
        <v>0</v>
      </c>
    </row>
    <row r="502" spans="1:12" ht="15">
      <c r="A502" s="84" t="s">
        <v>1023</v>
      </c>
      <c r="B502" s="103" t="s">
        <v>956</v>
      </c>
      <c r="C502" s="82">
        <v>2</v>
      </c>
      <c r="D502" s="105">
        <v>0.011918123868033113</v>
      </c>
      <c r="E502" s="105">
        <v>2.0492180226701815</v>
      </c>
      <c r="F502" s="82" t="s">
        <v>811</v>
      </c>
      <c r="G502" s="82" t="b">
        <v>0</v>
      </c>
      <c r="H502" s="82" t="b">
        <v>0</v>
      </c>
      <c r="I502" s="82" t="b">
        <v>0</v>
      </c>
      <c r="J502" s="82" t="b">
        <v>0</v>
      </c>
      <c r="K502" s="82" t="b">
        <v>0</v>
      </c>
      <c r="L502" s="82" t="b">
        <v>0</v>
      </c>
    </row>
    <row r="503" spans="1:12" ht="15">
      <c r="A503" s="84" t="s">
        <v>894</v>
      </c>
      <c r="B503" s="103" t="s">
        <v>844</v>
      </c>
      <c r="C503" s="82">
        <v>2</v>
      </c>
      <c r="D503" s="105">
        <v>0.011918123868033113</v>
      </c>
      <c r="E503" s="105">
        <v>1.2199142498391566</v>
      </c>
      <c r="F503" s="82" t="s">
        <v>811</v>
      </c>
      <c r="G503" s="82" t="b">
        <v>0</v>
      </c>
      <c r="H503" s="82" t="b">
        <v>0</v>
      </c>
      <c r="I503" s="82" t="b">
        <v>0</v>
      </c>
      <c r="J503" s="82" t="b">
        <v>0</v>
      </c>
      <c r="K503" s="82" t="b">
        <v>0</v>
      </c>
      <c r="L503" s="82" t="b">
        <v>0</v>
      </c>
    </row>
    <row r="504" spans="1:12" ht="15">
      <c r="A504" s="84" t="s">
        <v>928</v>
      </c>
      <c r="B504" s="103" t="s">
        <v>929</v>
      </c>
      <c r="C504" s="82">
        <v>4</v>
      </c>
      <c r="D504" s="105">
        <v>0.02620459038803897</v>
      </c>
      <c r="E504" s="105">
        <v>1.4022613824546801</v>
      </c>
      <c r="F504" s="82" t="s">
        <v>812</v>
      </c>
      <c r="G504" s="82" t="b">
        <v>0</v>
      </c>
      <c r="H504" s="82" t="b">
        <v>0</v>
      </c>
      <c r="I504" s="82" t="b">
        <v>0</v>
      </c>
      <c r="J504" s="82" t="b">
        <v>0</v>
      </c>
      <c r="K504" s="82" t="b">
        <v>0</v>
      </c>
      <c r="L504" s="82" t="b">
        <v>0</v>
      </c>
    </row>
    <row r="505" spans="1:12" ht="15">
      <c r="A505" s="84" t="s">
        <v>929</v>
      </c>
      <c r="B505" s="103" t="s">
        <v>898</v>
      </c>
      <c r="C505" s="82">
        <v>4</v>
      </c>
      <c r="D505" s="105">
        <v>0.02620459038803897</v>
      </c>
      <c r="E505" s="105">
        <v>1.3053513694466237</v>
      </c>
      <c r="F505" s="82" t="s">
        <v>812</v>
      </c>
      <c r="G505" s="82" t="b">
        <v>0</v>
      </c>
      <c r="H505" s="82" t="b">
        <v>0</v>
      </c>
      <c r="I505" s="82" t="b">
        <v>0</v>
      </c>
      <c r="J505" s="82" t="b">
        <v>0</v>
      </c>
      <c r="K505" s="82" t="b">
        <v>0</v>
      </c>
      <c r="L505" s="82" t="b">
        <v>0</v>
      </c>
    </row>
    <row r="506" spans="1:12" ht="15">
      <c r="A506" s="84" t="s">
        <v>898</v>
      </c>
      <c r="B506" s="103" t="s">
        <v>843</v>
      </c>
      <c r="C506" s="82">
        <v>4</v>
      </c>
      <c r="D506" s="105">
        <v>0.02620459038803897</v>
      </c>
      <c r="E506" s="105">
        <v>1.1292601103909425</v>
      </c>
      <c r="F506" s="82" t="s">
        <v>812</v>
      </c>
      <c r="G506" s="82" t="b">
        <v>0</v>
      </c>
      <c r="H506" s="82" t="b">
        <v>0</v>
      </c>
      <c r="I506" s="82" t="b">
        <v>0</v>
      </c>
      <c r="J506" s="82" t="b">
        <v>0</v>
      </c>
      <c r="K506" s="82" t="b">
        <v>0</v>
      </c>
      <c r="L506" s="82" t="b">
        <v>0</v>
      </c>
    </row>
    <row r="507" spans="1:12" ht="15">
      <c r="A507" s="84" t="s">
        <v>976</v>
      </c>
      <c r="B507" s="103" t="s">
        <v>977</v>
      </c>
      <c r="C507" s="82">
        <v>3</v>
      </c>
      <c r="D507" s="105">
        <v>0.02255899480517574</v>
      </c>
      <c r="E507" s="105">
        <v>1.5272001190629803</v>
      </c>
      <c r="F507" s="82" t="s">
        <v>812</v>
      </c>
      <c r="G507" s="82" t="b">
        <v>0</v>
      </c>
      <c r="H507" s="82" t="b">
        <v>0</v>
      </c>
      <c r="I507" s="82" t="b">
        <v>0</v>
      </c>
      <c r="J507" s="82" t="b">
        <v>0</v>
      </c>
      <c r="K507" s="82" t="b">
        <v>0</v>
      </c>
      <c r="L507" s="82" t="b">
        <v>0</v>
      </c>
    </row>
    <row r="508" spans="1:12" ht="15">
      <c r="A508" s="84" t="s">
        <v>897</v>
      </c>
      <c r="B508" s="103" t="s">
        <v>918</v>
      </c>
      <c r="C508" s="82">
        <v>3</v>
      </c>
      <c r="D508" s="105">
        <v>0.02255899480517574</v>
      </c>
      <c r="E508" s="105">
        <v>1.3053513694466237</v>
      </c>
      <c r="F508" s="82" t="s">
        <v>812</v>
      </c>
      <c r="G508" s="82" t="b">
        <v>0</v>
      </c>
      <c r="H508" s="82" t="b">
        <v>0</v>
      </c>
      <c r="I508" s="82" t="b">
        <v>0</v>
      </c>
      <c r="J508" s="82" t="b">
        <v>0</v>
      </c>
      <c r="K508" s="82" t="b">
        <v>0</v>
      </c>
      <c r="L508" s="82" t="b">
        <v>0</v>
      </c>
    </row>
    <row r="509" spans="1:12" ht="15">
      <c r="A509" s="84" t="s">
        <v>918</v>
      </c>
      <c r="B509" s="103" t="s">
        <v>978</v>
      </c>
      <c r="C509" s="82">
        <v>3</v>
      </c>
      <c r="D509" s="105">
        <v>0.02255899480517574</v>
      </c>
      <c r="E509" s="105">
        <v>1.5272001190629803</v>
      </c>
      <c r="F509" s="82" t="s">
        <v>812</v>
      </c>
      <c r="G509" s="82" t="b">
        <v>0</v>
      </c>
      <c r="H509" s="82" t="b">
        <v>0</v>
      </c>
      <c r="I509" s="82" t="b">
        <v>0</v>
      </c>
      <c r="J509" s="82" t="b">
        <v>0</v>
      </c>
      <c r="K509" s="82" t="b">
        <v>0</v>
      </c>
      <c r="L509" s="82" t="b">
        <v>0</v>
      </c>
    </row>
    <row r="510" spans="1:12" ht="15">
      <c r="A510" s="84" t="s">
        <v>980</v>
      </c>
      <c r="B510" s="103" t="s">
        <v>891</v>
      </c>
      <c r="C510" s="82">
        <v>3</v>
      </c>
      <c r="D510" s="105">
        <v>0.03365483793819114</v>
      </c>
      <c r="E510" s="105">
        <v>1.5272001190629803</v>
      </c>
      <c r="F510" s="82" t="s">
        <v>812</v>
      </c>
      <c r="G510" s="82" t="b">
        <v>0</v>
      </c>
      <c r="H510" s="82" t="b">
        <v>0</v>
      </c>
      <c r="I510" s="82" t="b">
        <v>0</v>
      </c>
      <c r="J510" s="82" t="b">
        <v>0</v>
      </c>
      <c r="K510" s="82" t="b">
        <v>0</v>
      </c>
      <c r="L510" s="82" t="b">
        <v>0</v>
      </c>
    </row>
    <row r="511" spans="1:12" ht="15">
      <c r="A511" s="84" t="s">
        <v>891</v>
      </c>
      <c r="B511" s="103" t="s">
        <v>981</v>
      </c>
      <c r="C511" s="82">
        <v>3</v>
      </c>
      <c r="D511" s="105">
        <v>0.03365483793819114</v>
      </c>
      <c r="E511" s="105">
        <v>1.5272001190629803</v>
      </c>
      <c r="F511" s="82" t="s">
        <v>812</v>
      </c>
      <c r="G511" s="82" t="b">
        <v>0</v>
      </c>
      <c r="H511" s="82" t="b">
        <v>0</v>
      </c>
      <c r="I511" s="82" t="b">
        <v>0</v>
      </c>
      <c r="J511" s="82" t="b">
        <v>0</v>
      </c>
      <c r="K511" s="82" t="b">
        <v>0</v>
      </c>
      <c r="L511" s="82" t="b">
        <v>0</v>
      </c>
    </row>
    <row r="512" spans="1:12" ht="15">
      <c r="A512" s="84" t="s">
        <v>1084</v>
      </c>
      <c r="B512" s="103" t="s">
        <v>1085</v>
      </c>
      <c r="C512" s="82">
        <v>2</v>
      </c>
      <c r="D512" s="105">
        <v>0.01776942690974012</v>
      </c>
      <c r="E512" s="105">
        <v>1.7032913781186614</v>
      </c>
      <c r="F512" s="82" t="s">
        <v>812</v>
      </c>
      <c r="G512" s="82" t="b">
        <v>0</v>
      </c>
      <c r="H512" s="82" t="b">
        <v>0</v>
      </c>
      <c r="I512" s="82" t="b">
        <v>0</v>
      </c>
      <c r="J512" s="82" t="b">
        <v>0</v>
      </c>
      <c r="K512" s="82" t="b">
        <v>0</v>
      </c>
      <c r="L512" s="82" t="b">
        <v>0</v>
      </c>
    </row>
    <row r="513" spans="1:12" ht="15">
      <c r="A513" s="84" t="s">
        <v>1085</v>
      </c>
      <c r="B513" s="103" t="s">
        <v>897</v>
      </c>
      <c r="C513" s="82">
        <v>2</v>
      </c>
      <c r="D513" s="105">
        <v>0.01776942690974012</v>
      </c>
      <c r="E513" s="105">
        <v>1.3053513694466237</v>
      </c>
      <c r="F513" s="82" t="s">
        <v>812</v>
      </c>
      <c r="G513" s="82" t="b">
        <v>0</v>
      </c>
      <c r="H513" s="82" t="b">
        <v>0</v>
      </c>
      <c r="I513" s="82" t="b">
        <v>0</v>
      </c>
      <c r="J513" s="82" t="b">
        <v>0</v>
      </c>
      <c r="K513" s="82" t="b">
        <v>0</v>
      </c>
      <c r="L513" s="82" t="b">
        <v>0</v>
      </c>
    </row>
    <row r="514" spans="1:12" ht="15">
      <c r="A514" s="84" t="s">
        <v>897</v>
      </c>
      <c r="B514" s="103" t="s">
        <v>1086</v>
      </c>
      <c r="C514" s="82">
        <v>2</v>
      </c>
      <c r="D514" s="105">
        <v>0.01776942690974012</v>
      </c>
      <c r="E514" s="105">
        <v>1.3053513694466237</v>
      </c>
      <c r="F514" s="82" t="s">
        <v>812</v>
      </c>
      <c r="G514" s="82" t="b">
        <v>0</v>
      </c>
      <c r="H514" s="82" t="b">
        <v>0</v>
      </c>
      <c r="I514" s="82" t="b">
        <v>0</v>
      </c>
      <c r="J514" s="82" t="b">
        <v>0</v>
      </c>
      <c r="K514" s="82" t="b">
        <v>0</v>
      </c>
      <c r="L514" s="82" t="b">
        <v>0</v>
      </c>
    </row>
    <row r="515" spans="1:12" ht="15">
      <c r="A515" s="84" t="s">
        <v>1086</v>
      </c>
      <c r="B515" s="103" t="s">
        <v>1087</v>
      </c>
      <c r="C515" s="82">
        <v>2</v>
      </c>
      <c r="D515" s="105">
        <v>0.01776942690974012</v>
      </c>
      <c r="E515" s="105">
        <v>1.7032913781186614</v>
      </c>
      <c r="F515" s="82" t="s">
        <v>812</v>
      </c>
      <c r="G515" s="82" t="b">
        <v>0</v>
      </c>
      <c r="H515" s="82" t="b">
        <v>0</v>
      </c>
      <c r="I515" s="82" t="b">
        <v>0</v>
      </c>
      <c r="J515" s="82" t="b">
        <v>0</v>
      </c>
      <c r="K515" s="82" t="b">
        <v>0</v>
      </c>
      <c r="L515" s="82" t="b">
        <v>0</v>
      </c>
    </row>
    <row r="516" spans="1:12" ht="15">
      <c r="A516" s="84" t="s">
        <v>977</v>
      </c>
      <c r="B516" s="103" t="s">
        <v>1088</v>
      </c>
      <c r="C516" s="82">
        <v>2</v>
      </c>
      <c r="D516" s="105">
        <v>0.01776942690974012</v>
      </c>
      <c r="E516" s="105">
        <v>1.52720011906298</v>
      </c>
      <c r="F516" s="82" t="s">
        <v>812</v>
      </c>
      <c r="G516" s="82" t="b">
        <v>0</v>
      </c>
      <c r="H516" s="82" t="b">
        <v>0</v>
      </c>
      <c r="I516" s="82" t="b">
        <v>0</v>
      </c>
      <c r="J516" s="82" t="b">
        <v>0</v>
      </c>
      <c r="K516" s="82" t="b">
        <v>0</v>
      </c>
      <c r="L516" s="82" t="b">
        <v>0</v>
      </c>
    </row>
    <row r="517" spans="1:12" ht="15">
      <c r="A517" s="84" t="s">
        <v>1088</v>
      </c>
      <c r="B517" s="103" t="s">
        <v>897</v>
      </c>
      <c r="C517" s="82">
        <v>2</v>
      </c>
      <c r="D517" s="105">
        <v>0.01776942690974012</v>
      </c>
      <c r="E517" s="105">
        <v>1.3053513694466237</v>
      </c>
      <c r="F517" s="82" t="s">
        <v>812</v>
      </c>
      <c r="G517" s="82" t="b">
        <v>0</v>
      </c>
      <c r="H517" s="82" t="b">
        <v>0</v>
      </c>
      <c r="I517" s="82" t="b">
        <v>0</v>
      </c>
      <c r="J517" s="82" t="b">
        <v>0</v>
      </c>
      <c r="K517" s="82" t="b">
        <v>0</v>
      </c>
      <c r="L517" s="82" t="b">
        <v>0</v>
      </c>
    </row>
    <row r="518" spans="1:12" ht="15">
      <c r="A518" s="84" t="s">
        <v>978</v>
      </c>
      <c r="B518" s="103" t="s">
        <v>1089</v>
      </c>
      <c r="C518" s="82">
        <v>2</v>
      </c>
      <c r="D518" s="105">
        <v>0.01776942690974012</v>
      </c>
      <c r="E518" s="105">
        <v>1.52720011906298</v>
      </c>
      <c r="F518" s="82" t="s">
        <v>812</v>
      </c>
      <c r="G518" s="82" t="b">
        <v>0</v>
      </c>
      <c r="H518" s="82" t="b">
        <v>0</v>
      </c>
      <c r="I518" s="82" t="b">
        <v>0</v>
      </c>
      <c r="J518" s="82" t="b">
        <v>0</v>
      </c>
      <c r="K518" s="82" t="b">
        <v>0</v>
      </c>
      <c r="L518" s="82" t="b">
        <v>0</v>
      </c>
    </row>
    <row r="519" spans="1:12" ht="15">
      <c r="A519" s="84" t="s">
        <v>844</v>
      </c>
      <c r="B519" s="103" t="s">
        <v>843</v>
      </c>
      <c r="C519" s="82">
        <v>2</v>
      </c>
      <c r="D519" s="105">
        <v>0.01776942690974012</v>
      </c>
      <c r="E519" s="105">
        <v>1.226170123398999</v>
      </c>
      <c r="F519" s="82" t="s">
        <v>812</v>
      </c>
      <c r="G519" s="82" t="b">
        <v>0</v>
      </c>
      <c r="H519" s="82" t="b">
        <v>0</v>
      </c>
      <c r="I519" s="82" t="b">
        <v>0</v>
      </c>
      <c r="J519" s="82" t="b">
        <v>0</v>
      </c>
      <c r="K519" s="82" t="b">
        <v>0</v>
      </c>
      <c r="L519" s="82" t="b">
        <v>0</v>
      </c>
    </row>
    <row r="520" spans="1:12" ht="15">
      <c r="A520" s="84" t="s">
        <v>930</v>
      </c>
      <c r="B520" s="103" t="s">
        <v>1093</v>
      </c>
      <c r="C520" s="82">
        <v>2</v>
      </c>
      <c r="D520" s="105">
        <v>0.01776942690974012</v>
      </c>
      <c r="E520" s="105">
        <v>1.7032913781186614</v>
      </c>
      <c r="F520" s="82" t="s">
        <v>812</v>
      </c>
      <c r="G520" s="82" t="b">
        <v>0</v>
      </c>
      <c r="H520" s="82" t="b">
        <v>0</v>
      </c>
      <c r="I520" s="82" t="b">
        <v>0</v>
      </c>
      <c r="J520" s="82" t="b">
        <v>0</v>
      </c>
      <c r="K520" s="82" t="b">
        <v>0</v>
      </c>
      <c r="L520" s="82" t="b">
        <v>0</v>
      </c>
    </row>
    <row r="521" spans="1:12" ht="15">
      <c r="A521" s="84" t="s">
        <v>1093</v>
      </c>
      <c r="B521" s="103" t="s">
        <v>856</v>
      </c>
      <c r="C521" s="82">
        <v>2</v>
      </c>
      <c r="D521" s="105">
        <v>0.01776942690974012</v>
      </c>
      <c r="E521" s="105">
        <v>1.52720011906298</v>
      </c>
      <c r="F521" s="82" t="s">
        <v>812</v>
      </c>
      <c r="G521" s="82" t="b">
        <v>0</v>
      </c>
      <c r="H521" s="82" t="b">
        <v>0</v>
      </c>
      <c r="I521" s="82" t="b">
        <v>0</v>
      </c>
      <c r="J521" s="82" t="b">
        <v>0</v>
      </c>
      <c r="K521" s="82" t="b">
        <v>0</v>
      </c>
      <c r="L521" s="82" t="b">
        <v>0</v>
      </c>
    </row>
    <row r="522" spans="1:12" ht="15">
      <c r="A522" s="84" t="s">
        <v>856</v>
      </c>
      <c r="B522" s="103" t="s">
        <v>1094</v>
      </c>
      <c r="C522" s="82">
        <v>2</v>
      </c>
      <c r="D522" s="105">
        <v>0.01776942690974012</v>
      </c>
      <c r="E522" s="105">
        <v>1.52720011906298</v>
      </c>
      <c r="F522" s="82" t="s">
        <v>812</v>
      </c>
      <c r="G522" s="82" t="b">
        <v>0</v>
      </c>
      <c r="H522" s="82" t="b">
        <v>0</v>
      </c>
      <c r="I522" s="82" t="b">
        <v>0</v>
      </c>
      <c r="J522" s="82" t="b">
        <v>0</v>
      </c>
      <c r="K522" s="82" t="b">
        <v>0</v>
      </c>
      <c r="L522" s="82" t="b">
        <v>0</v>
      </c>
    </row>
    <row r="523" spans="1:12" ht="15">
      <c r="A523" s="84" t="s">
        <v>1094</v>
      </c>
      <c r="B523" s="103" t="s">
        <v>1095</v>
      </c>
      <c r="C523" s="82">
        <v>2</v>
      </c>
      <c r="D523" s="105">
        <v>0.01776942690974012</v>
      </c>
      <c r="E523" s="105">
        <v>1.7032913781186614</v>
      </c>
      <c r="F523" s="82" t="s">
        <v>812</v>
      </c>
      <c r="G523" s="82" t="b">
        <v>0</v>
      </c>
      <c r="H523" s="82" t="b">
        <v>0</v>
      </c>
      <c r="I523" s="82" t="b">
        <v>0</v>
      </c>
      <c r="J523" s="82" t="b">
        <v>0</v>
      </c>
      <c r="K523" s="82" t="b">
        <v>0</v>
      </c>
      <c r="L523" s="82" t="b">
        <v>0</v>
      </c>
    </row>
    <row r="524" spans="1:12" ht="15">
      <c r="A524" s="84" t="s">
        <v>1095</v>
      </c>
      <c r="B524" s="103" t="s">
        <v>1096</v>
      </c>
      <c r="C524" s="82">
        <v>2</v>
      </c>
      <c r="D524" s="105">
        <v>0.01776942690974012</v>
      </c>
      <c r="E524" s="105">
        <v>1.7032913781186614</v>
      </c>
      <c r="F524" s="82" t="s">
        <v>812</v>
      </c>
      <c r="G524" s="82" t="b">
        <v>0</v>
      </c>
      <c r="H524" s="82" t="b">
        <v>0</v>
      </c>
      <c r="I524" s="82" t="b">
        <v>0</v>
      </c>
      <c r="J524" s="82" t="b">
        <v>0</v>
      </c>
      <c r="K524" s="82" t="b">
        <v>0</v>
      </c>
      <c r="L524" s="82" t="b">
        <v>0</v>
      </c>
    </row>
    <row r="525" spans="1:12" ht="15">
      <c r="A525" s="84" t="s">
        <v>1097</v>
      </c>
      <c r="B525" s="103" t="s">
        <v>1098</v>
      </c>
      <c r="C525" s="82">
        <v>2</v>
      </c>
      <c r="D525" s="105">
        <v>0.022436558625460762</v>
      </c>
      <c r="E525" s="105">
        <v>1.7032913781186614</v>
      </c>
      <c r="F525" s="82" t="s">
        <v>812</v>
      </c>
      <c r="G525" s="82" t="b">
        <v>0</v>
      </c>
      <c r="H525" s="82" t="b">
        <v>0</v>
      </c>
      <c r="I525" s="82" t="b">
        <v>0</v>
      </c>
      <c r="J525" s="82" t="b">
        <v>0</v>
      </c>
      <c r="K525" s="82" t="b">
        <v>0</v>
      </c>
      <c r="L525" s="82" t="b">
        <v>0</v>
      </c>
    </row>
    <row r="526" spans="1:12" ht="15">
      <c r="A526" s="84" t="s">
        <v>981</v>
      </c>
      <c r="B526" s="103" t="s">
        <v>980</v>
      </c>
      <c r="C526" s="82">
        <v>2</v>
      </c>
      <c r="D526" s="105">
        <v>0.022436558625460762</v>
      </c>
      <c r="E526" s="105">
        <v>1.351108860007299</v>
      </c>
      <c r="F526" s="82" t="s">
        <v>812</v>
      </c>
      <c r="G526" s="82" t="b">
        <v>0</v>
      </c>
      <c r="H526" s="82" t="b">
        <v>0</v>
      </c>
      <c r="I526" s="82" t="b">
        <v>0</v>
      </c>
      <c r="J526" s="82" t="b">
        <v>0</v>
      </c>
      <c r="K526" s="82" t="b">
        <v>0</v>
      </c>
      <c r="L526" s="82" t="b">
        <v>0</v>
      </c>
    </row>
    <row r="527" spans="1:12" ht="15">
      <c r="A527" s="84" t="s">
        <v>920</v>
      </c>
      <c r="B527" s="103" t="s">
        <v>852</v>
      </c>
      <c r="C527" s="82">
        <v>4</v>
      </c>
      <c r="D527" s="105">
        <v>0.02620459038803897</v>
      </c>
      <c r="E527" s="105">
        <v>1.101231386790699</v>
      </c>
      <c r="F527" s="82" t="s">
        <v>813</v>
      </c>
      <c r="G527" s="82" t="b">
        <v>0</v>
      </c>
      <c r="H527" s="82" t="b">
        <v>0</v>
      </c>
      <c r="I527" s="82" t="b">
        <v>0</v>
      </c>
      <c r="J527" s="82" t="b">
        <v>0</v>
      </c>
      <c r="K527" s="82" t="b">
        <v>0</v>
      </c>
      <c r="L527" s="82" t="b">
        <v>0</v>
      </c>
    </row>
    <row r="528" spans="1:12" ht="15">
      <c r="A528" s="84" t="s">
        <v>852</v>
      </c>
      <c r="B528" s="103" t="s">
        <v>921</v>
      </c>
      <c r="C528" s="82">
        <v>4</v>
      </c>
      <c r="D528" s="105">
        <v>0.02620459038803897</v>
      </c>
      <c r="E528" s="105">
        <v>1.101231386790699</v>
      </c>
      <c r="F528" s="82" t="s">
        <v>813</v>
      </c>
      <c r="G528" s="82" t="b">
        <v>0</v>
      </c>
      <c r="H528" s="82" t="b">
        <v>0</v>
      </c>
      <c r="I528" s="82" t="b">
        <v>0</v>
      </c>
      <c r="J528" s="82" t="b">
        <v>0</v>
      </c>
      <c r="K528" s="82" t="b">
        <v>0</v>
      </c>
      <c r="L528" s="82" t="b">
        <v>0</v>
      </c>
    </row>
    <row r="529" spans="1:12" ht="15">
      <c r="A529" s="84" t="s">
        <v>921</v>
      </c>
      <c r="B529" s="103" t="s">
        <v>922</v>
      </c>
      <c r="C529" s="82">
        <v>4</v>
      </c>
      <c r="D529" s="105">
        <v>0.02620459038803897</v>
      </c>
      <c r="E529" s="105">
        <v>1.4022613824546801</v>
      </c>
      <c r="F529" s="82" t="s">
        <v>813</v>
      </c>
      <c r="G529" s="82" t="b">
        <v>0</v>
      </c>
      <c r="H529" s="82" t="b">
        <v>0</v>
      </c>
      <c r="I529" s="82" t="b">
        <v>0</v>
      </c>
      <c r="J529" s="82" t="b">
        <v>0</v>
      </c>
      <c r="K529" s="82" t="b">
        <v>0</v>
      </c>
      <c r="L529" s="82" t="b">
        <v>0</v>
      </c>
    </row>
    <row r="530" spans="1:12" ht="15">
      <c r="A530" s="84" t="s">
        <v>922</v>
      </c>
      <c r="B530" s="103" t="s">
        <v>852</v>
      </c>
      <c r="C530" s="82">
        <v>4</v>
      </c>
      <c r="D530" s="105">
        <v>0.02620459038803897</v>
      </c>
      <c r="E530" s="105">
        <v>1.101231386790699</v>
      </c>
      <c r="F530" s="82" t="s">
        <v>813</v>
      </c>
      <c r="G530" s="82" t="b">
        <v>0</v>
      </c>
      <c r="H530" s="82" t="b">
        <v>0</v>
      </c>
      <c r="I530" s="82" t="b">
        <v>0</v>
      </c>
      <c r="J530" s="82" t="b">
        <v>0</v>
      </c>
      <c r="K530" s="82" t="b">
        <v>0</v>
      </c>
      <c r="L530" s="82" t="b">
        <v>0</v>
      </c>
    </row>
    <row r="531" spans="1:12" ht="15">
      <c r="A531" s="84" t="s">
        <v>852</v>
      </c>
      <c r="B531" s="103" t="s">
        <v>867</v>
      </c>
      <c r="C531" s="82">
        <v>4</v>
      </c>
      <c r="D531" s="105">
        <v>0.02620459038803897</v>
      </c>
      <c r="E531" s="105">
        <v>1.101231386790699</v>
      </c>
      <c r="F531" s="82" t="s">
        <v>813</v>
      </c>
      <c r="G531" s="82" t="b">
        <v>0</v>
      </c>
      <c r="H531" s="82" t="b">
        <v>0</v>
      </c>
      <c r="I531" s="82" t="b">
        <v>0</v>
      </c>
      <c r="J531" s="82" t="b">
        <v>0</v>
      </c>
      <c r="K531" s="82" t="b">
        <v>0</v>
      </c>
      <c r="L531" s="82" t="b">
        <v>0</v>
      </c>
    </row>
    <row r="532" spans="1:12" ht="15">
      <c r="A532" s="84" t="s">
        <v>924</v>
      </c>
      <c r="B532" s="103" t="s">
        <v>925</v>
      </c>
      <c r="C532" s="82">
        <v>4</v>
      </c>
      <c r="D532" s="105">
        <v>0.02620459038803897</v>
      </c>
      <c r="E532" s="105">
        <v>1.4022613824546801</v>
      </c>
      <c r="F532" s="82" t="s">
        <v>813</v>
      </c>
      <c r="G532" s="82" t="b">
        <v>0</v>
      </c>
      <c r="H532" s="82" t="b">
        <v>0</v>
      </c>
      <c r="I532" s="82" t="b">
        <v>0</v>
      </c>
      <c r="J532" s="82" t="b">
        <v>0</v>
      </c>
      <c r="K532" s="82" t="b">
        <v>0</v>
      </c>
      <c r="L532" s="82" t="b">
        <v>0</v>
      </c>
    </row>
    <row r="533" spans="1:12" ht="15">
      <c r="A533" s="84" t="s">
        <v>925</v>
      </c>
      <c r="B533" s="103" t="s">
        <v>851</v>
      </c>
      <c r="C533" s="82">
        <v>4</v>
      </c>
      <c r="D533" s="105">
        <v>0.02620459038803897</v>
      </c>
      <c r="E533" s="105">
        <v>1.0500788643433177</v>
      </c>
      <c r="F533" s="82" t="s">
        <v>813</v>
      </c>
      <c r="G533" s="82" t="b">
        <v>0</v>
      </c>
      <c r="H533" s="82" t="b">
        <v>0</v>
      </c>
      <c r="I533" s="82" t="b">
        <v>0</v>
      </c>
      <c r="J533" s="82" t="b">
        <v>0</v>
      </c>
      <c r="K533" s="82" t="b">
        <v>0</v>
      </c>
      <c r="L533" s="82" t="b">
        <v>0</v>
      </c>
    </row>
    <row r="534" spans="1:12" ht="15">
      <c r="A534" s="84" t="s">
        <v>851</v>
      </c>
      <c r="B534" s="103" t="s">
        <v>926</v>
      </c>
      <c r="C534" s="82">
        <v>4</v>
      </c>
      <c r="D534" s="105">
        <v>0.02620459038803897</v>
      </c>
      <c r="E534" s="105">
        <v>1.0500788643433177</v>
      </c>
      <c r="F534" s="82" t="s">
        <v>813</v>
      </c>
      <c r="G534" s="82" t="b">
        <v>0</v>
      </c>
      <c r="H534" s="82" t="b">
        <v>0</v>
      </c>
      <c r="I534" s="82" t="b">
        <v>0</v>
      </c>
      <c r="J534" s="82" t="b">
        <v>0</v>
      </c>
      <c r="K534" s="82" t="b">
        <v>0</v>
      </c>
      <c r="L534" s="82" t="b">
        <v>0</v>
      </c>
    </row>
    <row r="535" spans="1:12" ht="15">
      <c r="A535" s="84" t="s">
        <v>926</v>
      </c>
      <c r="B535" s="103" t="s">
        <v>927</v>
      </c>
      <c r="C535" s="82">
        <v>4</v>
      </c>
      <c r="D535" s="105">
        <v>0.02620459038803897</v>
      </c>
      <c r="E535" s="105">
        <v>1.4022613824546801</v>
      </c>
      <c r="F535" s="82" t="s">
        <v>813</v>
      </c>
      <c r="G535" s="82" t="b">
        <v>0</v>
      </c>
      <c r="H535" s="82" t="b">
        <v>0</v>
      </c>
      <c r="I535" s="82" t="b">
        <v>0</v>
      </c>
      <c r="J535" s="82" t="b">
        <v>0</v>
      </c>
      <c r="K535" s="82" t="b">
        <v>0</v>
      </c>
      <c r="L535" s="82" t="b">
        <v>0</v>
      </c>
    </row>
    <row r="536" spans="1:12" ht="15">
      <c r="A536" s="84" t="s">
        <v>927</v>
      </c>
      <c r="B536" s="103" t="s">
        <v>861</v>
      </c>
      <c r="C536" s="82">
        <v>4</v>
      </c>
      <c r="D536" s="105">
        <v>0.02620459038803897</v>
      </c>
      <c r="E536" s="105">
        <v>1.4022613824546801</v>
      </c>
      <c r="F536" s="82" t="s">
        <v>813</v>
      </c>
      <c r="G536" s="82" t="b">
        <v>0</v>
      </c>
      <c r="H536" s="82" t="b">
        <v>0</v>
      </c>
      <c r="I536" s="82" t="b">
        <v>0</v>
      </c>
      <c r="J536" s="82" t="b">
        <v>0</v>
      </c>
      <c r="K536" s="82" t="b">
        <v>0</v>
      </c>
      <c r="L536" s="82" t="b">
        <v>0</v>
      </c>
    </row>
    <row r="537" spans="1:12" ht="15">
      <c r="A537" s="84" t="s">
        <v>970</v>
      </c>
      <c r="B537" s="103" t="s">
        <v>971</v>
      </c>
      <c r="C537" s="82">
        <v>3</v>
      </c>
      <c r="D537" s="105">
        <v>0.03365483793819114</v>
      </c>
      <c r="E537" s="105">
        <v>1.5272001190629803</v>
      </c>
      <c r="F537" s="82" t="s">
        <v>813</v>
      </c>
      <c r="G537" s="82" t="b">
        <v>0</v>
      </c>
      <c r="H537" s="82" t="b">
        <v>0</v>
      </c>
      <c r="I537" s="82" t="b">
        <v>0</v>
      </c>
      <c r="J537" s="82" t="b">
        <v>0</v>
      </c>
      <c r="K537" s="82" t="b">
        <v>0</v>
      </c>
      <c r="L537" s="82" t="b">
        <v>0</v>
      </c>
    </row>
    <row r="538" spans="1:12" ht="15">
      <c r="A538" s="84" t="s">
        <v>971</v>
      </c>
      <c r="B538" s="103" t="s">
        <v>972</v>
      </c>
      <c r="C538" s="82">
        <v>3</v>
      </c>
      <c r="D538" s="105">
        <v>0.03365483793819114</v>
      </c>
      <c r="E538" s="105">
        <v>1.5272001190629803</v>
      </c>
      <c r="F538" s="82" t="s">
        <v>813</v>
      </c>
      <c r="G538" s="82" t="b">
        <v>0</v>
      </c>
      <c r="H538" s="82" t="b">
        <v>0</v>
      </c>
      <c r="I538" s="82" t="b">
        <v>0</v>
      </c>
      <c r="J538" s="82" t="b">
        <v>0</v>
      </c>
      <c r="K538" s="82" t="b">
        <v>0</v>
      </c>
      <c r="L538" s="82" t="b">
        <v>0</v>
      </c>
    </row>
    <row r="539" spans="1:12" ht="15">
      <c r="A539" s="84" t="s">
        <v>972</v>
      </c>
      <c r="B539" s="103" t="s">
        <v>973</v>
      </c>
      <c r="C539" s="82">
        <v>3</v>
      </c>
      <c r="D539" s="105">
        <v>0.03365483793819114</v>
      </c>
      <c r="E539" s="105">
        <v>1.5272001190629803</v>
      </c>
      <c r="F539" s="82" t="s">
        <v>813</v>
      </c>
      <c r="G539" s="82" t="b">
        <v>0</v>
      </c>
      <c r="H539" s="82" t="b">
        <v>0</v>
      </c>
      <c r="I539" s="82" t="b">
        <v>0</v>
      </c>
      <c r="J539" s="82" t="b">
        <v>0</v>
      </c>
      <c r="K539" s="82" t="b">
        <v>0</v>
      </c>
      <c r="L539" s="82" t="b">
        <v>0</v>
      </c>
    </row>
    <row r="540" spans="1:12" ht="15">
      <c r="A540" s="84" t="s">
        <v>1068</v>
      </c>
      <c r="B540" s="103" t="s">
        <v>1069</v>
      </c>
      <c r="C540" s="82">
        <v>2</v>
      </c>
      <c r="D540" s="105">
        <v>0.01776942690974012</v>
      </c>
      <c r="E540" s="105">
        <v>1.7032913781186614</v>
      </c>
      <c r="F540" s="82" t="s">
        <v>813</v>
      </c>
      <c r="G540" s="82" t="b">
        <v>0</v>
      </c>
      <c r="H540" s="82" t="b">
        <v>0</v>
      </c>
      <c r="I540" s="82" t="b">
        <v>0</v>
      </c>
      <c r="J540" s="82" t="b">
        <v>0</v>
      </c>
      <c r="K540" s="82" t="b">
        <v>0</v>
      </c>
      <c r="L540" s="82" t="b">
        <v>0</v>
      </c>
    </row>
    <row r="541" spans="1:12" ht="15">
      <c r="A541" s="84" t="s">
        <v>1063</v>
      </c>
      <c r="B541" s="103" t="s">
        <v>1064</v>
      </c>
      <c r="C541" s="82">
        <v>2</v>
      </c>
      <c r="D541" s="105">
        <v>0.01776942690974012</v>
      </c>
      <c r="E541" s="105">
        <v>1.7032913781186614</v>
      </c>
      <c r="F541" s="82" t="s">
        <v>813</v>
      </c>
      <c r="G541" s="82" t="b">
        <v>0</v>
      </c>
      <c r="H541" s="82" t="b">
        <v>0</v>
      </c>
      <c r="I541" s="82" t="b">
        <v>0</v>
      </c>
      <c r="J541" s="82" t="b">
        <v>0</v>
      </c>
      <c r="K541" s="82" t="b">
        <v>0</v>
      </c>
      <c r="L541" s="82" t="b">
        <v>0</v>
      </c>
    </row>
    <row r="542" spans="1:12" ht="15">
      <c r="A542" s="84" t="s">
        <v>1064</v>
      </c>
      <c r="B542" s="103" t="s">
        <v>851</v>
      </c>
      <c r="C542" s="82">
        <v>2</v>
      </c>
      <c r="D542" s="105">
        <v>0.01776942690974012</v>
      </c>
      <c r="E542" s="105">
        <v>1.0500788643433177</v>
      </c>
      <c r="F542" s="82" t="s">
        <v>813</v>
      </c>
      <c r="G542" s="82" t="b">
        <v>0</v>
      </c>
      <c r="H542" s="82" t="b">
        <v>0</v>
      </c>
      <c r="I542" s="82" t="b">
        <v>0</v>
      </c>
      <c r="J542" s="82" t="b">
        <v>0</v>
      </c>
      <c r="K542" s="82" t="b">
        <v>0</v>
      </c>
      <c r="L542" s="82" t="b">
        <v>0</v>
      </c>
    </row>
    <row r="543" spans="1:12" ht="15">
      <c r="A543" s="84" t="s">
        <v>851</v>
      </c>
      <c r="B543" s="103" t="s">
        <v>1065</v>
      </c>
      <c r="C543" s="82">
        <v>2</v>
      </c>
      <c r="D543" s="105">
        <v>0.01776942690974012</v>
      </c>
      <c r="E543" s="105">
        <v>1.0500788643433177</v>
      </c>
      <c r="F543" s="82" t="s">
        <v>813</v>
      </c>
      <c r="G543" s="82" t="b">
        <v>0</v>
      </c>
      <c r="H543" s="82" t="b">
        <v>0</v>
      </c>
      <c r="I543" s="82" t="b">
        <v>0</v>
      </c>
      <c r="J543" s="82" t="b">
        <v>0</v>
      </c>
      <c r="K543" s="82" t="b">
        <v>0</v>
      </c>
      <c r="L543" s="82" t="b">
        <v>0</v>
      </c>
    </row>
    <row r="544" spans="1:12" ht="15">
      <c r="A544" s="84" t="s">
        <v>1065</v>
      </c>
      <c r="B544" s="103" t="s">
        <v>1066</v>
      </c>
      <c r="C544" s="82">
        <v>2</v>
      </c>
      <c r="D544" s="105">
        <v>0.01776942690974012</v>
      </c>
      <c r="E544" s="105">
        <v>1.7032913781186614</v>
      </c>
      <c r="F544" s="82" t="s">
        <v>813</v>
      </c>
      <c r="G544" s="82" t="b">
        <v>0</v>
      </c>
      <c r="H544" s="82" t="b">
        <v>0</v>
      </c>
      <c r="I544" s="82" t="b">
        <v>0</v>
      </c>
      <c r="J544" s="82" t="b">
        <v>0</v>
      </c>
      <c r="K544" s="82" t="b">
        <v>1</v>
      </c>
      <c r="L544" s="82" t="b">
        <v>0</v>
      </c>
    </row>
    <row r="545" spans="1:12" ht="15">
      <c r="A545" s="84" t="s">
        <v>1066</v>
      </c>
      <c r="B545" s="103" t="s">
        <v>879</v>
      </c>
      <c r="C545" s="82">
        <v>2</v>
      </c>
      <c r="D545" s="105">
        <v>0.01776942690974012</v>
      </c>
      <c r="E545" s="105">
        <v>1.52720011906298</v>
      </c>
      <c r="F545" s="82" t="s">
        <v>813</v>
      </c>
      <c r="G545" s="82" t="b">
        <v>0</v>
      </c>
      <c r="H545" s="82" t="b">
        <v>1</v>
      </c>
      <c r="I545" s="82" t="b">
        <v>0</v>
      </c>
      <c r="J545" s="82" t="b">
        <v>0</v>
      </c>
      <c r="K545" s="82" t="b">
        <v>0</v>
      </c>
      <c r="L545" s="82" t="b">
        <v>0</v>
      </c>
    </row>
    <row r="546" spans="1:12" ht="15">
      <c r="A546" s="84" t="s">
        <v>879</v>
      </c>
      <c r="B546" s="103" t="s">
        <v>1067</v>
      </c>
      <c r="C546" s="82">
        <v>2</v>
      </c>
      <c r="D546" s="105">
        <v>0.01776942690974012</v>
      </c>
      <c r="E546" s="105">
        <v>1.7032913781186614</v>
      </c>
      <c r="F546" s="82" t="s">
        <v>813</v>
      </c>
      <c r="G546" s="82" t="b">
        <v>0</v>
      </c>
      <c r="H546" s="82" t="b">
        <v>0</v>
      </c>
      <c r="I546" s="82" t="b">
        <v>0</v>
      </c>
      <c r="J546" s="82" t="b">
        <v>0</v>
      </c>
      <c r="K546" s="82" t="b">
        <v>0</v>
      </c>
      <c r="L546" s="82" t="b">
        <v>0</v>
      </c>
    </row>
    <row r="547" spans="1:12" ht="15">
      <c r="A547" s="84" t="s">
        <v>1070</v>
      </c>
      <c r="B547" s="103" t="s">
        <v>1071</v>
      </c>
      <c r="C547" s="82">
        <v>2</v>
      </c>
      <c r="D547" s="105">
        <v>0.01776942690974012</v>
      </c>
      <c r="E547" s="105">
        <v>1.7032913781186614</v>
      </c>
      <c r="F547" s="82" t="s">
        <v>813</v>
      </c>
      <c r="G547" s="82" t="b">
        <v>0</v>
      </c>
      <c r="H547" s="82" t="b">
        <v>0</v>
      </c>
      <c r="I547" s="82" t="b">
        <v>0</v>
      </c>
      <c r="J547" s="82" t="b">
        <v>0</v>
      </c>
      <c r="K547" s="82" t="b">
        <v>0</v>
      </c>
      <c r="L547" s="82" t="b">
        <v>0</v>
      </c>
    </row>
    <row r="548" spans="1:12" ht="15">
      <c r="A548" s="84" t="s">
        <v>1071</v>
      </c>
      <c r="B548" s="103" t="s">
        <v>851</v>
      </c>
      <c r="C548" s="82">
        <v>2</v>
      </c>
      <c r="D548" s="105">
        <v>0.01776942690974012</v>
      </c>
      <c r="E548" s="105">
        <v>1.0500788643433177</v>
      </c>
      <c r="F548" s="82" t="s">
        <v>813</v>
      </c>
      <c r="G548" s="82" t="b">
        <v>0</v>
      </c>
      <c r="H548" s="82" t="b">
        <v>0</v>
      </c>
      <c r="I548" s="82" t="b">
        <v>0</v>
      </c>
      <c r="J548" s="82" t="b">
        <v>0</v>
      </c>
      <c r="K548" s="82" t="b">
        <v>0</v>
      </c>
      <c r="L548" s="82" t="b">
        <v>0</v>
      </c>
    </row>
    <row r="549" spans="1:12" ht="15">
      <c r="A549" s="84" t="s">
        <v>851</v>
      </c>
      <c r="B549" s="103" t="s">
        <v>864</v>
      </c>
      <c r="C549" s="82">
        <v>2</v>
      </c>
      <c r="D549" s="105">
        <v>0.01776942690974012</v>
      </c>
      <c r="E549" s="105">
        <v>1.0500788643433177</v>
      </c>
      <c r="F549" s="82" t="s">
        <v>813</v>
      </c>
      <c r="G549" s="82" t="b">
        <v>0</v>
      </c>
      <c r="H549" s="82" t="b">
        <v>0</v>
      </c>
      <c r="I549" s="82" t="b">
        <v>0</v>
      </c>
      <c r="J549" s="82" t="b">
        <v>0</v>
      </c>
      <c r="K549" s="82" t="b">
        <v>0</v>
      </c>
      <c r="L549" s="82" t="b">
        <v>0</v>
      </c>
    </row>
    <row r="550" spans="1:12" ht="15">
      <c r="A550" s="84" t="s">
        <v>864</v>
      </c>
      <c r="B550" s="103" t="s">
        <v>923</v>
      </c>
      <c r="C550" s="82">
        <v>2</v>
      </c>
      <c r="D550" s="105">
        <v>0.01776942690974012</v>
      </c>
      <c r="E550" s="105">
        <v>1.7032913781186614</v>
      </c>
      <c r="F550" s="82" t="s">
        <v>813</v>
      </c>
      <c r="G550" s="82" t="b">
        <v>0</v>
      </c>
      <c r="H550" s="82" t="b">
        <v>0</v>
      </c>
      <c r="I550" s="82" t="b">
        <v>0</v>
      </c>
      <c r="J550" s="82" t="b">
        <v>0</v>
      </c>
      <c r="K550" s="82" t="b">
        <v>0</v>
      </c>
      <c r="L550" s="82" t="b">
        <v>0</v>
      </c>
    </row>
    <row r="551" spans="1:12" ht="15">
      <c r="A551" s="84" t="s">
        <v>923</v>
      </c>
      <c r="B551" s="103" t="s">
        <v>1072</v>
      </c>
      <c r="C551" s="82">
        <v>2</v>
      </c>
      <c r="D551" s="105">
        <v>0.01776942690974012</v>
      </c>
      <c r="E551" s="105">
        <v>1.7032913781186614</v>
      </c>
      <c r="F551" s="82" t="s">
        <v>813</v>
      </c>
      <c r="G551" s="82" t="b">
        <v>0</v>
      </c>
      <c r="H551" s="82" t="b">
        <v>0</v>
      </c>
      <c r="I551" s="82" t="b">
        <v>0</v>
      </c>
      <c r="J551" s="82" t="b">
        <v>0</v>
      </c>
      <c r="K551" s="82" t="b">
        <v>0</v>
      </c>
      <c r="L551" s="82" t="b">
        <v>0</v>
      </c>
    </row>
    <row r="552" spans="1:12" ht="15">
      <c r="A552" s="84" t="s">
        <v>1072</v>
      </c>
      <c r="B552" s="103" t="s">
        <v>1073</v>
      </c>
      <c r="C552" s="82">
        <v>2</v>
      </c>
      <c r="D552" s="105">
        <v>0.01776942690974012</v>
      </c>
      <c r="E552" s="105">
        <v>1.7032913781186614</v>
      </c>
      <c r="F552" s="82" t="s">
        <v>813</v>
      </c>
      <c r="G552" s="82" t="b">
        <v>0</v>
      </c>
      <c r="H552" s="82" t="b">
        <v>0</v>
      </c>
      <c r="I552" s="82" t="b">
        <v>0</v>
      </c>
      <c r="J552" s="82" t="b">
        <v>0</v>
      </c>
      <c r="K552" s="82" t="b">
        <v>0</v>
      </c>
      <c r="L552" s="82" t="b">
        <v>0</v>
      </c>
    </row>
    <row r="553" spans="1:12" ht="15">
      <c r="A553" s="84" t="s">
        <v>973</v>
      </c>
      <c r="B553" s="103" t="s">
        <v>970</v>
      </c>
      <c r="C553" s="82">
        <v>2</v>
      </c>
      <c r="D553" s="105">
        <v>0.022436558625460762</v>
      </c>
      <c r="E553" s="105">
        <v>1.351108860007299</v>
      </c>
      <c r="F553" s="82" t="s">
        <v>813</v>
      </c>
      <c r="G553" s="82" t="b">
        <v>0</v>
      </c>
      <c r="H553" s="82" t="b">
        <v>0</v>
      </c>
      <c r="I553" s="82" t="b">
        <v>0</v>
      </c>
      <c r="J553" s="82" t="b">
        <v>0</v>
      </c>
      <c r="K553" s="82" t="b">
        <v>0</v>
      </c>
      <c r="L553" s="82" t="b">
        <v>0</v>
      </c>
    </row>
    <row r="554" spans="1:12" ht="15">
      <c r="A554" s="84" t="s">
        <v>844</v>
      </c>
      <c r="B554" s="103" t="s">
        <v>843</v>
      </c>
      <c r="C554" s="82">
        <v>10</v>
      </c>
      <c r="D554" s="105">
        <v>0.04320582292177341</v>
      </c>
      <c r="E554" s="105">
        <v>0.6130553756294256</v>
      </c>
      <c r="F554" s="82" t="s">
        <v>814</v>
      </c>
      <c r="G554" s="82" t="b">
        <v>0</v>
      </c>
      <c r="H554" s="82" t="b">
        <v>0</v>
      </c>
      <c r="I554" s="82" t="b">
        <v>0</v>
      </c>
      <c r="J554" s="82" t="b">
        <v>0</v>
      </c>
      <c r="K554" s="82" t="b">
        <v>0</v>
      </c>
      <c r="L554" s="82" t="b">
        <v>0</v>
      </c>
    </row>
    <row r="555" spans="1:12" ht="15">
      <c r="A555" s="84" t="s">
        <v>855</v>
      </c>
      <c r="B555" s="103" t="s">
        <v>844</v>
      </c>
      <c r="C555" s="82">
        <v>3</v>
      </c>
      <c r="D555" s="105">
        <v>0.030787158647452618</v>
      </c>
      <c r="E555" s="105">
        <v>0.9030899869919435</v>
      </c>
      <c r="F555" s="82" t="s">
        <v>814</v>
      </c>
      <c r="G555" s="82" t="b">
        <v>0</v>
      </c>
      <c r="H555" s="82" t="b">
        <v>0</v>
      </c>
      <c r="I555" s="82" t="b">
        <v>0</v>
      </c>
      <c r="J555" s="82" t="b">
        <v>0</v>
      </c>
      <c r="K555" s="82" t="b">
        <v>0</v>
      </c>
      <c r="L555" s="82" t="b">
        <v>0</v>
      </c>
    </row>
    <row r="556" spans="1:12" ht="15">
      <c r="A556" s="84" t="s">
        <v>843</v>
      </c>
      <c r="B556" s="103" t="s">
        <v>904</v>
      </c>
      <c r="C556" s="82">
        <v>3</v>
      </c>
      <c r="D556" s="105">
        <v>0.030787158647452618</v>
      </c>
      <c r="E556" s="105">
        <v>0.8519374645445623</v>
      </c>
      <c r="F556" s="82" t="s">
        <v>814</v>
      </c>
      <c r="G556" s="82" t="b">
        <v>0</v>
      </c>
      <c r="H556" s="82" t="b">
        <v>0</v>
      </c>
      <c r="I556" s="82" t="b">
        <v>0</v>
      </c>
      <c r="J556" s="82" t="b">
        <v>0</v>
      </c>
      <c r="K556" s="82" t="b">
        <v>0</v>
      </c>
      <c r="L556" s="82" t="b">
        <v>0</v>
      </c>
    </row>
    <row r="557" spans="1:12" ht="15">
      <c r="A557" s="84" t="s">
        <v>907</v>
      </c>
      <c r="B557" s="103" t="s">
        <v>844</v>
      </c>
      <c r="C557" s="82">
        <v>3</v>
      </c>
      <c r="D557" s="105">
        <v>0.030787158647452618</v>
      </c>
      <c r="E557" s="105">
        <v>0.9030899869919435</v>
      </c>
      <c r="F557" s="82" t="s">
        <v>814</v>
      </c>
      <c r="G557" s="82" t="b">
        <v>0</v>
      </c>
      <c r="H557" s="82" t="b">
        <v>0</v>
      </c>
      <c r="I557" s="82" t="b">
        <v>0</v>
      </c>
      <c r="J557" s="82" t="b">
        <v>0</v>
      </c>
      <c r="K557" s="82" t="b">
        <v>0</v>
      </c>
      <c r="L557" s="82" t="b">
        <v>0</v>
      </c>
    </row>
    <row r="558" spans="1:12" ht="15">
      <c r="A558" s="84" t="s">
        <v>843</v>
      </c>
      <c r="B558" s="103" t="s">
        <v>944</v>
      </c>
      <c r="C558" s="82">
        <v>3</v>
      </c>
      <c r="D558" s="105">
        <v>0.030787158647452618</v>
      </c>
      <c r="E558" s="105">
        <v>0.8519374645445623</v>
      </c>
      <c r="F558" s="82" t="s">
        <v>814</v>
      </c>
      <c r="G558" s="82" t="b">
        <v>0</v>
      </c>
      <c r="H558" s="82" t="b">
        <v>0</v>
      </c>
      <c r="I558" s="82" t="b">
        <v>0</v>
      </c>
      <c r="J558" s="82" t="b">
        <v>0</v>
      </c>
      <c r="K558" s="82" t="b">
        <v>0</v>
      </c>
      <c r="L558" s="82" t="b">
        <v>0</v>
      </c>
    </row>
    <row r="559" spans="1:12" ht="15">
      <c r="A559" s="84" t="s">
        <v>944</v>
      </c>
      <c r="B559" s="103" t="s">
        <v>1017</v>
      </c>
      <c r="C559" s="82">
        <v>3</v>
      </c>
      <c r="D559" s="105">
        <v>0.030787158647452618</v>
      </c>
      <c r="E559" s="105">
        <v>1.3290587192642247</v>
      </c>
      <c r="F559" s="82" t="s">
        <v>814</v>
      </c>
      <c r="G559" s="82" t="b">
        <v>0</v>
      </c>
      <c r="H559" s="82" t="b">
        <v>0</v>
      </c>
      <c r="I559" s="82" t="b">
        <v>0</v>
      </c>
      <c r="J559" s="82" t="b">
        <v>0</v>
      </c>
      <c r="K559" s="82" t="b">
        <v>0</v>
      </c>
      <c r="L559" s="82" t="b">
        <v>0</v>
      </c>
    </row>
    <row r="560" spans="1:12" ht="15">
      <c r="A560" s="84" t="s">
        <v>1017</v>
      </c>
      <c r="B560" s="103" t="s">
        <v>843</v>
      </c>
      <c r="C560" s="82">
        <v>3</v>
      </c>
      <c r="D560" s="105">
        <v>0.030787158647452618</v>
      </c>
      <c r="E560" s="105">
        <v>0.6922366216770505</v>
      </c>
      <c r="F560" s="82" t="s">
        <v>814</v>
      </c>
      <c r="G560" s="82" t="b">
        <v>0</v>
      </c>
      <c r="H560" s="82" t="b">
        <v>0</v>
      </c>
      <c r="I560" s="82" t="b">
        <v>0</v>
      </c>
      <c r="J560" s="82" t="b">
        <v>0</v>
      </c>
      <c r="K560" s="82" t="b">
        <v>0</v>
      </c>
      <c r="L560" s="82" t="b">
        <v>0</v>
      </c>
    </row>
    <row r="561" spans="1:12" ht="15">
      <c r="A561" s="84" t="s">
        <v>919</v>
      </c>
      <c r="B561" s="103" t="s">
        <v>1186</v>
      </c>
      <c r="C561" s="82">
        <v>2</v>
      </c>
      <c r="D561" s="105">
        <v>0.024526846501082385</v>
      </c>
      <c r="E561" s="105">
        <v>1.3290587192642247</v>
      </c>
      <c r="F561" s="82" t="s">
        <v>814</v>
      </c>
      <c r="G561" s="82" t="b">
        <v>0</v>
      </c>
      <c r="H561" s="82" t="b">
        <v>0</v>
      </c>
      <c r="I561" s="82" t="b">
        <v>0</v>
      </c>
      <c r="J561" s="82" t="b">
        <v>0</v>
      </c>
      <c r="K561" s="82" t="b">
        <v>0</v>
      </c>
      <c r="L561" s="82" t="b">
        <v>0</v>
      </c>
    </row>
    <row r="562" spans="1:12" ht="15">
      <c r="A562" s="84" t="s">
        <v>1186</v>
      </c>
      <c r="B562" s="103" t="s">
        <v>884</v>
      </c>
      <c r="C562" s="82">
        <v>2</v>
      </c>
      <c r="D562" s="105">
        <v>0.024526846501082385</v>
      </c>
      <c r="E562" s="105">
        <v>1.505149978319906</v>
      </c>
      <c r="F562" s="82" t="s">
        <v>814</v>
      </c>
      <c r="G562" s="82" t="b">
        <v>0</v>
      </c>
      <c r="H562" s="82" t="b">
        <v>0</v>
      </c>
      <c r="I562" s="82" t="b">
        <v>0</v>
      </c>
      <c r="J562" s="82" t="b">
        <v>0</v>
      </c>
      <c r="K562" s="82" t="b">
        <v>1</v>
      </c>
      <c r="L562" s="82" t="b">
        <v>0</v>
      </c>
    </row>
    <row r="563" spans="1:12" ht="15">
      <c r="A563" s="84" t="s">
        <v>884</v>
      </c>
      <c r="B563" s="103" t="s">
        <v>1014</v>
      </c>
      <c r="C563" s="82">
        <v>2</v>
      </c>
      <c r="D563" s="105">
        <v>0.024526846501082385</v>
      </c>
      <c r="E563" s="105">
        <v>1.505149978319906</v>
      </c>
      <c r="F563" s="82" t="s">
        <v>814</v>
      </c>
      <c r="G563" s="82" t="b">
        <v>0</v>
      </c>
      <c r="H563" s="82" t="b">
        <v>1</v>
      </c>
      <c r="I563" s="82" t="b">
        <v>0</v>
      </c>
      <c r="J563" s="82" t="b">
        <v>0</v>
      </c>
      <c r="K563" s="82" t="b">
        <v>0</v>
      </c>
      <c r="L563" s="82" t="b">
        <v>0</v>
      </c>
    </row>
    <row r="564" spans="1:12" ht="15">
      <c r="A564" s="84" t="s">
        <v>856</v>
      </c>
      <c r="B564" s="103" t="s">
        <v>1196</v>
      </c>
      <c r="C564" s="82">
        <v>2</v>
      </c>
      <c r="D564" s="105">
        <v>0.024526846501082385</v>
      </c>
      <c r="E564" s="105">
        <v>1.505149978319906</v>
      </c>
      <c r="F564" s="82" t="s">
        <v>814</v>
      </c>
      <c r="G564" s="82" t="b">
        <v>0</v>
      </c>
      <c r="H564" s="82" t="b">
        <v>0</v>
      </c>
      <c r="I564" s="82" t="b">
        <v>0</v>
      </c>
      <c r="J564" s="82" t="b">
        <v>0</v>
      </c>
      <c r="K564" s="82" t="b">
        <v>0</v>
      </c>
      <c r="L564" s="82" t="b">
        <v>0</v>
      </c>
    </row>
    <row r="565" spans="1:12" ht="15">
      <c r="A565" s="84" t="s">
        <v>1196</v>
      </c>
      <c r="B565" s="103" t="s">
        <v>1197</v>
      </c>
      <c r="C565" s="82">
        <v>2</v>
      </c>
      <c r="D565" s="105">
        <v>0.024526846501082385</v>
      </c>
      <c r="E565" s="105">
        <v>1.505149978319906</v>
      </c>
      <c r="F565" s="82" t="s">
        <v>814</v>
      </c>
      <c r="G565" s="82" t="b">
        <v>0</v>
      </c>
      <c r="H565" s="82" t="b">
        <v>0</v>
      </c>
      <c r="I565" s="82" t="b">
        <v>0</v>
      </c>
      <c r="J565" s="82" t="b">
        <v>0</v>
      </c>
      <c r="K565" s="82" t="b">
        <v>0</v>
      </c>
      <c r="L565" s="82" t="b">
        <v>0</v>
      </c>
    </row>
    <row r="566" spans="1:12" ht="15">
      <c r="A566" s="84" t="s">
        <v>843</v>
      </c>
      <c r="B566" s="103" t="s">
        <v>1195</v>
      </c>
      <c r="C566" s="82">
        <v>2</v>
      </c>
      <c r="D566" s="105">
        <v>0.024526846501082385</v>
      </c>
      <c r="E566" s="105">
        <v>0.8519374645445623</v>
      </c>
      <c r="F566" s="82" t="s">
        <v>814</v>
      </c>
      <c r="G566" s="82" t="b">
        <v>0</v>
      </c>
      <c r="H566" s="82" t="b">
        <v>0</v>
      </c>
      <c r="I566" s="82" t="b">
        <v>0</v>
      </c>
      <c r="J566" s="82" t="b">
        <v>0</v>
      </c>
      <c r="K566" s="82" t="b">
        <v>0</v>
      </c>
      <c r="L566" s="82" t="b">
        <v>0</v>
      </c>
    </row>
    <row r="567" spans="1:12" ht="15">
      <c r="A567" s="84" t="s">
        <v>853</v>
      </c>
      <c r="B567" s="103" t="s">
        <v>849</v>
      </c>
      <c r="C567" s="82">
        <v>4</v>
      </c>
      <c r="D567" s="105">
        <v>0.028916439679979544</v>
      </c>
      <c r="E567" s="105">
        <v>1.0334237554869496</v>
      </c>
      <c r="F567" s="82" t="s">
        <v>815</v>
      </c>
      <c r="G567" s="82" t="b">
        <v>0</v>
      </c>
      <c r="H567" s="82" t="b">
        <v>0</v>
      </c>
      <c r="I567" s="82" t="b">
        <v>0</v>
      </c>
      <c r="J567" s="82" t="b">
        <v>0</v>
      </c>
      <c r="K567" s="82" t="b">
        <v>0</v>
      </c>
      <c r="L567" s="82" t="b">
        <v>0</v>
      </c>
    </row>
    <row r="568" spans="1:12" ht="15">
      <c r="A568" s="84" t="s">
        <v>849</v>
      </c>
      <c r="B568" s="103" t="s">
        <v>862</v>
      </c>
      <c r="C568" s="82">
        <v>4</v>
      </c>
      <c r="D568" s="105">
        <v>0.028916439679979544</v>
      </c>
      <c r="E568" s="105">
        <v>1.0334237554869496</v>
      </c>
      <c r="F568" s="82" t="s">
        <v>815</v>
      </c>
      <c r="G568" s="82" t="b">
        <v>0</v>
      </c>
      <c r="H568" s="82" t="b">
        <v>0</v>
      </c>
      <c r="I568" s="82" t="b">
        <v>0</v>
      </c>
      <c r="J568" s="82" t="b">
        <v>0</v>
      </c>
      <c r="K568" s="82" t="b">
        <v>0</v>
      </c>
      <c r="L568" s="82" t="b">
        <v>0</v>
      </c>
    </row>
    <row r="569" spans="1:12" ht="15">
      <c r="A569" s="84" t="s">
        <v>862</v>
      </c>
      <c r="B569" s="103" t="s">
        <v>863</v>
      </c>
      <c r="C569" s="82">
        <v>4</v>
      </c>
      <c r="D569" s="105">
        <v>0.028916439679979544</v>
      </c>
      <c r="E569" s="105">
        <v>1.130333768495006</v>
      </c>
      <c r="F569" s="82" t="s">
        <v>815</v>
      </c>
      <c r="G569" s="82" t="b">
        <v>0</v>
      </c>
      <c r="H569" s="82" t="b">
        <v>0</v>
      </c>
      <c r="I569" s="82" t="b">
        <v>0</v>
      </c>
      <c r="J569" s="82" t="b">
        <v>0</v>
      </c>
      <c r="K569" s="82" t="b">
        <v>0</v>
      </c>
      <c r="L569" s="82" t="b">
        <v>0</v>
      </c>
    </row>
    <row r="570" spans="1:12" ht="15">
      <c r="A570" s="84" t="s">
        <v>844</v>
      </c>
      <c r="B570" s="103" t="s">
        <v>843</v>
      </c>
      <c r="C570" s="82">
        <v>2</v>
      </c>
      <c r="D570" s="105">
        <v>0.023580340920716474</v>
      </c>
      <c r="E570" s="105">
        <v>1.255272505103306</v>
      </c>
      <c r="F570" s="82" t="s">
        <v>815</v>
      </c>
      <c r="G570" s="82" t="b">
        <v>0</v>
      </c>
      <c r="H570" s="82" t="b">
        <v>0</v>
      </c>
      <c r="I570" s="82" t="b">
        <v>0</v>
      </c>
      <c r="J570" s="82" t="b">
        <v>0</v>
      </c>
      <c r="K570" s="82" t="b">
        <v>0</v>
      </c>
      <c r="L570" s="82" t="b">
        <v>0</v>
      </c>
    </row>
    <row r="571" spans="1:12" ht="15">
      <c r="A571" s="84" t="s">
        <v>930</v>
      </c>
      <c r="B571" s="103" t="s">
        <v>1169</v>
      </c>
      <c r="C571" s="82">
        <v>2</v>
      </c>
      <c r="D571" s="105">
        <v>0.023580340920716474</v>
      </c>
      <c r="E571" s="105">
        <v>1.4313637641589874</v>
      </c>
      <c r="F571" s="82" t="s">
        <v>815</v>
      </c>
      <c r="G571" s="82" t="b">
        <v>0</v>
      </c>
      <c r="H571" s="82" t="b">
        <v>0</v>
      </c>
      <c r="I571" s="82" t="b">
        <v>0</v>
      </c>
      <c r="J571" s="82" t="b">
        <v>0</v>
      </c>
      <c r="K571" s="82" t="b">
        <v>0</v>
      </c>
      <c r="L571" s="82" t="b">
        <v>0</v>
      </c>
    </row>
    <row r="572" spans="1:12" ht="15">
      <c r="A572" s="84" t="s">
        <v>1169</v>
      </c>
      <c r="B572" s="103" t="s">
        <v>1170</v>
      </c>
      <c r="C572" s="82">
        <v>2</v>
      </c>
      <c r="D572" s="105">
        <v>0.023580340920716474</v>
      </c>
      <c r="E572" s="105">
        <v>1.4313637641589874</v>
      </c>
      <c r="F572" s="82" t="s">
        <v>815</v>
      </c>
      <c r="G572" s="82" t="b">
        <v>0</v>
      </c>
      <c r="H572" s="82" t="b">
        <v>0</v>
      </c>
      <c r="I572" s="82" t="b">
        <v>0</v>
      </c>
      <c r="J572" s="82" t="b">
        <v>0</v>
      </c>
      <c r="K572" s="82" t="b">
        <v>0</v>
      </c>
      <c r="L572" s="82" t="b">
        <v>0</v>
      </c>
    </row>
    <row r="573" spans="1:12" ht="15">
      <c r="A573" s="84" t="s">
        <v>1171</v>
      </c>
      <c r="B573" s="103" t="s">
        <v>1172</v>
      </c>
      <c r="C573" s="82">
        <v>2</v>
      </c>
      <c r="D573" s="105">
        <v>0.023580340920716474</v>
      </c>
      <c r="E573" s="105">
        <v>1.4313637641589874</v>
      </c>
      <c r="F573" s="82" t="s">
        <v>815</v>
      </c>
      <c r="G573" s="82" t="b">
        <v>0</v>
      </c>
      <c r="H573" s="82" t="b">
        <v>0</v>
      </c>
      <c r="I573" s="82" t="b">
        <v>0</v>
      </c>
      <c r="J573" s="82" t="b">
        <v>0</v>
      </c>
      <c r="K573" s="82" t="b">
        <v>0</v>
      </c>
      <c r="L573" s="82" t="b">
        <v>0</v>
      </c>
    </row>
    <row r="574" spans="1:12" ht="15">
      <c r="A574" s="84" t="s">
        <v>1005</v>
      </c>
      <c r="B574" s="103" t="s">
        <v>1006</v>
      </c>
      <c r="C574" s="82">
        <v>2</v>
      </c>
      <c r="D574" s="105">
        <v>0.023580340920716474</v>
      </c>
      <c r="E574" s="105">
        <v>1.4313637641589874</v>
      </c>
      <c r="F574" s="82" t="s">
        <v>815</v>
      </c>
      <c r="G574" s="82" t="b">
        <v>0</v>
      </c>
      <c r="H574" s="82" t="b">
        <v>0</v>
      </c>
      <c r="I574" s="82" t="b">
        <v>0</v>
      </c>
      <c r="J574" s="82" t="b">
        <v>0</v>
      </c>
      <c r="K574" s="82" t="b">
        <v>0</v>
      </c>
      <c r="L574" s="82" t="b">
        <v>0</v>
      </c>
    </row>
    <row r="575" spans="1:12" ht="15">
      <c r="A575" s="84" t="s">
        <v>1006</v>
      </c>
      <c r="B575" s="103" t="s">
        <v>1007</v>
      </c>
      <c r="C575" s="82">
        <v>2</v>
      </c>
      <c r="D575" s="105">
        <v>0.023580340920716474</v>
      </c>
      <c r="E575" s="105">
        <v>1.4313637641589874</v>
      </c>
      <c r="F575" s="82" t="s">
        <v>815</v>
      </c>
      <c r="G575" s="82" t="b">
        <v>0</v>
      </c>
      <c r="H575" s="82" t="b">
        <v>0</v>
      </c>
      <c r="I575" s="82" t="b">
        <v>0</v>
      </c>
      <c r="J575" s="82" t="b">
        <v>0</v>
      </c>
      <c r="K575" s="82" t="b">
        <v>0</v>
      </c>
      <c r="L575" s="82" t="b">
        <v>0</v>
      </c>
    </row>
    <row r="576" spans="1:12" ht="15">
      <c r="A576" s="84" t="s">
        <v>1007</v>
      </c>
      <c r="B576" s="103" t="s">
        <v>1008</v>
      </c>
      <c r="C576" s="82">
        <v>2</v>
      </c>
      <c r="D576" s="105">
        <v>0.023580340920716474</v>
      </c>
      <c r="E576" s="105">
        <v>1.4313637641589874</v>
      </c>
      <c r="F576" s="82" t="s">
        <v>815</v>
      </c>
      <c r="G576" s="82" t="b">
        <v>0</v>
      </c>
      <c r="H576" s="82" t="b">
        <v>0</v>
      </c>
      <c r="I576" s="82" t="b">
        <v>0</v>
      </c>
      <c r="J576" s="82" t="b">
        <v>0</v>
      </c>
      <c r="K576" s="82" t="b">
        <v>0</v>
      </c>
      <c r="L576" s="82" t="b">
        <v>0</v>
      </c>
    </row>
    <row r="577" spans="1:12" ht="15">
      <c r="A577" s="84" t="s">
        <v>1008</v>
      </c>
      <c r="B577" s="103" t="s">
        <v>1009</v>
      </c>
      <c r="C577" s="82">
        <v>2</v>
      </c>
      <c r="D577" s="105">
        <v>0.023580340920716474</v>
      </c>
      <c r="E577" s="105">
        <v>1.4313637641589874</v>
      </c>
      <c r="F577" s="82" t="s">
        <v>815</v>
      </c>
      <c r="G577" s="82" t="b">
        <v>0</v>
      </c>
      <c r="H577" s="82" t="b">
        <v>0</v>
      </c>
      <c r="I577" s="82" t="b">
        <v>0</v>
      </c>
      <c r="J577" s="82" t="b">
        <v>0</v>
      </c>
      <c r="K577" s="82" t="b">
        <v>0</v>
      </c>
      <c r="L577" s="82" t="b">
        <v>0</v>
      </c>
    </row>
    <row r="578" spans="1:12" ht="15">
      <c r="A578" s="84" t="s">
        <v>844</v>
      </c>
      <c r="B578" s="103" t="s">
        <v>843</v>
      </c>
      <c r="C578" s="82">
        <v>4</v>
      </c>
      <c r="D578" s="105">
        <v>0.03707910189725296</v>
      </c>
      <c r="E578" s="105">
        <v>1.0334237554869496</v>
      </c>
      <c r="F578" s="82" t="s">
        <v>816</v>
      </c>
      <c r="G578" s="82" t="b">
        <v>0</v>
      </c>
      <c r="H578" s="82" t="b">
        <v>0</v>
      </c>
      <c r="I578" s="82" t="b">
        <v>0</v>
      </c>
      <c r="J578" s="82" t="b">
        <v>0</v>
      </c>
      <c r="K578" s="82" t="b">
        <v>0</v>
      </c>
      <c r="L578" s="82" t="b">
        <v>0</v>
      </c>
    </row>
    <row r="579" spans="1:12" ht="15">
      <c r="A579" s="84" t="s">
        <v>843</v>
      </c>
      <c r="B579" s="103" t="s">
        <v>983</v>
      </c>
      <c r="C579" s="82">
        <v>3</v>
      </c>
      <c r="D579" s="105">
        <v>0.03294379505067807</v>
      </c>
      <c r="E579" s="105">
        <v>1.0334237554869496</v>
      </c>
      <c r="F579" s="82" t="s">
        <v>816</v>
      </c>
      <c r="G579" s="82" t="b">
        <v>0</v>
      </c>
      <c r="H579" s="82" t="b">
        <v>0</v>
      </c>
      <c r="I579" s="82" t="b">
        <v>0</v>
      </c>
      <c r="J579" s="82" t="b">
        <v>0</v>
      </c>
      <c r="K579" s="82" t="b">
        <v>0</v>
      </c>
      <c r="L579" s="82" t="b">
        <v>0</v>
      </c>
    </row>
    <row r="580" spans="1:12" ht="15">
      <c r="A580" s="84" t="s">
        <v>983</v>
      </c>
      <c r="B580" s="103" t="s">
        <v>984</v>
      </c>
      <c r="C580" s="82">
        <v>3</v>
      </c>
      <c r="D580" s="105">
        <v>0.03294379505067807</v>
      </c>
      <c r="E580" s="105">
        <v>1.255272505103306</v>
      </c>
      <c r="F580" s="82" t="s">
        <v>816</v>
      </c>
      <c r="G580" s="82" t="b">
        <v>0</v>
      </c>
      <c r="H580" s="82" t="b">
        <v>0</v>
      </c>
      <c r="I580" s="82" t="b">
        <v>0</v>
      </c>
      <c r="J580" s="82" t="b">
        <v>0</v>
      </c>
      <c r="K580" s="82" t="b">
        <v>0</v>
      </c>
      <c r="L580" s="82" t="b">
        <v>0</v>
      </c>
    </row>
    <row r="581" spans="1:12" ht="15">
      <c r="A581" s="84" t="s">
        <v>985</v>
      </c>
      <c r="B581" s="103" t="s">
        <v>986</v>
      </c>
      <c r="C581" s="82">
        <v>3</v>
      </c>
      <c r="D581" s="105">
        <v>0.03294379505067807</v>
      </c>
      <c r="E581" s="105">
        <v>1.255272505103306</v>
      </c>
      <c r="F581" s="82" t="s">
        <v>816</v>
      </c>
      <c r="G581" s="82" t="b">
        <v>0</v>
      </c>
      <c r="H581" s="82" t="b">
        <v>1</v>
      </c>
      <c r="I581" s="82" t="b">
        <v>0</v>
      </c>
      <c r="J581" s="82" t="b">
        <v>0</v>
      </c>
      <c r="K581" s="82" t="b">
        <v>0</v>
      </c>
      <c r="L581" s="82" t="b">
        <v>0</v>
      </c>
    </row>
    <row r="582" spans="1:12" ht="15">
      <c r="A582" s="84" t="s">
        <v>1113</v>
      </c>
      <c r="B582" s="103" t="s">
        <v>1114</v>
      </c>
      <c r="C582" s="82">
        <v>2</v>
      </c>
      <c r="D582" s="105">
        <v>0.04781843274369739</v>
      </c>
      <c r="E582" s="105">
        <v>1.021189299069938</v>
      </c>
      <c r="F582" s="82" t="s">
        <v>817</v>
      </c>
      <c r="G582" s="82" t="b">
        <v>1</v>
      </c>
      <c r="H582" s="82" t="b">
        <v>0</v>
      </c>
      <c r="I582" s="82" t="b">
        <v>0</v>
      </c>
      <c r="J582" s="82" t="b">
        <v>0</v>
      </c>
      <c r="K582" s="82" t="b">
        <v>0</v>
      </c>
      <c r="L582" s="82" t="b">
        <v>0</v>
      </c>
    </row>
    <row r="583" spans="1:12" ht="15">
      <c r="A583" s="84" t="s">
        <v>844</v>
      </c>
      <c r="B583" s="103" t="s">
        <v>843</v>
      </c>
      <c r="C583" s="82">
        <v>2</v>
      </c>
      <c r="D583" s="105">
        <v>0.057339046793139274</v>
      </c>
      <c r="E583" s="105">
        <v>0.8129133566428556</v>
      </c>
      <c r="F583" s="82" t="s">
        <v>818</v>
      </c>
      <c r="G583" s="82" t="b">
        <v>0</v>
      </c>
      <c r="H583" s="82" t="b">
        <v>0</v>
      </c>
      <c r="I583" s="82" t="b">
        <v>0</v>
      </c>
      <c r="J583" s="82" t="b">
        <v>0</v>
      </c>
      <c r="K583" s="82" t="b">
        <v>0</v>
      </c>
      <c r="L583" s="82" t="b">
        <v>0</v>
      </c>
    </row>
    <row r="584" spans="1:12" ht="15">
      <c r="A584" s="84" t="s">
        <v>843</v>
      </c>
      <c r="B584" s="103" t="s">
        <v>847</v>
      </c>
      <c r="C584" s="82">
        <v>2</v>
      </c>
      <c r="D584" s="105">
        <v>0.057339046793139274</v>
      </c>
      <c r="E584" s="105">
        <v>0.8129133566428556</v>
      </c>
      <c r="F584" s="82" t="s">
        <v>818</v>
      </c>
      <c r="G584" s="82" t="b">
        <v>0</v>
      </c>
      <c r="H584" s="82" t="b">
        <v>0</v>
      </c>
      <c r="I584" s="82" t="b">
        <v>0</v>
      </c>
      <c r="J584" s="82" t="b">
        <v>0</v>
      </c>
      <c r="K584" s="82" t="b">
        <v>0</v>
      </c>
      <c r="L584" s="8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DD16BBE-A384-421F-BE6B-5CDC83A343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2020-09-11T10:26:09Z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